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5\"/>
    </mc:Choice>
  </mc:AlternateContent>
  <bookViews>
    <workbookView xWindow="0" yWindow="0" windowWidth="16185" windowHeight="11625" tabRatio="765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2" l="1"/>
  <c r="E97" i="12" l="1"/>
  <c r="E99" i="12"/>
  <c r="H89" i="12"/>
  <c r="J165" i="12" l="1"/>
  <c r="E90" i="12" l="1"/>
  <c r="I97" i="12"/>
  <c r="F89" i="12" l="1"/>
  <c r="E81" i="12" l="1"/>
  <c r="I48" i="12" l="1"/>
  <c r="F67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H12" i="13"/>
  <c r="J12" i="13" s="1"/>
  <c r="G13" i="13"/>
  <c r="I13" i="13" s="1"/>
  <c r="H13" i="13"/>
  <c r="J13" i="13" s="1"/>
  <c r="I12" i="13" l="1"/>
  <c r="I9" i="13"/>
  <c r="J9" i="13"/>
  <c r="J11" i="13"/>
  <c r="I10" i="13"/>
  <c r="I11" i="13"/>
  <c r="J10" i="13"/>
  <c r="J8" i="13"/>
  <c r="I8" i="13"/>
  <c r="J105" i="12" l="1"/>
  <c r="I5" i="14" l="1"/>
  <c r="G105" i="12"/>
  <c r="F105" i="12"/>
  <c r="J5" i="15" l="1"/>
  <c r="J113" i="12"/>
  <c r="J112" i="12"/>
  <c r="J111" i="12"/>
  <c r="K8" i="15" l="1"/>
  <c r="P9" i="15" s="1"/>
  <c r="O20" i="15" l="1"/>
  <c r="D90" i="12" l="1"/>
  <c r="E125" i="12" l="1"/>
  <c r="O62" i="12" l="1"/>
  <c r="L62" i="12"/>
  <c r="I62" i="12" l="1"/>
  <c r="J48" i="12" l="1"/>
  <c r="G45" i="12"/>
  <c r="G59" i="12"/>
  <c r="G67" i="12" l="1"/>
  <c r="J62" i="12"/>
  <c r="H62" i="12"/>
  <c r="G62" i="12"/>
  <c r="G53" i="12"/>
  <c r="F53" i="12"/>
  <c r="I51" i="12" s="1"/>
  <c r="F77" i="12" l="1"/>
  <c r="J65" i="12"/>
  <c r="J51" i="12"/>
  <c r="S1" i="13"/>
  <c r="S2" i="13" s="1"/>
  <c r="S3" i="13" s="1"/>
  <c r="S4" i="13" s="1"/>
  <c r="S5" i="13" s="1"/>
  <c r="K65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41" i="12"/>
  <c r="C41" i="12"/>
  <c r="I141" i="12" l="1"/>
  <c r="I139" i="12"/>
  <c r="I138" i="12"/>
  <c r="H136" i="12"/>
  <c r="I134" i="12"/>
  <c r="I132" i="12"/>
  <c r="I131" i="12"/>
  <c r="I136" i="12" s="1"/>
  <c r="G139" i="12"/>
  <c r="F139" i="12"/>
  <c r="G133" i="12"/>
  <c r="G132" i="12"/>
  <c r="F132" i="12"/>
  <c r="G131" i="12"/>
  <c r="F131" i="12"/>
  <c r="F142" i="12"/>
  <c r="G142" i="12"/>
  <c r="F136" i="12"/>
  <c r="G141" i="12"/>
  <c r="F141" i="12"/>
  <c r="F140" i="12"/>
  <c r="G140" i="12"/>
  <c r="G135" i="12"/>
  <c r="G134" i="12"/>
  <c r="F135" i="12"/>
  <c r="F134" i="12"/>
  <c r="E127" i="12"/>
  <c r="E123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16" i="12"/>
  <c r="G117" i="12"/>
  <c r="G115" i="12"/>
  <c r="G112" i="12"/>
  <c r="G113" i="12"/>
  <c r="G114" i="12"/>
  <c r="G111" i="12"/>
  <c r="G107" i="12"/>
  <c r="G108" i="12"/>
  <c r="G109" i="12"/>
  <c r="G110" i="12"/>
  <c r="F116" i="12"/>
  <c r="F117" i="12"/>
  <c r="F115" i="12"/>
  <c r="F112" i="12"/>
  <c r="F113" i="12"/>
  <c r="F114" i="12"/>
  <c r="F111" i="12"/>
  <c r="F107" i="12"/>
  <c r="F108" i="12"/>
  <c r="F109" i="12"/>
  <c r="F110" i="12"/>
  <c r="F144" i="12"/>
  <c r="F145" i="12"/>
  <c r="F143" i="12"/>
  <c r="F138" i="12"/>
  <c r="F133" i="12"/>
  <c r="F137" i="12"/>
  <c r="G144" i="12"/>
  <c r="G145" i="12"/>
  <c r="G143" i="12"/>
  <c r="G138" i="12"/>
  <c r="G136" i="12"/>
  <c r="G137" i="12"/>
  <c r="I124" i="12"/>
  <c r="I125" i="12"/>
  <c r="I126" i="12"/>
  <c r="I127" i="12"/>
  <c r="I128" i="12"/>
  <c r="I123" i="12"/>
  <c r="I98" i="12"/>
  <c r="I100" i="12"/>
  <c r="I102" i="12"/>
  <c r="F86" i="12"/>
  <c r="F87" i="12"/>
  <c r="F88" i="12"/>
  <c r="F91" i="12"/>
  <c r="F85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I8" i="14"/>
  <c r="O9" i="14" s="1"/>
  <c r="M20" i="14"/>
  <c r="M36" i="14"/>
  <c r="M24" i="14"/>
  <c r="M32" i="14"/>
  <c r="E22" i="22" l="1"/>
  <c r="E20" i="22"/>
  <c r="E19" i="22"/>
  <c r="E21" i="22"/>
  <c r="E18" i="22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9" i="12" l="1"/>
  <c r="M149" i="12" l="1"/>
  <c r="O149" i="12" s="1"/>
  <c r="I101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<sst xmlns="http://schemas.openxmlformats.org/spreadsheetml/2006/main" count="1018" uniqueCount="350">
  <si>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</si>
  <si>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</si>
  <si>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</si>
  <si>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</si>
  <si>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</si>
  <si>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</si>
  <si>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</si>
  <si>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</si>
  <si>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</si>
  <si>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</si>
  <si>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</si>
  <si>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</si>
  <si>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</si>
  <si>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</si>
  <si>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</si>
  <si>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</si>
  <si>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</si>
  <si>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</si>
  <si>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</si>
  <si>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</si>
  <si>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</si>
  <si>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</si>
  <si>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</si>
  <si>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</si>
  <si>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</si>
  <si>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</si>
  <si>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</si>
  <si>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</si>
  <si>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</si>
  <si>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</si>
  <si>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</si>
  <si>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</si>
  <si>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</si>
  <si>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</si>
  <si>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</si>
  <si>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</si>
  <si>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</si>
  <si>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</si>
  <si>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</si>
  <si>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</si>
  <si>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</si>
  <si>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</si>
  <si>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</si>
  <si>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</si>
  <si>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</si>
  <si>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</si>
  <si>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</si>
  <si>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</si>
  <si>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</si>
  <si>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</si>
  <si>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</si>
  <si>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</si>
  <si>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</si>
  <si>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</si>
  <si>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</si>
  <si>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</si>
  <si>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</si>
  <si>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</si>
  <si>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</si>
  <si>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</si>
  <si>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</si>
  <si>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</si>
  <si>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</si>
  <si>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</si>
  <si>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</si>
  <si>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</si>
  <si>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</si>
  <si>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</si>
  <si>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</si>
  <si>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</si>
  <si>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</si>
  <si>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</si>
  <si>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</si>
  <si>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</si>
  <si>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Sideband Freq. Red (THz)</t>
  </si>
  <si>
    <t>Sideband Freq. Blue (THz)</t>
  </si>
  <si>
    <t>RF Atten. (dB)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</si>
  <si>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</si>
  <si>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</si>
  <si>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</si>
  <si>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</si>
  <si>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</si>
  <si>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</si>
  <si>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</si>
  <si>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</si>
  <si>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</si>
  <si>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</si>
  <si>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</si>
  <si>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</si>
  <si>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</si>
  <si>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</si>
  <si>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</si>
  <si>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</si>
  <si>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</si>
  <si>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</si>
  <si>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</si>
  <si>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</si>
  <si>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</si>
  <si>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</si>
  <si>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</si>
  <si>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</si>
  <si>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</si>
  <si>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</si>
  <si>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</si>
  <si>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</si>
  <si>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</si>
  <si>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</si>
  <si>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</si>
  <si>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</si>
  <si>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</si>
  <si>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</si>
  <si>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</si>
  <si>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</si>
  <si>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</si>
  <si>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</si>
  <si>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</si>
  <si>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</si>
  <si>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</si>
  <si>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</si>
  <si>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</si>
  <si>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</si>
  <si>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</si>
  <si>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</si>
  <si>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</si>
  <si>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</si>
  <si>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</si>
  <si>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</si>
  <si>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</si>
  <si>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</si>
  <si>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</si>
  <si>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</si>
  <si>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</si>
  <si>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</si>
  <si>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</si>
  <si>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</si>
  <si>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</si>
  <si>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</si>
  <si>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</si>
  <si>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</si>
  <si>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</si>
  <si>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</si>
  <si>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</si>
  <si>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</si>
  <si>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</si>
  <si>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</si>
  <si>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</si>
  <si>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</si>
  <si>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</si>
  <si>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</si>
  <si>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</si>
  <si>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</si>
  <si>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</si>
  <si>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</si>
  <si>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</si>
  <si>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</si>
  <si>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</si>
  <si>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</si>
  <si>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</si>
  <si>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</si>
  <si>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</si>
  <si>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</si>
  <si>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</si>
  <si>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</si>
  <si>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</si>
  <si>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</si>
  <si>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</si>
  <si>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</si>
  <si>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</si>
  <si>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</si>
  <si>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</si>
  <si>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</si>
  <si>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</si>
  <si>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</si>
  <si>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</si>
  <si>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</si>
  <si>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</si>
  <si>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</si>
  <si>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</si>
  <si>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</si>
  <si>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</si>
  <si>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</si>
  <si>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</si>
  <si>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</si>
  <si>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</si>
  <si>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</si>
  <si>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</si>
  <si>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</si>
  <si>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</si>
  <si>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</si>
  <si>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</si>
  <si>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</si>
  <si>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</si>
  <si>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</si>
  <si>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</si>
  <si>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</si>
  <si>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</si>
  <si>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</si>
  <si>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</si>
  <si>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</si>
  <si>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</si>
  <si>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</si>
  <si>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</si>
  <si>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</si>
  <si>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</si>
  <si>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</si>
  <si>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</si>
  <si>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</si>
  <si>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</si>
  <si>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</si>
  <si>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</si>
  <si>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</si>
  <si>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</si>
  <si>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</si>
  <si>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</si>
  <si>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</si>
  <si>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</si>
  <si>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</si>
  <si>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</si>
  <si>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</si>
  <si>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</si>
  <si>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</si>
  <si>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</si>
  <si>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</si>
  <si>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</si>
  <si>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</si>
  <si>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</si>
  <si>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</si>
  <si>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</si>
  <si>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</si>
  <si>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</si>
  <si>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</si>
  <si>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</si>
  <si>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</si>
  <si>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</si>
  <si>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</si>
  <si>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</si>
  <si>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</si>
  <si>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</si>
  <si>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</si>
  <si>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</si>
  <si>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</si>
  <si>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</si>
  <si>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</si>
  <si>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</si>
  <si>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</si>
  <si>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</si>
  <si>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</si>
  <si>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</si>
  <si>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</si>
  <si>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</si>
  <si>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</si>
  <si>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</si>
  <si>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</si>
  <si>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</si>
  <si>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</si>
  <si>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</si>
  <si>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</si>
  <si>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</si>
  <si>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</si>
  <si>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</si>
  <si>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</si>
  <si>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</si>
  <si>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</si>
  <si>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</si>
  <si>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</si>
  <si>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</si>
  <si>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</si>
  <si>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</si>
  <si>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</si>
  <si>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</si>
  <si>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</si>
  <si>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</si>
  <si>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</si>
  <si>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</si>
  <si>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</si>
  <si>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</si>
  <si>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</si>
  <si>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</si>
  <si>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</si>
  <si>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</si>
  <si>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</si>
  <si>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</si>
  <si>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</si>
  <si>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</si>
  <si>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</si>
  <si>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</si>
  <si>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</si>
  <si>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</si>
  <si>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</si>
  <si>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</si>
  <si>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</si>
  <si>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</si>
  <si>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</si>
  <si>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</si>
  <si>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</si>
  <si>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</si>
  <si>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</si>
  <si>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</si>
  <si>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</si>
  <si>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</si>
  <si>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</si>
  <si>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</si>
  <si>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</si>
  <si>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</si>
  <si>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</si>
  <si>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</si>
  <si>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</si>
  <si>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</si>
  <si>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</si>
  <si>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</si>
  <si>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</si>
  <si>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</si>
  <si>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</si>
  <si>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</si>
  <si>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</si>
  <si>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</si>
  <si>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</si>
  <si>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</si>
  <si>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</si>
  <si>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</si>
  <si>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</si>
  <si>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</si>
  <si>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</si>
  <si>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</si>
  <si>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</si>
  <si>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</si>
  <si>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</si>
  <si>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</si>
  <si>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</si>
  <si>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</si>
  <si>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</si>
  <si>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</si>
  <si>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</si>
  <si>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</si>
  <si>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</si>
  <si>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</si>
  <si>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</si>
  <si>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</si>
  <si>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Ion Peak Brightness (Counts/s)</t>
  </si>
  <si>
    <t>Ablation Laser Spot</t>
  </si>
  <si>
    <t>y (mm)</t>
  </si>
  <si>
    <t>x (mm)</t>
  </si>
  <si>
    <t>Combined Beam Total (493)</t>
  </si>
  <si>
    <t xml:space="preserve">Expect. Peak Freq. on WM (THz) </t>
  </si>
  <si>
    <t>Freq. used to Trap on WM (THz)</t>
  </si>
  <si>
    <t>Acutal Peak Freq. on WM (THz)</t>
  </si>
  <si>
    <t>Actual Peak Freq. on WM (THZ)</t>
  </si>
  <si>
    <t xml:space="preserve">Freq. used to Trap on WM (THz) </t>
  </si>
  <si>
    <t xml:space="preserve">Expected Freq. on WM (THz) </t>
  </si>
  <si>
    <t>Actual Freq. Used (THz)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</si>
</sst>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6" fillId="2" borderId="124" xfId="0" applyFont="1" applyFill="1" applyBorder="1" applyAlignment="1">
      <alignment horizontal="center"/>
    </xf>
    <xf numFmtId="0" fontId="2" fillId="2" borderId="124" xfId="0" applyFont="1" applyFill="1" applyBorder="1" applyAlignment="1">
      <alignment horizontal="center"/>
    </xf>
    <xf numFmtId="0" fontId="5" fillId="3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3" fillId="3" borderId="126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2" fillId="2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2" fillId="2" borderId="131" xfId="0" applyFont="1" applyFill="1" applyBorder="1" applyAlignment="1">
      <alignment horizontal="center"/>
    </xf>
    <xf numFmtId="11" fontId="2" fillId="2" borderId="131" xfId="0" applyNumberFormat="1" applyFont="1" applyFill="1" applyBorder="1" applyAlignment="1">
      <alignment horizontal="center"/>
    </xf>
    <xf numFmtId="0" fontId="5" fillId="2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3" xfId="0" applyFont="1" applyFill="1" applyBorder="1" applyAlignment="1">
      <alignment horizontal="center"/>
    </xf>
    <xf numFmtId="0" fontId="5" fillId="3" borderId="134" xfId="0" applyFont="1" applyFill="1" applyBorder="1" applyAlignment="1">
      <alignment horizontal="center"/>
    </xf>
    <xf numFmtId="0" fontId="6" fillId="2" borderId="135" xfId="0" applyFont="1" applyFill="1" applyBorder="1" applyAlignment="1">
      <alignment horizontal="center"/>
    </xf>
    <xf numFmtId="0" fontId="2" fillId="2" borderId="135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3" borderId="13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1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2" fillId="2" borderId="139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1" xfId="0" applyFont="1" applyFill="1" applyBorder="1" applyAlignment="1">
      <alignment horizontal="center"/>
    </xf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/>
    <xf numFmtId="0" fontId="6" fillId="2" borderId="143" xfId="0" applyFont="1" applyFill="1" applyBorder="1" applyAlignment="1">
      <alignment horizontal="center"/>
    </xf>
    <xf numFmtId="0" fontId="6" fillId="2" borderId="141" xfId="0" applyFont="1" applyFill="1" applyBorder="1"/>
    <xf numFmtId="0" fontId="6" fillId="2" borderId="144" xfId="0" applyFont="1" applyFill="1" applyBorder="1" applyAlignment="1">
      <alignment horizontal="center"/>
    </xf>
    <xf numFmtId="0" fontId="6" fillId="11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3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7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24" xfId="0" applyFont="1" applyFill="1" applyBorder="1"/>
    <xf numFmtId="0" fontId="6" fillId="11" borderId="156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6" fillId="2" borderId="167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/>
    <xf numFmtId="0" fontId="6" fillId="2" borderId="172" xfId="0" applyFont="1" applyFill="1" applyBorder="1"/>
    <xf numFmtId="164" fontId="6" fillId="2" borderId="168" xfId="0" applyNumberFormat="1" applyFont="1" applyFill="1" applyBorder="1" applyAlignment="1">
      <alignment horizontal="center"/>
    </xf>
    <xf numFmtId="0" fontId="5" fillId="2" borderId="125" xfId="0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/>
    </xf>
    <xf numFmtId="0" fontId="5" fillId="2" borderId="171" xfId="0" applyFont="1" applyFill="1" applyBorder="1"/>
    <xf numFmtId="0" fontId="5" fillId="11" borderId="155" xfId="0" applyFont="1" applyFill="1" applyBorder="1" applyAlignment="1">
      <alignment horizontal="center"/>
    </xf>
    <xf numFmtId="0" fontId="5" fillId="11" borderId="156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2" borderId="154" xfId="0" applyFont="1" applyFill="1" applyBorder="1" applyAlignment="1">
      <alignment horizontal="center"/>
    </xf>
    <xf numFmtId="0" fontId="5" fillId="11" borderId="152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7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6" fillId="2" borderId="175" xfId="0" applyFont="1" applyFill="1" applyBorder="1" applyAlignment="1">
      <alignment horizontal="center"/>
    </xf>
    <xf numFmtId="0" fontId="5" fillId="11" borderId="176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48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  <xf numFmtId="0" fontId="3" fillId="3" borderId="175" xfId="0" applyFont="1" applyFill="1" applyBorder="1" applyAlignment="1">
      <alignment horizontal="center"/>
    </xf>
    <xf numFmtId="0" fontId="2" fillId="2" borderId="150" xfId="0" applyFont="1" applyFill="1" applyBorder="1" applyAlignment="1">
      <alignment horizontal="center"/>
    </xf>
    <xf numFmtId="0" fontId="3" fillId="3" borderId="130" xfId="0" applyFont="1" applyFill="1" applyBorder="1" applyAlignment="1">
      <alignment horizontal="center"/>
    </xf>
    <xf numFmtId="0" fontId="2" fillId="3" borderId="134" xfId="0" applyFont="1" applyFill="1" applyBorder="1" applyAlignment="1">
      <alignment horizontal="center"/>
    </xf>
    <xf numFmtId="0" fontId="2" fillId="2" borderId="1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150</xdr:row>
      <xdr:rowOff>19048</xdr:rowOff>
    </xdr:from>
    <xdr:to>
      <xdr:col>7</xdr:col>
      <xdr:colOff>1162050</xdr:colOff>
      <xdr:row>227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493 nm laser power low 10 uW improved to 22 uW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trapping Ba137 using script - Trapped after 11 attempts - 1 dark ion as well - 2,000 counts. Looked for peak - 10 -20 MHz higher on 493 transition 7910 MHz - 6,500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Noticed wavemeter 11 MHz blue - recalibrated, ^ optimal freqs. closer to yesterday's now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if dark ion was Ba138 or even isotope - nope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Ran loading rate experiment Ba137 - none trapped in 40 attempts...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Ran again, but 30 MHz detuned red cooling lasers - one after 30 attempts. Realized ionization freq. 5 MHz red, switched to 0 MHz at 20 pulses... Then none after 20 before ablation laser reset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Trapping Ba138 10 uW, 115 uJ - Neutral fluorescence ~150 total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x3 pulses, x1 Ba138, x1 dim ion. Pulsed again, lost Ba138, ended up with x1 dim... Different chain? Or Ba138 ejected? Pulsed again, lost completely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x3 pulses, x3 Ba138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x2 Ba138. Pulsed again, x3 Ba138. Pulsed again, x3 Ba138, x1 dark. Pulsed again, x2 Ba138. Pulsed again, nothing...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 pulse, x2 Ba138. Pulsed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x4 pulses, x1 Ba138, x1 dark. Pulsed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 pulses, x1 Ba138. Pulsed again, x4 Ba138. Pulsed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x1 Ba138.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x1 Ba138. Again, x2 Ba138.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 pulse, x1 Ba138.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x3 Ba138, x2 dark. Checked Ba137, nope. Back to Ba138 - now x2 Ba138, x1 dark. Pulsed again, x2 Ba138, x1 dark.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x2 Ba138. Again, x2 Ba138. Again, x2 Ba138. Again, x1 Ba138, x2 dark. Checked Ba137 - nothing... Returned to Ba138 - x1 Ba138 no dark. Pulsed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x3 pulses, x3 Ba138, x1 dim. Again, x1 Ba138, x1 dark. Checked Ba137 - nothing. Returned to Ba138 -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x2 Ba138.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x3 pulses, x1 Ba138. Again, x2 Ba138. Again, nothing.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x2 pulses, x2 Ba138. Again, x1 Ba138. Again, x1 Ba138. Again, x2 Ba138, x1 dark. Again, x1 Ba138, x1 dark. Checked Ba137 - none.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First vs successive: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First: 2,3,2,2,2,1,1,1,1,3,2,4,2,1,2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Successive: 1, 3,0,0,4,0,2,0,2,0,2,3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Overall, the second pulse results in less ions, so we're failing to accumulate ions...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Reduced pulse energy to 95 uJ - neutral fluorescence similar...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x4 pulses, 1 Ba138. Trap center moved over ~1.5 pixels... Another 2 pulses, x2 Ba138. Again, x3 Ba138. Ions staying crystallized during pulse better... They instead move down a pixel for a bit. Again, x3 Ba138. Again, x4 Ba138. Again, x4 Ba138. Again, x6 Ba138. Again, x6 Ba138, x1 dark. slightly zig-zag. Again 2 times, no change. Pulsed 4 more times, x8 Ba138, x1 dark.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x6 pulses, x1 Ba138. x5 pulses, x4 Ba138, center moved again...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553 freq. to 3280 MHz. Pulsed 20 times, no change to chain. x20 more, no change.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Did load rate vs num pulses (1, 3) at 14 Hz, using this pulse energy: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Only trapped with 3 pulses, never with 1 pulse... x2, x1, x1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Redid with higher 553 power 80 uW - ~100-200 counts neutral fluorescence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 pulse: 1, 0, 0, 1, 0, 1, 0, 0, 0, 0 - 3/10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3 pulse: 0, 0, 1, 2, 0, 5, 4, 2, 0, 1 - 15/10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Seems to work great! Next to try Ba137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Trapped 4 ions using 7 pulses 90 uJ.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then trapping with 553 freq. away 2800 MHz (240 MHz lower), low power, high pulse energy, to see if generate dark mystery ions again.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Ejected after just 1 pulse... Increased 553 power to 80 and tried trapping, hoping for Ba138, if see dark, likely not any isotope of barium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Nothing trapped after 10 attempts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power to 120 uW. nothing after 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freq. to 2900 MHz. After 5 attempts, trapped single Ba138 by itself. Pulsed again, lost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2950 MHz. after 3 attempts, x1 Ba138, x1 dark ion not Ba137. Pulsed again nothing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13 attempts, x1 Ba138, x1 dim, x1 dark. Pulsed again, lost it.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95 uJ, pulsed 8 times, trapped x10 Ba138, 0 dark or dim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 pulses, x5 Ba138. 4 more pulses, x7 Ba138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6 pulses, x2 Ba138. 10 more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 pulses, x2 Ba138. 5 pulses, x4 Ba138. 5 pulses, x6 Ba138, x1 dark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95 uJ selectivity results: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Ba138: 10, 7, 9, 6 -&gt; 32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Dark: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Dim: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32/33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115 uJ selectivity results: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Ba138: 133241213231222 -&gt; 32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Dark: 1112211 -&gt; 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Ba137: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Dim: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32/42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From yesterday, 140 uJ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Ba138: 1212131112311 -&gt; 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Dark: 112112111 -&gt; 11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Ba137: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Dim: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20/32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Reduced to 70 uJ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10 pulses, nothing.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80 uJ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 pulses, x1 Ba138. 10, x2 Ba138. 10, x3 Ba138. 5, x4 Ba138. 10, x6 Ba138. 10, x7 Ba138. 10, x8 Ba138. 5, x9 Ba138.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20 pulses, nothing.. 10, nothing. 10, x1 Ba138. 5, x3 ba138. 5, x4 Ba138. 10, x5 Ba138. 10, x6 Ba138. 5, x8 Ba138. 5, x9 Ba138.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5, nothing. again. 5, x2 Ba138. 5, x5 Ba138. 10, x4 Ba138. 10, x4 Ba138. 10, x5 Ba138. 10, x7 Ba138. 5, x8 Ba138. 10, x8 Ba138. 5, x9 Ba138.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Overall, no dark/dim ions!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27/27 selectivity</a:t>
          </a: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112 350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56,-2 101-23,0-138-83,1 6 12,1-36-44,0 1 1,0 0-1,0-1 0,0 1 0,0 0 1,0-1-1,0 1 0,0 0 1,0-1-1,1 6 0,-1-7-38,0-1 1,0 1-1,0 0 0,0-1 0,0 1 1,0 0-1,0-1 0,0 1 1,0-1-1,0 1 0,0-1 0,2 1 1,-2-2-1089,0-7-63,0-15 369</inkml:trace>
  <inkml:trace contextRef="#ctx0" brushRef="#br0" timeOffset="1">116 131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0,-2 20 0,1-14-52,2-13-39,-1-1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6953,'0'-1'218,"0"-1"309,0 0 0,0 0 0,0 1-1,0-1 1,0 1 0,0-1 0,0-1 0,0 2-462,0 1-1,0 0 1,0 0 0,0 0 0,0 0-1,0 0 1,0 0 0,0 0 0,0-1-1,0 1 1,0 0 0,0 0 0,0 0-1,0 0 1,0 0 0,0 0 0,0 0-1,0 0 1,0 0 0,0 0 0,0 0-1,0 1 1,0-1 0,0 0 0,0 0-1,0 0 1,0 0 0,-2 1 21,2-1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0-1,2-1 1,-2 2-207,0 0-1,0 1 1,-2-1-1,2 0 1,0 1 0,0-1-1,0 1 1,0-1-1,0 0 1,0 1-1,0-1 1,0 1 0,0-1-1,0 1 1,0-1-1,0 1 1,0-1 0,0 0-1,0 1 1,0-1-1,0 1 1,0-1 0,0 1-1,0-1 1,0 0-1,0 1 1,0-1 0,2 0-1,-2 1 1,0-1-1,0 2 1,0-2 0,0 0-1,0 0 1,0 0-1,0 0 1,0 0 0,0 1-1,0-1 1,0 0-1,0 0 1,0 0 0,0 0-1,0 1 1,0-1-1,0 0 1,0 0 0,0 0-1,0 0 1,0 0-1,0 0 1,0 0-1,0 0 1,0 0 0,0 0-1,0 0 1,0 0-1,0 0 1,0-1 0,0 1-1,0 0 1,0 0-1,0-1 1,0 17 216,-3-1 0,1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3-176,0 0-88,1-7-96,-2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65"/>
  <sheetViews>
    <sheetView tabSelected="1" topLeftCell="A205" zoomScaleNormal="100" workbookViewId="0">
      <selection activeCell="U180" sqref="U180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267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1.7235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268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272</v>
      </c>
      <c r="C18" s="86" t="s">
        <v>279</v>
      </c>
      <c r="D18" s="89" t="s">
        <v>18</v>
      </c>
      <c r="F18" s="109" t="s">
        <v>46</v>
      </c>
      <c r="G18" s="101">
        <v>2.5</v>
      </c>
      <c r="H18" s="342" t="s">
        <v>337</v>
      </c>
    </row>
    <row r="19" spans="1:65" ht="15.75" thickBot="1" x14ac:dyDescent="0.3">
      <c r="B19" s="99">
        <v>0.255</v>
      </c>
      <c r="C19" s="6">
        <v>0.05</v>
      </c>
      <c r="D19" s="76">
        <v>8.6</v>
      </c>
      <c r="F19" s="113" t="s">
        <v>20</v>
      </c>
      <c r="G19" s="76">
        <v>20.785599999999999</v>
      </c>
    </row>
    <row r="20" spans="1:65" ht="15.75" thickBot="1" x14ac:dyDescent="0.3">
      <c r="B20" s="111" t="s">
        <v>273</v>
      </c>
      <c r="C20" s="72" t="s">
        <v>280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0.435</v>
      </c>
      <c r="C21" s="77">
        <v>0.16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214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6" t="s">
        <v>263</v>
      </c>
      <c r="H32" s="247" t="s">
        <v>45</v>
      </c>
      <c r="I32" s="248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203</v>
      </c>
      <c r="I33" s="76" t="s">
        <v>204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207</v>
      </c>
      <c r="I34" s="79" t="s">
        <v>208</v>
      </c>
    </row>
    <row r="35" spans="1:18" ht="15.75" thickTop="1" x14ac:dyDescent="0.25">
      <c r="A35" s="3"/>
      <c r="H35" s="7" t="s">
        <v>48</v>
      </c>
      <c r="I35" s="7" t="s">
        <v>264</v>
      </c>
    </row>
    <row r="36" spans="1:18" ht="15.75" thickBot="1" x14ac:dyDescent="0.3">
      <c r="H36" s="3"/>
    </row>
    <row r="37" spans="1:18" ht="16.5" thickTop="1" thickBot="1" x14ac:dyDescent="0.3">
      <c r="B37" s="118" t="s">
        <v>78</v>
      </c>
      <c r="C37" s="86" t="s">
        <v>48</v>
      </c>
      <c r="D37" s="86" t="s">
        <v>47</v>
      </c>
      <c r="E37" s="89" t="s">
        <v>223</v>
      </c>
      <c r="H37" s="3"/>
    </row>
    <row r="38" spans="1:18" x14ac:dyDescent="0.25">
      <c r="B38" s="114" t="s">
        <v>224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222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225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226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261</v>
      </c>
      <c r="F42" s="3"/>
    </row>
    <row r="43" spans="1:18" ht="15.75" thickBot="1" x14ac:dyDescent="0.3">
      <c r="B43" s="12" t="s">
        <v>244</v>
      </c>
      <c r="C43" s="265"/>
      <c r="D43" s="265"/>
      <c r="E43" s="265"/>
      <c r="F43" s="277" t="s">
        <v>262</v>
      </c>
      <c r="G43" s="267"/>
      <c r="H43" s="6"/>
      <c r="K43" s="18"/>
      <c r="L43" s="18"/>
      <c r="M43" s="7" t="s">
        <v>45</v>
      </c>
      <c r="N43" s="18" t="s">
        <v>44</v>
      </c>
      <c r="O43" s="6"/>
      <c r="P43" s="6" t="s">
        <v>249</v>
      </c>
      <c r="Q43" s="6" t="s">
        <v>250</v>
      </c>
      <c r="R43" s="7" t="s">
        <v>251</v>
      </c>
    </row>
    <row r="44" spans="1:18" ht="16.5" thickTop="1" thickBot="1" x14ac:dyDescent="0.3">
      <c r="B44" s="85" t="s">
        <v>29</v>
      </c>
      <c r="C44" s="264" t="s">
        <v>38</v>
      </c>
      <c r="D44" s="153" t="s">
        <v>237</v>
      </c>
      <c r="E44" s="153" t="s">
        <v>238</v>
      </c>
      <c r="F44" s="164" t="s">
        <v>49</v>
      </c>
      <c r="G44" s="268" t="s">
        <v>50</v>
      </c>
      <c r="I44" s="7"/>
      <c r="K44" s="18"/>
      <c r="L44" s="7" t="s">
        <v>256</v>
      </c>
      <c r="M44" s="7"/>
      <c r="N44" s="18"/>
      <c r="O44" s="7" t="s">
        <v>258</v>
      </c>
      <c r="P44" s="6"/>
      <c r="Q44" s="6"/>
      <c r="R44" s="7"/>
    </row>
    <row r="45" spans="1:18" ht="15.75" thickBot="1" x14ac:dyDescent="0.3">
      <c r="B45" s="273" t="s">
        <v>239</v>
      </c>
      <c r="C45" s="260">
        <v>2</v>
      </c>
      <c r="D45" s="261">
        <v>2.0000000000000001E-10</v>
      </c>
      <c r="E45" s="260">
        <v>55</v>
      </c>
      <c r="F45" s="276">
        <v>120</v>
      </c>
      <c r="G45" s="263">
        <f>F45*(C38*COS(2*(E45-C39)*PI()/180)^2+C40)/(E38*(COS(2*(E45-E39)*PI()/180)^2) +E40)</f>
        <v>72.107533430297053</v>
      </c>
      <c r="I45" s="7"/>
      <c r="K45" s="18"/>
      <c r="L45" s="7" t="s">
        <v>257</v>
      </c>
      <c r="M45" s="7"/>
      <c r="N45" s="18"/>
      <c r="O45" s="7" t="s">
        <v>259</v>
      </c>
      <c r="P45" s="6"/>
      <c r="Q45" s="6"/>
      <c r="R45" s="7"/>
    </row>
    <row r="46" spans="1:18" ht="16.5" thickTop="1" thickBot="1" x14ac:dyDescent="0.3">
      <c r="B46" s="3"/>
      <c r="C46" s="3" t="s">
        <v>245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59" t="s">
        <v>100</v>
      </c>
      <c r="C47" s="254" t="s">
        <v>195</v>
      </c>
      <c r="D47" s="254" t="s">
        <v>196</v>
      </c>
      <c r="E47" s="254" t="s">
        <v>197</v>
      </c>
      <c r="F47" s="254" t="s">
        <v>198</v>
      </c>
      <c r="G47" s="254" t="s">
        <v>199</v>
      </c>
      <c r="H47" s="254" t="s">
        <v>200</v>
      </c>
      <c r="I47" s="255" t="s">
        <v>265</v>
      </c>
      <c r="J47" s="256" t="s">
        <v>266</v>
      </c>
      <c r="K47" s="18"/>
      <c r="L47" s="7" t="s">
        <v>254</v>
      </c>
      <c r="M47" s="18"/>
      <c r="N47" s="18"/>
      <c r="O47" s="18" t="s">
        <v>253</v>
      </c>
      <c r="P47" s="6"/>
      <c r="Q47" s="6"/>
      <c r="R47" s="7"/>
    </row>
    <row r="48" spans="1:18" ht="15.75" thickBot="1" x14ac:dyDescent="0.3">
      <c r="A48" s="3"/>
      <c r="B48" s="269" t="s">
        <v>99</v>
      </c>
      <c r="C48" s="270">
        <v>7.1257000000000001</v>
      </c>
      <c r="D48" s="270">
        <v>7.2892999999999999</v>
      </c>
      <c r="E48" s="270">
        <v>5.9291</v>
      </c>
      <c r="F48" s="270">
        <v>6.1681999999999997</v>
      </c>
      <c r="G48" s="270">
        <v>7.2074999999999996</v>
      </c>
      <c r="H48" s="270">
        <v>6.0486500000000003</v>
      </c>
      <c r="I48" s="271">
        <f>ABS(4.166/(C48-D48))</f>
        <v>25.464547677261656</v>
      </c>
      <c r="J48" s="272">
        <f>ABS(4.166/(F48-E48))</f>
        <v>17.423672103722318</v>
      </c>
      <c r="K48" s="18"/>
      <c r="L48" s="7" t="s">
        <v>255</v>
      </c>
      <c r="M48" s="18"/>
      <c r="N48" s="18"/>
      <c r="O48" s="18" t="s">
        <v>252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247</v>
      </c>
      <c r="M49" s="18"/>
      <c r="N49" s="18"/>
      <c r="O49" s="18" t="s">
        <v>248</v>
      </c>
      <c r="P49" s="6"/>
      <c r="Q49" s="6"/>
      <c r="R49" s="7"/>
    </row>
    <row r="50" spans="2:18" ht="16.5" thickTop="1" thickBot="1" x14ac:dyDescent="0.3">
      <c r="B50" s="253" t="s">
        <v>209</v>
      </c>
      <c r="C50" s="254" t="s">
        <v>210</v>
      </c>
      <c r="D50" s="254" t="s">
        <v>211</v>
      </c>
      <c r="E50" s="255" t="s">
        <v>212</v>
      </c>
      <c r="F50" s="255" t="s">
        <v>213</v>
      </c>
      <c r="G50" s="255" t="s">
        <v>201</v>
      </c>
      <c r="H50" s="257" t="s">
        <v>202</v>
      </c>
      <c r="I50" s="255" t="s">
        <v>242</v>
      </c>
      <c r="J50" s="256" t="s">
        <v>243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70">
        <v>2.5000000000000001E-3</v>
      </c>
      <c r="F51" s="252">
        <v>0.01</v>
      </c>
      <c r="G51" s="345">
        <v>6</v>
      </c>
      <c r="H51" s="258">
        <v>1</v>
      </c>
      <c r="I51" s="169">
        <f>(F53-C51)*I48</f>
        <v>0.38196821515891671</v>
      </c>
      <c r="J51" s="170">
        <f>(G53-D51)*J48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F52" s="250" t="s">
        <v>233</v>
      </c>
      <c r="G52" s="344" t="s">
        <v>234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F53" s="249">
        <f>C51+E51*G51</f>
        <v>7.2549999999999999</v>
      </c>
      <c r="G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346" t="s">
        <v>339</v>
      </c>
      <c r="C54" s="255" t="s">
        <v>341</v>
      </c>
      <c r="D54" s="256" t="s">
        <v>340</v>
      </c>
      <c r="E54" s="6"/>
      <c r="F54" s="6"/>
      <c r="K54" s="18"/>
      <c r="M54" s="18"/>
      <c r="N54" s="18"/>
      <c r="O54" s="6"/>
      <c r="P54" s="6"/>
      <c r="Q54" s="6"/>
      <c r="R54" s="7"/>
    </row>
    <row r="55" spans="2:18" ht="15.75" thickBot="1" x14ac:dyDescent="0.3">
      <c r="B55" s="347" t="s">
        <v>239</v>
      </c>
      <c r="C55" s="169">
        <v>7.29</v>
      </c>
      <c r="D55" s="170">
        <v>6.12</v>
      </c>
      <c r="E55" s="6"/>
      <c r="F55" s="6"/>
      <c r="K55" s="18"/>
      <c r="M55" s="18"/>
      <c r="N55" s="18"/>
      <c r="O55" s="6"/>
      <c r="P55" s="6"/>
      <c r="Q55" s="6"/>
      <c r="R55" s="7"/>
    </row>
    <row r="56" spans="2:18" ht="15.75" thickTop="1" x14ac:dyDescent="0.25">
      <c r="E56" s="6"/>
      <c r="F56" s="6"/>
      <c r="K56" s="18"/>
      <c r="M56" s="18"/>
      <c r="N56" s="18"/>
      <c r="O56" s="6"/>
      <c r="P56" s="6"/>
      <c r="Q56" s="6"/>
      <c r="R56" s="7"/>
    </row>
    <row r="57" spans="2:18" ht="15.75" thickBot="1" x14ac:dyDescent="0.3">
      <c r="B57" s="12" t="s">
        <v>98</v>
      </c>
      <c r="C57" s="265"/>
      <c r="D57" s="265"/>
      <c r="E57" s="265"/>
      <c r="F57" s="266"/>
      <c r="G57" s="267"/>
      <c r="H57" s="6"/>
      <c r="K57" s="18"/>
      <c r="L57" s="7"/>
      <c r="M57" s="18"/>
      <c r="N57" s="18"/>
      <c r="O57" s="6"/>
      <c r="P57" s="6"/>
      <c r="Q57" s="6"/>
      <c r="R57" s="7"/>
    </row>
    <row r="58" spans="2:18" ht="16.5" thickTop="1" thickBot="1" x14ac:dyDescent="0.3">
      <c r="B58" s="85" t="s">
        <v>29</v>
      </c>
      <c r="C58" s="264" t="s">
        <v>38</v>
      </c>
      <c r="D58" s="153" t="s">
        <v>237</v>
      </c>
      <c r="E58" s="153" t="s">
        <v>238</v>
      </c>
      <c r="F58" s="164" t="s">
        <v>49</v>
      </c>
      <c r="G58" s="268" t="s">
        <v>50</v>
      </c>
      <c r="I58" s="7"/>
      <c r="K58" s="18"/>
      <c r="L58" s="18"/>
      <c r="M58" s="18"/>
      <c r="N58" s="18"/>
      <c r="O58" s="6"/>
      <c r="P58" s="6"/>
      <c r="Q58" s="6"/>
    </row>
    <row r="59" spans="2:18" ht="15.75" thickBot="1" x14ac:dyDescent="0.3">
      <c r="B59" s="273" t="s">
        <v>239</v>
      </c>
      <c r="C59" s="260">
        <v>2</v>
      </c>
      <c r="D59" s="261">
        <v>2.0000000000000001E-10</v>
      </c>
      <c r="E59" s="260">
        <v>100</v>
      </c>
      <c r="F59" s="262">
        <v>60</v>
      </c>
      <c r="G59" s="263">
        <f>F59*(D38*COS(2*(E59-D39)*PI()/180)^2+D40)/(E38*(COS(2*(E59-E39)*PI()/180)^2) +E40)</f>
        <v>62.982401191385954</v>
      </c>
      <c r="I59" s="7"/>
      <c r="K59" s="18"/>
      <c r="L59" s="18"/>
      <c r="M59" s="18"/>
      <c r="N59" s="18"/>
      <c r="O59" s="6"/>
      <c r="P59" s="6"/>
      <c r="Q59" s="6"/>
    </row>
    <row r="60" spans="2:18" ht="16.5" thickTop="1" thickBot="1" x14ac:dyDescent="0.3">
      <c r="B60" s="3"/>
      <c r="C60" s="3" t="s">
        <v>245</v>
      </c>
      <c r="D60" s="6"/>
      <c r="E60" s="6"/>
      <c r="F60" s="3"/>
      <c r="G60" s="3"/>
      <c r="I60" s="3"/>
      <c r="J60" s="3"/>
      <c r="K60" s="18"/>
      <c r="L60" s="2" t="s">
        <v>271</v>
      </c>
      <c r="Q60" s="6"/>
    </row>
    <row r="61" spans="2:18" ht="16.5" thickTop="1" thickBot="1" x14ac:dyDescent="0.3">
      <c r="B61" s="259" t="s">
        <v>100</v>
      </c>
      <c r="C61" s="254" t="s">
        <v>195</v>
      </c>
      <c r="D61" s="254" t="s">
        <v>196</v>
      </c>
      <c r="E61" s="254" t="s">
        <v>197</v>
      </c>
      <c r="F61" s="254" t="s">
        <v>198</v>
      </c>
      <c r="G61" s="254" t="s">
        <v>199</v>
      </c>
      <c r="H61" s="254" t="s">
        <v>200</v>
      </c>
      <c r="I61" s="255" t="s">
        <v>240</v>
      </c>
      <c r="J61" s="256" t="s">
        <v>241</v>
      </c>
      <c r="K61" s="18"/>
      <c r="L61" s="7" t="s">
        <v>269</v>
      </c>
      <c r="M61" s="7" t="s">
        <v>270</v>
      </c>
      <c r="N61" s="7" t="s">
        <v>270</v>
      </c>
      <c r="Q61" s="6"/>
    </row>
    <row r="62" spans="2:18" ht="15.75" thickBot="1" x14ac:dyDescent="0.3">
      <c r="B62" s="269" t="s">
        <v>98</v>
      </c>
      <c r="C62" s="270">
        <v>7.0622699999999998</v>
      </c>
      <c r="D62" s="270">
        <v>7.43187</v>
      </c>
      <c r="E62" s="270">
        <v>5.8754</v>
      </c>
      <c r="F62" s="270">
        <v>6.2661199999999999</v>
      </c>
      <c r="G62" s="270">
        <f>AVERAGE(C62:D62)</f>
        <v>7.2470699999999999</v>
      </c>
      <c r="H62" s="270">
        <f>AVERAGE(E62:F62)</f>
        <v>6.0707599999999999</v>
      </c>
      <c r="I62" s="271">
        <f>ABS(4.166/(C62-D62))</f>
        <v>11.271645021645018</v>
      </c>
      <c r="J62" s="272">
        <f>ABS(4.166/(F62-E62))</f>
        <v>10.662366912366915</v>
      </c>
      <c r="K62" s="18"/>
      <c r="L62" s="7">
        <f>(F62-E62)/3 + E62</f>
        <v>6.0056399999999996</v>
      </c>
      <c r="M62" s="7">
        <v>7.3479999999999999</v>
      </c>
      <c r="N62" s="7">
        <v>6.9938000000000002</v>
      </c>
      <c r="O62" s="2">
        <f>AVERAGE(M62:N62)</f>
        <v>7.1708999999999996</v>
      </c>
      <c r="Q62" s="6"/>
    </row>
    <row r="63" spans="2:18" ht="16.5" thickTop="1" thickBot="1" x14ac:dyDescent="0.3">
      <c r="I63" s="3"/>
      <c r="J63" s="3"/>
      <c r="K63" s="18"/>
      <c r="L63" s="18"/>
      <c r="M63" s="18"/>
      <c r="N63" s="18"/>
      <c r="O63" s="6"/>
      <c r="P63" s="6"/>
      <c r="Q63" s="6"/>
    </row>
    <row r="64" spans="2:18" ht="16.5" thickTop="1" thickBot="1" x14ac:dyDescent="0.3">
      <c r="B64" s="253" t="s">
        <v>209</v>
      </c>
      <c r="C64" s="254" t="s">
        <v>210</v>
      </c>
      <c r="D64" s="254" t="s">
        <v>211</v>
      </c>
      <c r="E64" s="255" t="s">
        <v>212</v>
      </c>
      <c r="F64" s="255" t="s">
        <v>213</v>
      </c>
      <c r="G64" s="255" t="s">
        <v>201</v>
      </c>
      <c r="H64" s="257" t="s">
        <v>202</v>
      </c>
      <c r="I64" s="255" t="s">
        <v>242</v>
      </c>
      <c r="J64" s="256" t="s">
        <v>243</v>
      </c>
      <c r="K64" s="18"/>
      <c r="L64" s="18"/>
      <c r="M64" s="18"/>
      <c r="N64" s="18"/>
      <c r="O64" s="6"/>
      <c r="P64" s="6"/>
      <c r="Q64" s="6"/>
    </row>
    <row r="65" spans="1:65" ht="15.75" thickBot="1" x14ac:dyDescent="0.3">
      <c r="B65" s="168">
        <v>60</v>
      </c>
      <c r="C65" s="146">
        <v>7.24</v>
      </c>
      <c r="D65" s="146">
        <v>6.0056399999999996</v>
      </c>
      <c r="E65" s="270">
        <v>5.0000000000000001E-3</v>
      </c>
      <c r="F65" s="252">
        <v>0.02</v>
      </c>
      <c r="G65" s="345">
        <v>6</v>
      </c>
      <c r="H65" s="258">
        <v>1</v>
      </c>
      <c r="I65" s="169" t="s">
        <v>276</v>
      </c>
      <c r="J65" s="170">
        <f>(G67-D65)*J62</f>
        <v>0.21324733824733375</v>
      </c>
      <c r="K65" s="18" t="e">
        <f>(7*J65 + I65)/60</f>
        <v>#VALUE!</v>
      </c>
      <c r="L65" s="18"/>
      <c r="M65" s="18"/>
      <c r="N65" s="18"/>
      <c r="O65" s="6"/>
      <c r="P65" s="6"/>
      <c r="Q65" s="6"/>
    </row>
    <row r="66" spans="1:65" ht="16.5" thickTop="1" thickBot="1" x14ac:dyDescent="0.3">
      <c r="F66" s="250" t="s">
        <v>233</v>
      </c>
      <c r="G66" s="344" t="s">
        <v>234</v>
      </c>
      <c r="I66" s="7"/>
      <c r="J66" s="7"/>
      <c r="K66" s="18"/>
      <c r="L66" s="18"/>
      <c r="M66" s="18"/>
      <c r="N66" s="18"/>
      <c r="O66" s="6"/>
      <c r="P66" s="6"/>
      <c r="Q66" s="6"/>
    </row>
    <row r="67" spans="1:65" ht="15.75" thickBot="1" x14ac:dyDescent="0.3">
      <c r="F67" s="249">
        <f>C65+E65*G65</f>
        <v>7.2700000000000005</v>
      </c>
      <c r="G67" s="170">
        <f>D65+F65*H65</f>
        <v>6.0256399999999992</v>
      </c>
      <c r="K67" s="18"/>
      <c r="L67" s="18"/>
      <c r="M67" s="18"/>
      <c r="N67" s="18"/>
      <c r="O67" s="6"/>
      <c r="P67" s="6"/>
      <c r="Q67" s="6"/>
    </row>
    <row r="68" spans="1:65" ht="16.5" thickTop="1" thickBot="1" x14ac:dyDescent="0.3">
      <c r="B68" s="346" t="s">
        <v>339</v>
      </c>
      <c r="C68" s="255" t="s">
        <v>341</v>
      </c>
      <c r="D68" s="256" t="s">
        <v>340</v>
      </c>
      <c r="E68" s="6"/>
      <c r="F68" s="6"/>
      <c r="K68" s="18"/>
      <c r="L68" s="18"/>
      <c r="M68" s="18"/>
      <c r="N68" s="18"/>
      <c r="O68" s="6"/>
      <c r="P68" s="6"/>
      <c r="Q68" s="6"/>
    </row>
    <row r="69" spans="1:65" ht="15.75" thickBot="1" x14ac:dyDescent="0.3">
      <c r="B69" s="347" t="s">
        <v>239</v>
      </c>
      <c r="C69" s="169"/>
      <c r="D69" s="170"/>
      <c r="E69" s="6"/>
      <c r="F69" s="6"/>
      <c r="G69" s="348"/>
      <c r="K69" s="18"/>
      <c r="L69" s="18"/>
      <c r="M69" s="18"/>
      <c r="N69" s="18"/>
      <c r="O69" s="6"/>
      <c r="P69" s="6"/>
      <c r="Q69" s="6"/>
    </row>
    <row r="70" spans="1:65" ht="15.75" thickTop="1" x14ac:dyDescent="0.25">
      <c r="E70" s="6"/>
      <c r="F70" s="6"/>
      <c r="K70" s="18"/>
      <c r="L70" s="18"/>
      <c r="M70" s="18"/>
      <c r="N70" s="18"/>
      <c r="O70" s="6"/>
      <c r="P70" s="6"/>
      <c r="Q70" s="6"/>
    </row>
    <row r="71" spans="1:65" ht="15.75" thickBot="1" x14ac:dyDescent="0.3">
      <c r="E71" s="6"/>
      <c r="F71" s="6"/>
      <c r="K71" s="18"/>
      <c r="L71" s="18"/>
      <c r="M71" s="18"/>
      <c r="N71" s="18"/>
      <c r="O71" s="6"/>
      <c r="P71" s="6"/>
      <c r="Q71" s="6"/>
    </row>
    <row r="72" spans="1:65" s="1" customFormat="1" ht="16.5" thickBot="1" x14ac:dyDescent="0.3">
      <c r="A72" s="69"/>
      <c r="B72" s="71" t="s">
        <v>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</row>
    <row r="73" spans="1:65" s="3" customFormat="1" ht="16.5" thickBot="1" x14ac:dyDescent="0.3">
      <c r="B73" s="228"/>
      <c r="F73" s="230"/>
      <c r="G73" s="230"/>
    </row>
    <row r="74" spans="1:65" s="3" customFormat="1" ht="16.5" thickTop="1" thickBot="1" x14ac:dyDescent="0.3">
      <c r="B74" s="118" t="s">
        <v>227</v>
      </c>
      <c r="C74" s="231" t="s">
        <v>32</v>
      </c>
      <c r="D74" s="232" t="s">
        <v>229</v>
      </c>
      <c r="E74" s="233" t="s">
        <v>36</v>
      </c>
      <c r="F74" s="274" t="s">
        <v>246</v>
      </c>
      <c r="G74" s="234" t="s">
        <v>37</v>
      </c>
      <c r="H74" s="89" t="s">
        <v>342</v>
      </c>
    </row>
    <row r="75" spans="1:65" s="3" customFormat="1" x14ac:dyDescent="0.25">
      <c r="B75" s="113" t="s">
        <v>230</v>
      </c>
      <c r="C75" s="6"/>
      <c r="D75" s="6"/>
      <c r="E75" s="6"/>
      <c r="F75" s="6"/>
      <c r="G75" s="229"/>
      <c r="H75" s="76"/>
    </row>
    <row r="76" spans="1:65" s="3" customFormat="1" x14ac:dyDescent="0.25">
      <c r="B76" s="113" t="s">
        <v>228</v>
      </c>
      <c r="C76" s="6"/>
      <c r="D76" s="6"/>
      <c r="E76" s="6"/>
      <c r="F76" s="6"/>
      <c r="G76" s="6"/>
      <c r="H76" s="76"/>
    </row>
    <row r="77" spans="1:65" s="3" customFormat="1" ht="15.75" thickBot="1" x14ac:dyDescent="0.3">
      <c r="B77" s="110" t="s">
        <v>31</v>
      </c>
      <c r="C77" s="77">
        <v>22</v>
      </c>
      <c r="D77" s="77">
        <v>165</v>
      </c>
      <c r="E77" s="77">
        <v>120</v>
      </c>
      <c r="F77" s="77">
        <f>F76*E77</f>
        <v>0</v>
      </c>
      <c r="G77" s="77">
        <v>880</v>
      </c>
      <c r="H77" s="79">
        <v>360</v>
      </c>
    </row>
    <row r="78" spans="1:65" s="3" customFormat="1" ht="16.5" thickTop="1" x14ac:dyDescent="0.25">
      <c r="B78" s="288"/>
      <c r="C78" s="287"/>
      <c r="D78" s="287"/>
      <c r="E78" s="287"/>
      <c r="F78" s="6"/>
      <c r="G78" s="6"/>
      <c r="H78" s="6"/>
    </row>
    <row r="79" spans="1:65" s="3" customFormat="1" ht="16.5" thickBot="1" x14ac:dyDescent="0.3">
      <c r="B79" s="289"/>
      <c r="C79" s="6"/>
      <c r="D79" s="6"/>
      <c r="E79" s="6"/>
      <c r="F79" s="6"/>
      <c r="G79" s="6"/>
      <c r="H79" s="6"/>
    </row>
    <row r="80" spans="1:65" s="3" customFormat="1" ht="17.25" thickTop="1" thickBot="1" x14ac:dyDescent="0.3">
      <c r="A80" s="174"/>
      <c r="B80" s="282" t="s">
        <v>281</v>
      </c>
      <c r="C80" s="284" t="s">
        <v>282</v>
      </c>
      <c r="D80" s="285" t="s">
        <v>283</v>
      </c>
      <c r="E80" s="286" t="s">
        <v>284</v>
      </c>
      <c r="F80" s="6"/>
      <c r="G80" s="6"/>
      <c r="H80" s="6"/>
    </row>
    <row r="81" spans="1:65" s="3" customFormat="1" ht="16.5" thickBot="1" x14ac:dyDescent="0.3">
      <c r="A81" s="174"/>
      <c r="B81" s="283"/>
      <c r="C81" s="154">
        <v>473.61224900000002</v>
      </c>
      <c r="D81" s="281">
        <v>473.61225999999999</v>
      </c>
      <c r="E81" s="280">
        <f>ROUND((C81-D81)*1000000, 0)</f>
        <v>-11</v>
      </c>
      <c r="F81" s="6"/>
      <c r="G81" s="6"/>
      <c r="H81" s="6"/>
    </row>
    <row r="82" spans="1:65" s="3" customFormat="1" ht="16.5" thickTop="1" x14ac:dyDescent="0.25">
      <c r="B82" s="228"/>
      <c r="C82" s="6"/>
      <c r="D82" s="6"/>
      <c r="E82" s="6"/>
      <c r="F82" s="6"/>
      <c r="G82" s="6"/>
      <c r="H82" s="6"/>
    </row>
    <row r="83" spans="1:65" ht="27" thickBot="1" x14ac:dyDescent="0.45">
      <c r="B83" s="227" t="s">
        <v>63</v>
      </c>
      <c r="E83" s="343"/>
    </row>
    <row r="84" spans="1:65" ht="16.5" thickTop="1" thickBot="1" x14ac:dyDescent="0.3">
      <c r="A84" s="7"/>
      <c r="B84" s="118" t="s">
        <v>30</v>
      </c>
      <c r="C84" s="86" t="s">
        <v>31</v>
      </c>
      <c r="D84" s="86" t="s">
        <v>347</v>
      </c>
      <c r="E84" s="86" t="s">
        <v>346</v>
      </c>
      <c r="F84" s="89" t="s">
        <v>349</v>
      </c>
      <c r="O84" s="5"/>
      <c r="U84" s="5"/>
      <c r="V84" s="5"/>
    </row>
    <row r="85" spans="1:65" x14ac:dyDescent="0.25">
      <c r="B85" s="235" t="s">
        <v>32</v>
      </c>
      <c r="C85" s="6">
        <v>17</v>
      </c>
      <c r="D85" s="6">
        <v>607.42605000000003</v>
      </c>
      <c r="E85" s="6">
        <v>607.42605000000003</v>
      </c>
      <c r="F85" s="76">
        <f>IFERROR(D85+0.0002, "-")</f>
        <v>607.42624999999998</v>
      </c>
    </row>
    <row r="86" spans="1:65" x14ac:dyDescent="0.25">
      <c r="B86" s="238" t="s">
        <v>33</v>
      </c>
      <c r="C86" s="6"/>
      <c r="D86" s="6" t="s">
        <v>17</v>
      </c>
      <c r="E86" s="6" t="s">
        <v>17</v>
      </c>
      <c r="F86" s="76" t="str">
        <f>IFERROR(D86+0.0002, "-")</f>
        <v>-</v>
      </c>
    </row>
    <row r="87" spans="1:65" x14ac:dyDescent="0.25">
      <c r="B87" s="236" t="s">
        <v>34</v>
      </c>
      <c r="C87" s="6">
        <v>160</v>
      </c>
      <c r="D87" s="6">
        <v>461.31207999999998</v>
      </c>
      <c r="E87" s="6">
        <v>461.31210499999997</v>
      </c>
      <c r="F87" s="76">
        <f>IFERROR(D87+0.0002, "-")</f>
        <v>461.31227999999999</v>
      </c>
    </row>
    <row r="88" spans="1:65" x14ac:dyDescent="0.25">
      <c r="B88" s="237" t="s">
        <v>35</v>
      </c>
      <c r="C88" s="6"/>
      <c r="D88" s="6" t="s">
        <v>17</v>
      </c>
      <c r="E88" s="6" t="s">
        <v>17</v>
      </c>
      <c r="F88" s="76" t="str">
        <f>IFERROR(D88+0.0002, "-")</f>
        <v>-</v>
      </c>
      <c r="G88" s="7"/>
      <c r="H88" s="7"/>
      <c r="I88" s="7"/>
    </row>
    <row r="89" spans="1:65" x14ac:dyDescent="0.25">
      <c r="B89" s="239" t="s">
        <v>36</v>
      </c>
      <c r="C89" s="6">
        <v>10</v>
      </c>
      <c r="D89" s="6">
        <v>541.43304699999999</v>
      </c>
      <c r="E89" s="6">
        <v>541.43304699999999</v>
      </c>
      <c r="F89" s="76">
        <f>IFERROR(D89, "-")</f>
        <v>541.43304699999999</v>
      </c>
      <c r="G89" s="7"/>
      <c r="H89" s="7">
        <f>461.3121 + 0.000105 - 0.00002</f>
        <v>461.312185</v>
      </c>
      <c r="I89" s="7"/>
    </row>
    <row r="90" spans="1:65" x14ac:dyDescent="0.25">
      <c r="B90" s="239" t="s">
        <v>235</v>
      </c>
      <c r="C90" s="6"/>
      <c r="D90" s="6">
        <f>D89</f>
        <v>541.43304699999999</v>
      </c>
      <c r="E90" s="6">
        <f>E89</f>
        <v>541.43304699999999</v>
      </c>
      <c r="F90" s="76"/>
      <c r="G90" s="7"/>
      <c r="H90" s="7"/>
      <c r="I90" s="7"/>
    </row>
    <row r="91" spans="1:65" ht="15.75" thickBot="1" x14ac:dyDescent="0.3">
      <c r="B91" s="240" t="s">
        <v>37</v>
      </c>
      <c r="C91" s="77">
        <v>900</v>
      </c>
      <c r="D91" s="77" t="s">
        <v>17</v>
      </c>
      <c r="E91" s="77" t="s">
        <v>17</v>
      </c>
      <c r="F91" s="79" t="str">
        <f>IFERROR(D91+0.0002, "-")</f>
        <v>-</v>
      </c>
      <c r="G91" s="7"/>
      <c r="H91" s="7"/>
      <c r="I91" s="7"/>
    </row>
    <row r="92" spans="1:65" ht="15.75" thickTop="1" x14ac:dyDescent="0.25">
      <c r="C92" s="6"/>
      <c r="F92" s="105" t="s">
        <v>338</v>
      </c>
      <c r="G92" s="7"/>
      <c r="H92" s="7"/>
      <c r="I92" s="7"/>
    </row>
    <row r="93" spans="1:65" ht="15.75" thickBot="1" x14ac:dyDescent="0.3">
      <c r="A93" s="3"/>
      <c r="B93" s="2" t="s">
        <v>77</v>
      </c>
      <c r="C93" s="3"/>
      <c r="D93" s="3"/>
      <c r="F93" s="102">
        <v>15500</v>
      </c>
      <c r="G93" s="7"/>
      <c r="H93" s="7"/>
      <c r="I93" s="7"/>
    </row>
    <row r="94" spans="1:65" ht="15.75" thickTop="1" x14ac:dyDescent="0.25">
      <c r="A94" s="106"/>
      <c r="B94" s="106"/>
      <c r="C94" s="106"/>
      <c r="D94" s="106"/>
      <c r="E94" s="107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</row>
    <row r="95" spans="1:65" ht="27" thickBot="1" x14ac:dyDescent="0.45">
      <c r="A95" s="3"/>
      <c r="B95" s="227" t="s">
        <v>60</v>
      </c>
      <c r="D95" s="158"/>
      <c r="F95" s="158"/>
      <c r="G95" s="3"/>
    </row>
    <row r="96" spans="1:65" ht="16.5" thickTop="1" thickBot="1" x14ac:dyDescent="0.3">
      <c r="A96" s="8"/>
      <c r="B96" s="118" t="s">
        <v>30</v>
      </c>
      <c r="C96" s="86" t="s">
        <v>31</v>
      </c>
      <c r="D96" s="153" t="s">
        <v>193</v>
      </c>
      <c r="E96" s="86" t="s">
        <v>343</v>
      </c>
      <c r="F96" s="86" t="s">
        <v>344</v>
      </c>
      <c r="G96" s="86" t="s">
        <v>345</v>
      </c>
      <c r="H96" s="86" t="s">
        <v>73</v>
      </c>
      <c r="I96" s="89" t="s">
        <v>72</v>
      </c>
    </row>
    <row r="97" spans="1:19" x14ac:dyDescent="0.25">
      <c r="A97" s="3"/>
      <c r="B97" s="235" t="s">
        <v>32</v>
      </c>
      <c r="C97" s="6">
        <v>17</v>
      </c>
      <c r="D97" s="7">
        <v>1.833</v>
      </c>
      <c r="E97" s="6">
        <f>E85 + 0.001*D97</f>
        <v>607.42788300000007</v>
      </c>
      <c r="F97" s="6">
        <v>607.427863</v>
      </c>
      <c r="G97" s="6">
        <v>607.42789000000005</v>
      </c>
      <c r="H97" s="6">
        <v>200</v>
      </c>
      <c r="I97" s="76">
        <f t="shared" ref="I97:I102" si="2">IFERROR(E97+0.000001*H97, "-")</f>
        <v>607.42808300000002</v>
      </c>
    </row>
    <row r="98" spans="1:19" x14ac:dyDescent="0.25">
      <c r="A98" s="3"/>
      <c r="B98" s="238" t="s">
        <v>33</v>
      </c>
      <c r="C98" s="6"/>
      <c r="D98" s="7"/>
      <c r="E98" s="6" t="s">
        <v>17</v>
      </c>
      <c r="F98" s="6" t="s">
        <v>17</v>
      </c>
      <c r="G98" s="6" t="s">
        <v>17</v>
      </c>
      <c r="H98" s="6" t="s">
        <v>17</v>
      </c>
      <c r="I98" s="76" t="str">
        <f t="shared" si="2"/>
        <v>-</v>
      </c>
    </row>
    <row r="99" spans="1:19" x14ac:dyDescent="0.25">
      <c r="A99" s="3"/>
      <c r="B99" s="236" t="s">
        <v>34</v>
      </c>
      <c r="C99" s="6">
        <v>160</v>
      </c>
      <c r="D99" s="7">
        <v>0.10675</v>
      </c>
      <c r="E99" s="6">
        <f>E87 +0.001*D99</f>
        <v>461.31221174999996</v>
      </c>
      <c r="F99" s="6">
        <v>461.31219199999998</v>
      </c>
      <c r="G99" s="6">
        <v>461.31220500000001</v>
      </c>
      <c r="H99" s="6">
        <v>-200</v>
      </c>
      <c r="I99" s="76">
        <f t="shared" si="2"/>
        <v>461.31201174999995</v>
      </c>
    </row>
    <row r="100" spans="1:19" x14ac:dyDescent="0.25">
      <c r="A100" s="3"/>
      <c r="B100" s="237" t="s">
        <v>35</v>
      </c>
      <c r="C100" s="6"/>
      <c r="D100" s="7"/>
      <c r="E100" s="6" t="s">
        <v>17</v>
      </c>
      <c r="F100" s="6" t="s">
        <v>17</v>
      </c>
      <c r="G100" s="6" t="s">
        <v>17</v>
      </c>
      <c r="H100" s="6" t="s">
        <v>17</v>
      </c>
      <c r="I100" s="76" t="str">
        <f t="shared" si="2"/>
        <v>-</v>
      </c>
      <c r="K100" s="3"/>
    </row>
    <row r="101" spans="1:19" x14ac:dyDescent="0.25">
      <c r="A101" s="3"/>
      <c r="B101" s="239" t="s">
        <v>36</v>
      </c>
      <c r="C101" s="6">
        <v>10</v>
      </c>
      <c r="D101" s="7">
        <v>0.27400000000000002</v>
      </c>
      <c r="E101" s="6">
        <f>E89 + 0.001*D101</f>
        <v>541.43332099999998</v>
      </c>
      <c r="F101" s="6">
        <v>541.43332099999998</v>
      </c>
      <c r="G101" s="6">
        <v>541.43321000000003</v>
      </c>
      <c r="H101" s="6" t="s">
        <v>17</v>
      </c>
      <c r="I101" s="76" t="str">
        <f t="shared" si="2"/>
        <v>-</v>
      </c>
    </row>
    <row r="102" spans="1:19" ht="15.75" thickBot="1" x14ac:dyDescent="0.3">
      <c r="A102" s="3"/>
      <c r="B102" s="240" t="s">
        <v>37</v>
      </c>
      <c r="C102" s="77"/>
      <c r="D102" s="7"/>
      <c r="E102" s="77" t="s">
        <v>17</v>
      </c>
      <c r="F102" s="77"/>
      <c r="G102" s="77"/>
      <c r="H102" s="77" t="s">
        <v>17</v>
      </c>
      <c r="I102" s="79" t="str">
        <f t="shared" si="2"/>
        <v>-</v>
      </c>
    </row>
    <row r="103" spans="1:19" ht="16.5" thickTop="1" thickBot="1" x14ac:dyDescent="0.3">
      <c r="A103" s="3"/>
      <c r="B103" s="11"/>
      <c r="C103" s="152"/>
      <c r="D103" s="152"/>
      <c r="E103" s="152"/>
      <c r="F103" s="6"/>
      <c r="G103" s="3"/>
    </row>
    <row r="104" spans="1:19" ht="16.5" thickTop="1" thickBot="1" x14ac:dyDescent="0.3">
      <c r="A104" s="4"/>
      <c r="B104" s="118" t="s">
        <v>30</v>
      </c>
      <c r="C104" s="156" t="s">
        <v>186</v>
      </c>
      <c r="D104" s="86" t="s">
        <v>42</v>
      </c>
      <c r="E104" s="153" t="s">
        <v>182</v>
      </c>
      <c r="F104" s="86" t="s">
        <v>75</v>
      </c>
      <c r="G104" s="86" t="s">
        <v>74</v>
      </c>
      <c r="H104" s="86" t="s">
        <v>71</v>
      </c>
      <c r="I104" s="86" t="s">
        <v>277</v>
      </c>
      <c r="J104" s="89" t="s">
        <v>43</v>
      </c>
    </row>
    <row r="105" spans="1:19" x14ac:dyDescent="0.25">
      <c r="A105" s="4"/>
      <c r="B105" s="235"/>
      <c r="C105" s="7" t="s">
        <v>82</v>
      </c>
      <c r="D105" s="7">
        <v>4.0190000000000001</v>
      </c>
      <c r="E105" s="7" t="s">
        <v>84</v>
      </c>
      <c r="F105" s="7">
        <f>IFERROR($G$97 + 0.001*D105, "-")</f>
        <v>607.43190900000002</v>
      </c>
      <c r="G105" s="7">
        <f>IFERROR($G$97- 0.001*D105, "-")</f>
        <v>607.42387100000008</v>
      </c>
      <c r="H105" s="7">
        <v>8</v>
      </c>
      <c r="I105" s="229">
        <v>-38.799999999999997</v>
      </c>
      <c r="J105" s="76">
        <f>I105+'Isotope-Sw'!F38</f>
        <v>14.270000000000003</v>
      </c>
    </row>
    <row r="106" spans="1:19" x14ac:dyDescent="0.25">
      <c r="A106" s="4"/>
      <c r="B106" s="238" t="s">
        <v>32</v>
      </c>
      <c r="C106" s="7"/>
      <c r="D106" s="7"/>
      <c r="E106" s="7"/>
      <c r="F106" s="7"/>
      <c r="G106" s="7"/>
      <c r="H106" s="7"/>
      <c r="I106" s="7"/>
      <c r="J106" s="76"/>
    </row>
    <row r="107" spans="1:19" x14ac:dyDescent="0.25">
      <c r="A107" s="4"/>
      <c r="B107" s="238"/>
      <c r="C107" s="157"/>
      <c r="D107" s="14" t="s">
        <v>17</v>
      </c>
      <c r="E107" s="107"/>
      <c r="F107" s="14" t="str">
        <f>IFERROR($G$97 + 0.001*D107, "-")</f>
        <v>-</v>
      </c>
      <c r="G107" s="14" t="str">
        <f>IFERROR($G$97- 0.001*D107, "-")</f>
        <v>-</v>
      </c>
      <c r="H107" s="14"/>
      <c r="I107" s="14"/>
      <c r="J107" s="103"/>
    </row>
    <row r="108" spans="1:19" x14ac:dyDescent="0.25">
      <c r="A108" s="4"/>
      <c r="B108" s="238"/>
      <c r="C108" s="7"/>
      <c r="D108" s="6" t="s">
        <v>17</v>
      </c>
      <c r="E108" s="7"/>
      <c r="F108" s="6" t="str">
        <f>IFERROR($G$97 + 0.001*D108, "-")</f>
        <v>-</v>
      </c>
      <c r="G108" s="6" t="str">
        <f>IFERROR($G$97- 0.001*D108, "-")</f>
        <v>-</v>
      </c>
      <c r="H108" s="6"/>
      <c r="I108" s="278"/>
      <c r="J108" s="76"/>
    </row>
    <row r="109" spans="1:19" x14ac:dyDescent="0.25">
      <c r="A109" s="4"/>
      <c r="B109" s="238" t="s">
        <v>33</v>
      </c>
      <c r="C109" s="7"/>
      <c r="D109" s="6" t="s">
        <v>17</v>
      </c>
      <c r="E109" s="7"/>
      <c r="F109" s="6" t="str">
        <f>IFERROR($G$97 + 0.001*D109, "-")</f>
        <v>-</v>
      </c>
      <c r="G109" s="6" t="str">
        <f>IFERROR($G$97- 0.001*D109, "-")</f>
        <v>-</v>
      </c>
      <c r="H109" s="6"/>
      <c r="I109" s="6"/>
      <c r="J109" s="76"/>
      <c r="O109" s="6"/>
      <c r="P109" s="6"/>
      <c r="Q109" s="6"/>
      <c r="R109" s="3"/>
      <c r="S109" s="6"/>
    </row>
    <row r="110" spans="1:19" x14ac:dyDescent="0.25">
      <c r="A110" s="4"/>
      <c r="B110" s="241"/>
      <c r="C110" s="157"/>
      <c r="D110" s="14" t="s">
        <v>17</v>
      </c>
      <c r="E110" s="107"/>
      <c r="F110" s="14" t="str">
        <f>IFERROR($G$97 + 0.001*D110, "-")</f>
        <v>-</v>
      </c>
      <c r="G110" s="14" t="str">
        <f>IFERROR($G$97- 0.001*D110, "-")</f>
        <v>-</v>
      </c>
      <c r="H110" s="14"/>
      <c r="I110" s="14"/>
      <c r="J110" s="103"/>
      <c r="L110" s="3"/>
      <c r="M110" s="3"/>
      <c r="N110" s="3"/>
      <c r="O110" s="6"/>
      <c r="P110" s="6"/>
      <c r="Q110" s="6"/>
      <c r="R110" s="3"/>
      <c r="S110" s="6"/>
    </row>
    <row r="111" spans="1:19" x14ac:dyDescent="0.25">
      <c r="A111" s="4"/>
      <c r="B111" s="236"/>
      <c r="C111" s="7" t="s">
        <v>83</v>
      </c>
      <c r="D111" s="6">
        <v>0.40400000000000003</v>
      </c>
      <c r="E111" s="7" t="s">
        <v>158</v>
      </c>
      <c r="F111" s="6">
        <f>IFERROR($G$99 + 0.001*D111, "-")</f>
        <v>461.31260900000001</v>
      </c>
      <c r="G111" s="6">
        <f>IFERROR($G$99- 0.001*D111, "-")</f>
        <v>461.311801</v>
      </c>
      <c r="H111" s="6">
        <v>16</v>
      </c>
      <c r="I111" s="6">
        <v>-35.700000000000003</v>
      </c>
      <c r="J111" s="76">
        <f>I111+40.9</f>
        <v>5.1999999999999957</v>
      </c>
      <c r="L111" s="3"/>
      <c r="M111" s="3"/>
      <c r="N111" s="3"/>
      <c r="O111" s="6"/>
      <c r="P111" s="6"/>
      <c r="Q111" s="6"/>
      <c r="R111" s="3"/>
      <c r="S111" s="6"/>
    </row>
    <row r="112" spans="1:19" x14ac:dyDescent="0.25">
      <c r="A112" s="4"/>
      <c r="B112" s="236" t="s">
        <v>34</v>
      </c>
      <c r="C112" s="7"/>
      <c r="D112" s="6">
        <v>0.53800000000000003</v>
      </c>
      <c r="E112" s="7" t="s">
        <v>159</v>
      </c>
      <c r="F112" s="6">
        <f>IFERROR($G$99 + 0.001*D112, "-")</f>
        <v>461.31274300000001</v>
      </c>
      <c r="G112" s="6">
        <f>IFERROR($G$99- 0.001*D112, "-")</f>
        <v>461.311667</v>
      </c>
      <c r="H112" s="6">
        <v>12.5</v>
      </c>
      <c r="I112" s="6">
        <v>-31.7</v>
      </c>
      <c r="J112" s="76">
        <f>I112+37.8</f>
        <v>6.0999999999999979</v>
      </c>
      <c r="L112" s="3"/>
      <c r="M112" s="3"/>
      <c r="N112" s="3"/>
      <c r="O112" s="6"/>
      <c r="P112" s="6"/>
      <c r="Q112" s="6"/>
      <c r="R112" s="3"/>
      <c r="S112" s="6"/>
    </row>
    <row r="113" spans="1:65" x14ac:dyDescent="0.25">
      <c r="B113" s="243"/>
      <c r="C113" s="7"/>
      <c r="D113" s="6">
        <v>0.60399999999999998</v>
      </c>
      <c r="E113" s="7" t="s">
        <v>160</v>
      </c>
      <c r="F113" s="6">
        <f>IFERROR($G$99 + 0.001*D113, "-")</f>
        <v>461.31280900000002</v>
      </c>
      <c r="G113" s="6">
        <f>IFERROR($G$99- 0.001*D113, "-")</f>
        <v>461.311601</v>
      </c>
      <c r="H113" s="6">
        <v>13.5</v>
      </c>
      <c r="I113" s="6">
        <v>-24</v>
      </c>
      <c r="J113" s="76">
        <f>I113+37.58</f>
        <v>13.579999999999998</v>
      </c>
      <c r="L113" s="3"/>
      <c r="M113" s="3"/>
      <c r="N113" s="3"/>
      <c r="O113" s="6"/>
      <c r="P113" s="6"/>
      <c r="Q113" s="6"/>
      <c r="R113" s="3"/>
      <c r="S113" s="6"/>
    </row>
    <row r="114" spans="1:65" x14ac:dyDescent="0.25">
      <c r="B114" s="243"/>
      <c r="C114" s="157"/>
      <c r="D114" s="14" t="s">
        <v>17</v>
      </c>
      <c r="E114" s="107"/>
      <c r="F114" s="14" t="str">
        <f>IFERROR($G$99 + 0.001*D114, "-")</f>
        <v>-</v>
      </c>
      <c r="G114" s="14" t="str">
        <f>IFERROR($G$99- 0.001*D114, "-")</f>
        <v>-</v>
      </c>
      <c r="H114" s="14"/>
      <c r="I114" s="14"/>
      <c r="J114" s="103"/>
      <c r="L114" s="3"/>
      <c r="M114" s="3"/>
      <c r="N114" s="3"/>
      <c r="O114" s="6"/>
      <c r="P114" s="6"/>
      <c r="Q114" s="6"/>
      <c r="R114" s="3"/>
      <c r="S114" s="6"/>
    </row>
    <row r="115" spans="1:65" x14ac:dyDescent="0.25">
      <c r="B115" s="237"/>
      <c r="C115" s="7"/>
      <c r="D115" s="6" t="s">
        <v>17</v>
      </c>
      <c r="E115" s="7"/>
      <c r="F115" s="6" t="str">
        <f>IFERROR($G$100 + 0.001*D115, "-")</f>
        <v>-</v>
      </c>
      <c r="G115" s="6" t="str">
        <f>IFERROR($G$100- 0.001*D115, "-")</f>
        <v>-</v>
      </c>
      <c r="H115" s="6"/>
      <c r="I115" s="6"/>
      <c r="J115" s="76"/>
      <c r="L115" s="3"/>
      <c r="M115" s="3"/>
      <c r="N115" s="3"/>
      <c r="O115" s="6"/>
      <c r="P115" s="6"/>
      <c r="Q115" s="6"/>
      <c r="R115" s="3"/>
      <c r="S115" s="6"/>
    </row>
    <row r="116" spans="1:65" x14ac:dyDescent="0.25">
      <c r="B116" s="237" t="s">
        <v>35</v>
      </c>
      <c r="C116" s="7"/>
      <c r="D116" s="6" t="s">
        <v>17</v>
      </c>
      <c r="E116" s="7"/>
      <c r="F116" s="6" t="str">
        <f>IFERROR($G$100 + 0.001*D116, "-")</f>
        <v>-</v>
      </c>
      <c r="G116" s="6" t="str">
        <f>IFERROR($G$100- 0.001*D116, "-")</f>
        <v>-</v>
      </c>
      <c r="H116" s="6"/>
      <c r="I116" s="6"/>
      <c r="J116" s="76"/>
      <c r="L116" s="3"/>
      <c r="M116" s="3"/>
      <c r="N116" s="3"/>
      <c r="O116" s="6"/>
      <c r="P116" s="6"/>
      <c r="Q116" s="6"/>
      <c r="R116" s="3"/>
      <c r="S116" s="6"/>
    </row>
    <row r="117" spans="1:65" ht="15.75" thickBot="1" x14ac:dyDescent="0.3">
      <c r="B117" s="245"/>
      <c r="C117" s="154"/>
      <c r="D117" s="77" t="s">
        <v>17</v>
      </c>
      <c r="E117" s="77"/>
      <c r="F117" s="77" t="str">
        <f>IFERROR($G$100 + 0.001*D117, "-")</f>
        <v>-</v>
      </c>
      <c r="G117" s="77" t="str">
        <f>IFERROR($G$100- 0.001*D117, "-")</f>
        <v>-</v>
      </c>
      <c r="H117" s="77"/>
      <c r="I117" s="77"/>
      <c r="J117" s="79"/>
      <c r="L117" s="3"/>
      <c r="M117" s="3"/>
      <c r="N117" s="3"/>
      <c r="O117" s="6"/>
      <c r="P117" s="6"/>
      <c r="Q117" s="6"/>
      <c r="R117" s="3"/>
      <c r="S117" s="6"/>
    </row>
    <row r="118" spans="1:65" ht="16.5" thickTop="1" thickBot="1" x14ac:dyDescent="0.3">
      <c r="B118" s="3"/>
      <c r="C118" s="6"/>
      <c r="E118" s="6"/>
      <c r="F118" s="116" t="s">
        <v>338</v>
      </c>
      <c r="G118" s="3"/>
      <c r="H118" s="6"/>
      <c r="L118" s="3"/>
      <c r="M118" s="3"/>
      <c r="N118" s="3"/>
      <c r="O118" s="6"/>
      <c r="P118" s="6"/>
      <c r="Q118" s="6"/>
      <c r="R118" s="3"/>
      <c r="S118" s="6"/>
    </row>
    <row r="119" spans="1:65" ht="15.75" thickBot="1" x14ac:dyDescent="0.3">
      <c r="B119" s="2" t="s">
        <v>77</v>
      </c>
      <c r="C119" s="6"/>
      <c r="E119" s="6"/>
      <c r="F119" s="115">
        <v>6000</v>
      </c>
      <c r="G119" s="3"/>
      <c r="H119" s="6"/>
      <c r="L119" s="3"/>
      <c r="M119" s="3"/>
      <c r="N119" s="3"/>
      <c r="O119" s="6"/>
      <c r="P119" s="6"/>
      <c r="Q119" s="6"/>
      <c r="R119" s="3"/>
      <c r="S119" s="6"/>
    </row>
    <row r="120" spans="1:65" ht="15.75" thickTop="1" x14ac:dyDescent="0.25">
      <c r="A120" s="106"/>
      <c r="B120" s="106"/>
      <c r="C120" s="107"/>
      <c r="D120" s="107"/>
      <c r="E120" s="107"/>
      <c r="F120" s="106"/>
      <c r="G120" s="107"/>
      <c r="H120" s="106"/>
      <c r="I120" s="106"/>
      <c r="J120" s="106"/>
      <c r="K120" s="106"/>
      <c r="L120" s="106"/>
      <c r="M120" s="106"/>
      <c r="N120" s="106"/>
      <c r="O120" s="107"/>
      <c r="P120" s="107"/>
      <c r="Q120" s="107"/>
      <c r="R120" s="106"/>
      <c r="S120" s="107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</row>
    <row r="121" spans="1:65" ht="27" thickBot="1" x14ac:dyDescent="0.45">
      <c r="B121" s="227" t="s">
        <v>47</v>
      </c>
      <c r="D121" s="158"/>
      <c r="F121" s="158"/>
    </row>
    <row r="122" spans="1:65" ht="16.5" thickTop="1" thickBot="1" x14ac:dyDescent="0.3">
      <c r="A122" s="12"/>
      <c r="B122" s="118" t="s">
        <v>30</v>
      </c>
      <c r="C122" s="86" t="s">
        <v>31</v>
      </c>
      <c r="D122" s="86" t="s">
        <v>193</v>
      </c>
      <c r="E122" s="86" t="s">
        <v>348</v>
      </c>
      <c r="F122" s="86" t="s">
        <v>344</v>
      </c>
      <c r="G122" s="86" t="s">
        <v>345</v>
      </c>
      <c r="H122" s="86" t="s">
        <v>73</v>
      </c>
      <c r="I122" s="104" t="s">
        <v>72</v>
      </c>
    </row>
    <row r="123" spans="1:65" x14ac:dyDescent="0.25">
      <c r="B123" s="235" t="s">
        <v>32</v>
      </c>
      <c r="C123" s="6"/>
      <c r="D123" s="7">
        <v>0</v>
      </c>
      <c r="E123" s="6">
        <f>D85+0.001*D123</f>
        <v>607.42605000000003</v>
      </c>
      <c r="G123" s="6">
        <v>607.42597000000001</v>
      </c>
      <c r="H123" s="6">
        <v>200</v>
      </c>
      <c r="I123" s="76">
        <f>IFERROR(G123+0.000001*H123, "-")</f>
        <v>607.42616999999996</v>
      </c>
    </row>
    <row r="124" spans="1:65" x14ac:dyDescent="0.25">
      <c r="B124" s="238" t="s">
        <v>33</v>
      </c>
      <c r="C124" s="6"/>
      <c r="D124" s="7"/>
      <c r="E124" s="6" t="s">
        <v>17</v>
      </c>
      <c r="G124" s="6" t="s">
        <v>17</v>
      </c>
      <c r="H124" s="6" t="s">
        <v>17</v>
      </c>
      <c r="I124" s="76" t="str">
        <f t="shared" ref="I124:I128" si="3">IFERROR(G124+0.000001*H124, "-")</f>
        <v>-</v>
      </c>
    </row>
    <row r="125" spans="1:65" x14ac:dyDescent="0.25">
      <c r="B125" s="236" t="s">
        <v>34</v>
      </c>
      <c r="C125" s="6"/>
      <c r="D125" s="7">
        <v>0.5</v>
      </c>
      <c r="E125" s="6">
        <f>D87+0.001*D125</f>
        <v>461.31257999999997</v>
      </c>
      <c r="G125" s="6">
        <v>461.31204000000002</v>
      </c>
      <c r="H125" s="6">
        <v>200</v>
      </c>
      <c r="I125" s="76">
        <f t="shared" si="3"/>
        <v>461.31224000000003</v>
      </c>
    </row>
    <row r="126" spans="1:65" x14ac:dyDescent="0.25">
      <c r="B126" s="237" t="s">
        <v>35</v>
      </c>
      <c r="C126" s="6"/>
      <c r="D126" s="7"/>
      <c r="E126" s="6" t="s">
        <v>17</v>
      </c>
      <c r="G126" s="6" t="s">
        <v>17</v>
      </c>
      <c r="H126" s="6" t="s">
        <v>17</v>
      </c>
      <c r="I126" s="76" t="str">
        <f t="shared" si="3"/>
        <v>-</v>
      </c>
    </row>
    <row r="127" spans="1:65" x14ac:dyDescent="0.25">
      <c r="B127" s="239" t="s">
        <v>36</v>
      </c>
      <c r="C127" s="6"/>
      <c r="D127" s="7">
        <v>0.38650000000000001</v>
      </c>
      <c r="E127" s="6">
        <f>D89+0.001*D127</f>
        <v>541.43343349999998</v>
      </c>
      <c r="G127" s="6" t="s">
        <v>17</v>
      </c>
      <c r="H127" s="6" t="s">
        <v>17</v>
      </c>
      <c r="I127" s="76" t="str">
        <f t="shared" si="3"/>
        <v>-</v>
      </c>
    </row>
    <row r="128" spans="1:65" ht="15.75" thickBot="1" x14ac:dyDescent="0.3">
      <c r="B128" s="240" t="s">
        <v>37</v>
      </c>
      <c r="C128" s="77"/>
      <c r="D128" s="7"/>
      <c r="E128" s="77" t="s">
        <v>17</v>
      </c>
      <c r="F128" s="343"/>
      <c r="G128" s="77" t="s">
        <v>17</v>
      </c>
      <c r="H128" s="77" t="s">
        <v>17</v>
      </c>
      <c r="I128" s="79" t="str">
        <f t="shared" si="3"/>
        <v>-</v>
      </c>
    </row>
    <row r="129" spans="2:9" ht="16.5" thickTop="1" thickBot="1" x14ac:dyDescent="0.3">
      <c r="B129" s="11"/>
      <c r="C129" s="152"/>
      <c r="D129" s="152"/>
      <c r="E129" s="6"/>
      <c r="F129" s="6"/>
      <c r="G129" s="3"/>
    </row>
    <row r="130" spans="2:9" ht="16.5" thickTop="1" thickBot="1" x14ac:dyDescent="0.3">
      <c r="B130" s="118" t="s">
        <v>30</v>
      </c>
      <c r="C130" s="156" t="s">
        <v>186</v>
      </c>
      <c r="D130" s="86" t="s">
        <v>42</v>
      </c>
      <c r="E130" s="86" t="s">
        <v>183</v>
      </c>
      <c r="F130" s="86" t="s">
        <v>75</v>
      </c>
      <c r="G130" s="86" t="s">
        <v>74</v>
      </c>
      <c r="H130" s="86" t="s">
        <v>76</v>
      </c>
      <c r="I130" s="89" t="s">
        <v>43</v>
      </c>
    </row>
    <row r="131" spans="2:9" x14ac:dyDescent="0.25">
      <c r="B131" s="242"/>
      <c r="C131" s="7"/>
      <c r="D131" s="6">
        <v>4.2342500000000003</v>
      </c>
      <c r="E131" s="7" t="s">
        <v>86</v>
      </c>
      <c r="F131" s="6">
        <f t="shared" ref="F131:F137" si="4">IFERROR($G$123 + 0.001*D131, "-")</f>
        <v>607.43020424999997</v>
      </c>
      <c r="G131" s="6">
        <f t="shared" ref="G131:G137" si="5">IFERROR($G$123- 0.001*D131, "-")</f>
        <v>607.42173575000004</v>
      </c>
      <c r="H131" s="6">
        <v>14</v>
      </c>
      <c r="I131" s="76">
        <f>-7.2 + 20</f>
        <v>12.8</v>
      </c>
    </row>
    <row r="132" spans="2:9" x14ac:dyDescent="0.25">
      <c r="B132" s="238" t="s">
        <v>32</v>
      </c>
      <c r="C132" s="7"/>
      <c r="D132" s="7">
        <v>7.53</v>
      </c>
      <c r="E132" s="7" t="s">
        <v>150</v>
      </c>
      <c r="F132" s="6">
        <f t="shared" si="4"/>
        <v>607.43349999999998</v>
      </c>
      <c r="G132" s="6">
        <f t="shared" si="5"/>
        <v>607.41844000000003</v>
      </c>
      <c r="H132" s="6">
        <v>13</v>
      </c>
      <c r="I132" s="76">
        <f>-6.7+20</f>
        <v>13.3</v>
      </c>
    </row>
    <row r="133" spans="2:9" x14ac:dyDescent="0.25">
      <c r="B133" s="241"/>
      <c r="C133" s="157"/>
      <c r="D133" s="14" t="s">
        <v>17</v>
      </c>
      <c r="E133" s="14"/>
      <c r="F133" s="14" t="str">
        <f t="shared" si="4"/>
        <v>-</v>
      </c>
      <c r="G133" s="14" t="str">
        <f t="shared" si="5"/>
        <v>-</v>
      </c>
      <c r="H133" s="14"/>
      <c r="I133" s="103"/>
    </row>
    <row r="134" spans="2:9" x14ac:dyDescent="0.25">
      <c r="B134" s="238" t="s">
        <v>187</v>
      </c>
      <c r="C134" s="6"/>
      <c r="D134" s="6">
        <v>2.3944999999999999</v>
      </c>
      <c r="E134" s="7" t="s">
        <v>85</v>
      </c>
      <c r="F134" s="6">
        <f t="shared" si="4"/>
        <v>607.42836450000004</v>
      </c>
      <c r="G134" s="6">
        <f t="shared" si="5"/>
        <v>607.42357549999997</v>
      </c>
      <c r="H134" s="6">
        <v>24</v>
      </c>
      <c r="I134" s="76">
        <f>-6.8+20</f>
        <v>13.2</v>
      </c>
    </row>
    <row r="135" spans="2:9" x14ac:dyDescent="0.25">
      <c r="B135" s="238"/>
      <c r="C135" s="155"/>
      <c r="D135" s="107" t="s">
        <v>17</v>
      </c>
      <c r="E135" s="107"/>
      <c r="F135" s="107" t="str">
        <f t="shared" si="4"/>
        <v>-</v>
      </c>
      <c r="G135" s="107" t="str">
        <f t="shared" si="5"/>
        <v>-</v>
      </c>
      <c r="H135" s="107"/>
      <c r="I135" s="95"/>
    </row>
    <row r="136" spans="2:9" x14ac:dyDescent="0.25">
      <c r="B136" s="238" t="s">
        <v>33</v>
      </c>
      <c r="C136" s="7"/>
      <c r="D136" s="6">
        <v>4.2343599999999997</v>
      </c>
      <c r="E136" s="7" t="s">
        <v>86</v>
      </c>
      <c r="F136" s="6">
        <f t="shared" si="4"/>
        <v>607.43020436000006</v>
      </c>
      <c r="G136" s="6">
        <f t="shared" si="5"/>
        <v>607.42173563999995</v>
      </c>
      <c r="H136" s="6">
        <f>H131</f>
        <v>14</v>
      </c>
      <c r="I136" s="76">
        <f>I131</f>
        <v>12.8</v>
      </c>
    </row>
    <row r="137" spans="2:9" x14ac:dyDescent="0.25">
      <c r="B137" s="241"/>
      <c r="C137" s="157"/>
      <c r="D137" s="14" t="s">
        <v>17</v>
      </c>
      <c r="E137" s="14"/>
      <c r="F137" s="14" t="str">
        <f t="shared" si="4"/>
        <v>-</v>
      </c>
      <c r="G137" s="14" t="str">
        <f t="shared" si="5"/>
        <v>-</v>
      </c>
      <c r="H137" s="14"/>
      <c r="I137" s="103"/>
    </row>
    <row r="138" spans="2:9" x14ac:dyDescent="0.25">
      <c r="B138" s="243"/>
      <c r="C138" s="7" t="s">
        <v>85</v>
      </c>
      <c r="D138" s="6">
        <v>0.41060000000000002</v>
      </c>
      <c r="E138" s="7" t="s">
        <v>54</v>
      </c>
      <c r="F138" s="6">
        <f>IFERROR($G$125 + 0.001*D138, "-")</f>
        <v>461.31245060000003</v>
      </c>
      <c r="G138" s="6">
        <f>IFERROR($G$125- 0.001*D138, "-")</f>
        <v>461.31162940000002</v>
      </c>
      <c r="H138" s="6">
        <v>13</v>
      </c>
      <c r="I138" s="76">
        <f>-7 +20</f>
        <v>13</v>
      </c>
    </row>
    <row r="139" spans="2:9" x14ac:dyDescent="0.25">
      <c r="B139" s="236" t="s">
        <v>34</v>
      </c>
      <c r="C139" s="7"/>
      <c r="D139" s="6">
        <v>1.3474999999999999</v>
      </c>
      <c r="E139" s="7" t="s">
        <v>156</v>
      </c>
      <c r="F139" s="6">
        <f>IFERROR($G$125 + 0.001*D139, "-")</f>
        <v>461.31338750000003</v>
      </c>
      <c r="G139" s="6">
        <f>IFERROR($G$125- 0.001*D139, "-")</f>
        <v>461.31069250000002</v>
      </c>
      <c r="H139" s="6">
        <v>14</v>
      </c>
      <c r="I139" s="76">
        <f>-6.7+20</f>
        <v>13.3</v>
      </c>
    </row>
    <row r="140" spans="2:9" x14ac:dyDescent="0.25">
      <c r="B140" s="236"/>
      <c r="C140" s="155"/>
      <c r="D140" s="107" t="s">
        <v>17</v>
      </c>
      <c r="E140" s="107"/>
      <c r="F140" s="107" t="str">
        <f>IFERROR($G$125 + 0.001*D140, "-")</f>
        <v>-</v>
      </c>
      <c r="G140" s="107" t="str">
        <f>IFERROR($G$123- 0.001*D140, "-")</f>
        <v>-</v>
      </c>
      <c r="H140" s="107"/>
      <c r="I140" s="95"/>
    </row>
    <row r="141" spans="2:9" x14ac:dyDescent="0.25">
      <c r="B141" s="236" t="s">
        <v>194</v>
      </c>
      <c r="C141" s="7" t="s">
        <v>86</v>
      </c>
      <c r="D141" s="6">
        <v>0.49225000000000002</v>
      </c>
      <c r="E141" s="7" t="s">
        <v>157</v>
      </c>
      <c r="F141" s="6">
        <f>IFERROR($G$125 + 0.001*D141, "-")</f>
        <v>461.31253225</v>
      </c>
      <c r="G141" s="6">
        <f>IFERROR($G$125- 0.001*D141, "-")</f>
        <v>461.31154775000005</v>
      </c>
      <c r="H141" s="6">
        <v>18.5</v>
      </c>
      <c r="I141" s="76">
        <f>-6.7+20</f>
        <v>13.3</v>
      </c>
    </row>
    <row r="142" spans="2:9" x14ac:dyDescent="0.25">
      <c r="B142" s="243"/>
      <c r="C142" s="155"/>
      <c r="D142" s="14" t="s">
        <v>17</v>
      </c>
      <c r="E142" s="107"/>
      <c r="F142" s="14" t="str">
        <f>IFERROR($G$125 + 0.001*D142, "-")</f>
        <v>-</v>
      </c>
      <c r="G142" s="14" t="str">
        <f>IFERROR($G$125- 0.001*D142, "-")</f>
        <v>-</v>
      </c>
      <c r="H142" s="14"/>
      <c r="I142" s="103"/>
    </row>
    <row r="143" spans="2:9" x14ac:dyDescent="0.25">
      <c r="B143" s="244"/>
      <c r="C143" s="7"/>
      <c r="D143" s="6" t="s">
        <v>17</v>
      </c>
      <c r="E143" s="7"/>
      <c r="F143" s="6" t="str">
        <f>IFERROR($G$126 + 0.001*D143, "-")</f>
        <v>-</v>
      </c>
      <c r="G143" s="6" t="str">
        <f>IFERROR($G$126- 0.001*D143, "-")</f>
        <v>-</v>
      </c>
      <c r="H143" s="6"/>
      <c r="I143" s="76"/>
    </row>
    <row r="144" spans="2:9" x14ac:dyDescent="0.25">
      <c r="B144" s="237" t="s">
        <v>35</v>
      </c>
      <c r="C144" s="7"/>
      <c r="D144" s="6" t="s">
        <v>17</v>
      </c>
      <c r="E144" s="7"/>
      <c r="F144" s="6" t="str">
        <f>IFERROR($G$126 + 0.001*D144, "-")</f>
        <v>-</v>
      </c>
      <c r="G144" s="6" t="str">
        <f>IFERROR($G$126- 0.001*D144, "-")</f>
        <v>-</v>
      </c>
      <c r="H144" s="6"/>
      <c r="I144" s="76"/>
    </row>
    <row r="145" spans="1:65" ht="15.75" thickBot="1" x14ac:dyDescent="0.3">
      <c r="B145" s="245"/>
      <c r="C145" s="154"/>
      <c r="D145" s="77" t="s">
        <v>17</v>
      </c>
      <c r="E145" s="77"/>
      <c r="F145" s="77" t="str">
        <f>IFERROR($G$126 + 0.001*D145, "-")</f>
        <v>-</v>
      </c>
      <c r="G145" s="77" t="str">
        <f>IFERROR($G$126- 0.001*D145, "-")</f>
        <v>-</v>
      </c>
      <c r="H145" s="77"/>
      <c r="I145" s="79"/>
    </row>
    <row r="146" spans="1:65" ht="16.5" thickTop="1" thickBot="1" x14ac:dyDescent="0.3">
      <c r="F146" s="116" t="s">
        <v>338</v>
      </c>
    </row>
    <row r="147" spans="1:65" ht="15.75" thickBot="1" x14ac:dyDescent="0.3">
      <c r="B147" s="2" t="s">
        <v>77</v>
      </c>
      <c r="F147" s="115"/>
      <c r="G147" s="3"/>
      <c r="H147" s="3"/>
    </row>
    <row r="148" spans="1:65" ht="16.5" thickTop="1" thickBot="1" x14ac:dyDescent="0.3"/>
    <row r="149" spans="1:65" s="1" customFormat="1" ht="16.5" thickBot="1" x14ac:dyDescent="0.3">
      <c r="A149" s="69"/>
      <c r="B149" s="71" t="s">
        <v>41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 t="str">
        <f>IF($I$100 ="-", "",$I$100 )</f>
        <v/>
      </c>
      <c r="N149" s="69"/>
      <c r="O149" s="69" t="str">
        <f t="shared" ref="O149" si="6">IFERROR(M149 + 0.001*N149, "")</f>
        <v/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</row>
    <row r="152" spans="1:65" x14ac:dyDescent="0.25">
      <c r="I152" s="9"/>
      <c r="J152" s="7"/>
      <c r="K152" s="7"/>
      <c r="L152" s="7"/>
      <c r="M152" s="7"/>
    </row>
    <row r="153" spans="1:65" x14ac:dyDescent="0.25">
      <c r="J153" s="7"/>
      <c r="K153" s="7"/>
      <c r="L153" s="7"/>
      <c r="M153" s="7"/>
    </row>
    <row r="154" spans="1:65" x14ac:dyDescent="0.25">
      <c r="J154" s="7"/>
      <c r="K154" s="7"/>
      <c r="L154" s="7"/>
      <c r="M154" s="7"/>
    </row>
    <row r="155" spans="1:65" x14ac:dyDescent="0.25">
      <c r="J155" s="7"/>
      <c r="K155" s="7"/>
      <c r="L155" s="7"/>
      <c r="M155" s="7"/>
    </row>
    <row r="156" spans="1:65" x14ac:dyDescent="0.25">
      <c r="J156" s="7"/>
      <c r="K156" s="7"/>
      <c r="L156" s="7"/>
      <c r="M156" s="7"/>
    </row>
    <row r="157" spans="1:65" x14ac:dyDescent="0.25">
      <c r="J157" s="7"/>
      <c r="K157" s="7"/>
      <c r="L157" s="7"/>
      <c r="M157" s="7"/>
    </row>
    <row r="158" spans="1:65" x14ac:dyDescent="0.25">
      <c r="J158" s="7"/>
      <c r="K158" s="7"/>
      <c r="L158" s="7"/>
      <c r="M158" s="7"/>
    </row>
    <row r="159" spans="1:65" x14ac:dyDescent="0.25">
      <c r="J159" s="7"/>
      <c r="K159" s="7"/>
      <c r="L159" s="7"/>
      <c r="M159" s="7"/>
    </row>
    <row r="165" spans="10:10" x14ac:dyDescent="0.25">
      <c r="J165" s="2">
        <f>5226-4695</f>
        <v>531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</row>
    <row r="3" spans="1:25" ht="15.75" thickBot="1" x14ac:dyDescent="0.3"/>
    <row r="4" spans="1:25" ht="16.5" thickTop="1" thickBot="1" x14ac:dyDescent="0.3">
      <c r="B4" s="315" t="s">
        <v>301</v>
      </c>
      <c r="C4" s="316" t="s">
        <v>302</v>
      </c>
      <c r="D4" s="316" t="s">
        <v>307</v>
      </c>
      <c r="E4" s="316" t="s">
        <v>308</v>
      </c>
      <c r="F4" s="317" t="s">
        <v>309</v>
      </c>
      <c r="G4" s="45"/>
    </row>
    <row r="5" spans="1:25" ht="16.5" thickTop="1" thickBot="1" x14ac:dyDescent="0.3">
      <c r="B5" s="320" t="s">
        <v>53</v>
      </c>
      <c r="C5" s="18"/>
      <c r="D5" s="322" t="s">
        <v>58</v>
      </c>
      <c r="E5" s="325" t="s">
        <v>53</v>
      </c>
      <c r="F5" s="302">
        <v>0.75600000000000001</v>
      </c>
      <c r="G5" s="18"/>
      <c r="K5" s="328" t="s">
        <v>317</v>
      </c>
    </row>
    <row r="6" spans="1:25" ht="15.75" thickBot="1" x14ac:dyDescent="0.3">
      <c r="B6" s="321" t="s">
        <v>58</v>
      </c>
      <c r="C6" s="18" t="s">
        <v>311</v>
      </c>
      <c r="D6" s="339"/>
      <c r="E6" s="338" t="s">
        <v>70</v>
      </c>
      <c r="F6" s="302">
        <v>0.24399999999999999</v>
      </c>
      <c r="G6" s="18"/>
      <c r="K6" s="311">
        <f>Main!F85</f>
        <v>607.42624999999998</v>
      </c>
    </row>
    <row r="7" spans="1:25" x14ac:dyDescent="0.25">
      <c r="B7" s="321" t="s">
        <v>303</v>
      </c>
      <c r="C7" s="18" t="s">
        <v>312</v>
      </c>
      <c r="D7" s="323"/>
      <c r="E7" s="326" t="s">
        <v>53</v>
      </c>
      <c r="F7" s="302">
        <v>0.75600000000000001</v>
      </c>
      <c r="G7" s="18"/>
    </row>
    <row r="8" spans="1:25" x14ac:dyDescent="0.25">
      <c r="B8" s="321" t="s">
        <v>70</v>
      </c>
      <c r="C8" s="18" t="s">
        <v>313</v>
      </c>
      <c r="D8" s="323" t="s">
        <v>303</v>
      </c>
      <c r="E8" s="326" t="s">
        <v>70</v>
      </c>
      <c r="F8" s="302">
        <v>2.9000000000000001E-2</v>
      </c>
      <c r="G8" s="18"/>
    </row>
    <row r="9" spans="1:25" ht="15.75" thickBot="1" x14ac:dyDescent="0.3">
      <c r="B9" s="321" t="s">
        <v>304</v>
      </c>
      <c r="C9" s="18" t="s">
        <v>314</v>
      </c>
      <c r="D9" s="339"/>
      <c r="E9" s="338" t="s">
        <v>304</v>
      </c>
      <c r="F9" s="302">
        <v>0.215</v>
      </c>
      <c r="G9" s="18"/>
    </row>
    <row r="10" spans="1:25" x14ac:dyDescent="0.25">
      <c r="B10" s="321"/>
      <c r="C10" s="17"/>
      <c r="D10" s="323" t="s">
        <v>304</v>
      </c>
      <c r="E10" s="326" t="s">
        <v>53</v>
      </c>
      <c r="F10" s="302">
        <v>0.84599999999999997</v>
      </c>
      <c r="G10" s="18"/>
    </row>
    <row r="11" spans="1:25" ht="15.75" thickBot="1" x14ac:dyDescent="0.3">
      <c r="B11" s="309"/>
      <c r="C11" s="146"/>
      <c r="D11" s="324"/>
      <c r="E11" s="327" t="s">
        <v>70</v>
      </c>
      <c r="F11" s="303">
        <v>0.154</v>
      </c>
      <c r="G11" s="18"/>
    </row>
    <row r="12" spans="1:25" ht="15.75" thickTop="1" x14ac:dyDescent="0.25">
      <c r="C12" s="19" t="s">
        <v>315</v>
      </c>
      <c r="F12" s="16" t="s">
        <v>316</v>
      </c>
    </row>
    <row r="13" spans="1:25" ht="15.75" thickBot="1" x14ac:dyDescent="0.3"/>
    <row r="14" spans="1:25" ht="15.75" thickBot="1" x14ac:dyDescent="0.3">
      <c r="A14" s="312"/>
      <c r="B14" s="318" t="s">
        <v>60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</row>
    <row r="15" spans="1:25" ht="15.75" thickBot="1" x14ac:dyDescent="0.3"/>
    <row r="16" spans="1:25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G16" s="18"/>
      <c r="K16" s="328" t="s">
        <v>306</v>
      </c>
    </row>
    <row r="17" spans="2:11" ht="15.75" thickBot="1" x14ac:dyDescent="0.3">
      <c r="B17" s="329" t="s">
        <v>58</v>
      </c>
      <c r="C17" s="325" t="s">
        <v>53</v>
      </c>
      <c r="D17" s="18">
        <v>271.10000000000002</v>
      </c>
      <c r="E17" s="302">
        <f>$K$6+D17*0.000001</f>
        <v>607.42652109999995</v>
      </c>
      <c r="F17" s="18" t="s">
        <v>321</v>
      </c>
      <c r="G17" s="18"/>
      <c r="K17" s="314">
        <v>1.5</v>
      </c>
    </row>
    <row r="18" spans="2:11" ht="16.5" thickTop="1" thickBot="1" x14ac:dyDescent="0.3">
      <c r="B18" s="337"/>
      <c r="C18" s="338" t="s">
        <v>70</v>
      </c>
      <c r="D18" s="18">
        <v>-13</v>
      </c>
      <c r="E18" s="302">
        <f t="shared" ref="E18:E23" si="0">$K$6+D18*0.000001</f>
        <v>607.42623700000001</v>
      </c>
      <c r="F18" s="18" t="s">
        <v>322</v>
      </c>
      <c r="G18" s="18"/>
      <c r="H18" s="19"/>
      <c r="J18" s="19"/>
    </row>
    <row r="19" spans="2:11" x14ac:dyDescent="0.25">
      <c r="B19" s="329"/>
      <c r="C19" s="326" t="s">
        <v>53</v>
      </c>
      <c r="D19" s="18">
        <v>279</v>
      </c>
      <c r="E19" s="302">
        <f t="shared" si="0"/>
        <v>607.42652899999996</v>
      </c>
      <c r="F19" s="18" t="s">
        <v>321</v>
      </c>
      <c r="G19" s="18"/>
      <c r="H19" s="19"/>
    </row>
    <row r="20" spans="2:11" x14ac:dyDescent="0.25">
      <c r="B20" s="329" t="s">
        <v>303</v>
      </c>
      <c r="C20" s="326" t="s">
        <v>70</v>
      </c>
      <c r="D20" s="18">
        <v>-7.4</v>
      </c>
      <c r="E20" s="302">
        <f t="shared" si="0"/>
        <v>607.42624260000002</v>
      </c>
      <c r="F20" s="18" t="s">
        <v>323</v>
      </c>
      <c r="G20" s="18"/>
      <c r="H20" s="19"/>
    </row>
    <row r="21" spans="2:11" ht="15.75" thickBot="1" x14ac:dyDescent="0.3">
      <c r="B21" s="337"/>
      <c r="C21" s="338" t="s">
        <v>304</v>
      </c>
      <c r="D21" s="18">
        <v>-3.2</v>
      </c>
      <c r="E21" s="302">
        <f t="shared" si="0"/>
        <v>607.42624679999994</v>
      </c>
      <c r="F21" s="18" t="s">
        <v>323</v>
      </c>
      <c r="G21" s="18"/>
      <c r="H21" s="19"/>
    </row>
    <row r="22" spans="2:11" x14ac:dyDescent="0.25">
      <c r="B22" s="329" t="s">
        <v>304</v>
      </c>
      <c r="C22" s="326" t="s">
        <v>53</v>
      </c>
      <c r="D22" s="18" t="s">
        <v>305</v>
      </c>
      <c r="E22" s="302" t="e">
        <f t="shared" si="0"/>
        <v>#VALUE!</v>
      </c>
      <c r="F22" s="18"/>
      <c r="G22" s="18"/>
      <c r="H22" s="19"/>
    </row>
    <row r="23" spans="2:11" ht="15.75" thickBot="1" x14ac:dyDescent="0.3">
      <c r="B23" s="330"/>
      <c r="C23" s="327" t="s">
        <v>70</v>
      </c>
      <c r="D23" s="146" t="s">
        <v>305</v>
      </c>
      <c r="E23" s="303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5" t="s">
        <v>301</v>
      </c>
      <c r="C25" s="316" t="s">
        <v>328</v>
      </c>
      <c r="D25" s="316" t="s">
        <v>329</v>
      </c>
      <c r="E25" s="316" t="s">
        <v>54</v>
      </c>
      <c r="F25" s="316" t="s">
        <v>310</v>
      </c>
      <c r="G25" s="316" t="s">
        <v>331</v>
      </c>
      <c r="H25" s="317" t="s">
        <v>327</v>
      </c>
    </row>
    <row r="26" spans="2:11" x14ac:dyDescent="0.25">
      <c r="B26" s="320" t="s">
        <v>53</v>
      </c>
      <c r="C26" s="18">
        <v>4018.8710000000001</v>
      </c>
      <c r="D26" s="304">
        <v>0</v>
      </c>
      <c r="E26" s="331">
        <v>1</v>
      </c>
      <c r="F26" s="18">
        <v>-0.69981212000000004</v>
      </c>
      <c r="G26" s="18">
        <v>-0.5</v>
      </c>
      <c r="H26" s="302">
        <v>-5023.5887499999999</v>
      </c>
      <c r="I26" s="16" t="s">
        <v>332</v>
      </c>
    </row>
    <row r="27" spans="2:11" ht="15.75" thickBot="1" x14ac:dyDescent="0.3">
      <c r="B27" s="334"/>
      <c r="C27" s="251"/>
      <c r="D27" s="310"/>
      <c r="E27" s="335">
        <v>2</v>
      </c>
      <c r="F27" s="251">
        <v>-0.69981212000000004</v>
      </c>
      <c r="G27" s="251">
        <v>0.5</v>
      </c>
      <c r="H27" s="336">
        <v>3014.1532499999998</v>
      </c>
    </row>
    <row r="28" spans="2:11" x14ac:dyDescent="0.25">
      <c r="B28" s="321" t="s">
        <v>58</v>
      </c>
      <c r="C28" s="18">
        <v>743.7</v>
      </c>
      <c r="D28" s="305">
        <v>0</v>
      </c>
      <c r="E28" s="332">
        <v>1</v>
      </c>
      <c r="F28" s="18">
        <v>-0.23327070666666599</v>
      </c>
      <c r="G28" s="18">
        <v>-0.16666600000000001</v>
      </c>
      <c r="H28" s="302">
        <v>-929.625</v>
      </c>
      <c r="I28" s="16" t="s">
        <v>322</v>
      </c>
    </row>
    <row r="29" spans="2:11" ht="15.75" thickBot="1" x14ac:dyDescent="0.3">
      <c r="B29" s="334"/>
      <c r="C29" s="251"/>
      <c r="D29" s="310"/>
      <c r="E29" s="335">
        <v>2</v>
      </c>
      <c r="F29" s="251">
        <v>-0.23327070666666599</v>
      </c>
      <c r="G29" s="251">
        <v>0.16666600000000001</v>
      </c>
      <c r="H29" s="336">
        <v>557.77499999999998</v>
      </c>
    </row>
    <row r="30" spans="2:11" x14ac:dyDescent="0.25">
      <c r="B30" s="321"/>
      <c r="C30" s="18">
        <v>127.2</v>
      </c>
      <c r="D30" s="305">
        <v>59</v>
      </c>
      <c r="E30" s="332">
        <v>0</v>
      </c>
      <c r="F30" s="18">
        <v>0</v>
      </c>
      <c r="G30" s="18">
        <v>0</v>
      </c>
      <c r="H30" s="302">
        <v>-364.5</v>
      </c>
      <c r="I30" s="16" t="s">
        <v>322</v>
      </c>
    </row>
    <row r="31" spans="2:11" x14ac:dyDescent="0.25">
      <c r="B31" s="321" t="s">
        <v>303</v>
      </c>
      <c r="C31" s="18"/>
      <c r="D31" s="305"/>
      <c r="E31" s="332">
        <v>1</v>
      </c>
      <c r="F31" s="18">
        <v>0.93308282666666598</v>
      </c>
      <c r="G31" s="18">
        <v>0.66666000000000003</v>
      </c>
      <c r="H31" s="302">
        <v>-327.3</v>
      </c>
    </row>
    <row r="32" spans="2:11" x14ac:dyDescent="0.25">
      <c r="B32" s="321"/>
      <c r="C32" s="18"/>
      <c r="D32" s="305"/>
      <c r="E32" s="332">
        <v>2</v>
      </c>
      <c r="F32" s="18">
        <v>0.93308282666666598</v>
      </c>
      <c r="G32" s="18">
        <v>0.66666000000000003</v>
      </c>
      <c r="H32" s="302">
        <v>-162.9</v>
      </c>
    </row>
    <row r="33" spans="1:24" ht="15.75" thickBot="1" x14ac:dyDescent="0.3">
      <c r="B33" s="334"/>
      <c r="C33" s="251"/>
      <c r="D33" s="310"/>
      <c r="E33" s="335">
        <v>3</v>
      </c>
      <c r="F33" s="251">
        <v>0.93308282666666598</v>
      </c>
      <c r="G33" s="251">
        <v>0.66666000000000003</v>
      </c>
      <c r="H33" s="336">
        <v>308.7</v>
      </c>
    </row>
    <row r="34" spans="1:24" x14ac:dyDescent="0.25">
      <c r="B34" s="321"/>
      <c r="C34" s="18">
        <v>189.7296</v>
      </c>
      <c r="D34" s="305">
        <v>44.540799999999997</v>
      </c>
      <c r="E34" s="332">
        <v>0</v>
      </c>
      <c r="F34" s="18">
        <v>0</v>
      </c>
      <c r="G34" s="18">
        <v>0</v>
      </c>
      <c r="H34" s="302">
        <v>-655.81</v>
      </c>
      <c r="I34" s="16" t="s">
        <v>333</v>
      </c>
    </row>
    <row r="35" spans="1:24" x14ac:dyDescent="0.25">
      <c r="B35" s="321" t="s">
        <v>70</v>
      </c>
      <c r="C35" s="18"/>
      <c r="D35" s="305"/>
      <c r="E35" s="332">
        <v>1</v>
      </c>
      <c r="F35" s="18">
        <v>0.55984969600000001</v>
      </c>
      <c r="G35" s="18">
        <v>0.4</v>
      </c>
      <c r="H35" s="302">
        <v>-510.62119999999999</v>
      </c>
    </row>
    <row r="36" spans="1:24" x14ac:dyDescent="0.25">
      <c r="B36" s="321"/>
      <c r="C36" s="18"/>
      <c r="D36" s="305"/>
      <c r="E36" s="332">
        <v>2</v>
      </c>
      <c r="F36" s="18">
        <v>0.55984969600000001</v>
      </c>
      <c r="G36" s="18">
        <v>0.4</v>
      </c>
      <c r="H36" s="302">
        <v>-175.7028</v>
      </c>
    </row>
    <row r="37" spans="1:24" ht="15.75" thickBot="1" x14ac:dyDescent="0.3">
      <c r="B37" s="334"/>
      <c r="C37" s="251"/>
      <c r="D37" s="310"/>
      <c r="E37" s="335">
        <v>3</v>
      </c>
      <c r="F37" s="251">
        <v>0.55984969600000001</v>
      </c>
      <c r="G37" s="251">
        <v>0.4</v>
      </c>
      <c r="H37" s="336">
        <v>438.02679999999998</v>
      </c>
    </row>
    <row r="38" spans="1:24" x14ac:dyDescent="0.25">
      <c r="B38" s="321"/>
      <c r="C38" s="18">
        <v>-12.028</v>
      </c>
      <c r="D38" s="305">
        <v>59.533000000000001</v>
      </c>
      <c r="E38" s="332">
        <v>1</v>
      </c>
      <c r="F38" s="18">
        <v>2.9392109039999998</v>
      </c>
      <c r="G38" s="18">
        <v>2.1</v>
      </c>
      <c r="H38" s="302">
        <v>104.82</v>
      </c>
      <c r="I38" s="16" t="s">
        <v>334</v>
      </c>
    </row>
    <row r="39" spans="1:24" x14ac:dyDescent="0.25">
      <c r="B39" s="321" t="s">
        <v>304</v>
      </c>
      <c r="C39" s="18"/>
      <c r="D39" s="305"/>
      <c r="E39" s="332">
        <v>2</v>
      </c>
      <c r="F39" s="18">
        <v>1.539586664</v>
      </c>
      <c r="G39" s="18">
        <v>1.09999</v>
      </c>
      <c r="H39" s="302">
        <v>33.137700000000002</v>
      </c>
    </row>
    <row r="40" spans="1:24" x14ac:dyDescent="0.25">
      <c r="B40" s="308"/>
      <c r="C40" s="18"/>
      <c r="D40" s="305"/>
      <c r="E40" s="332">
        <v>3</v>
      </c>
      <c r="F40" s="18">
        <v>1.1896806040000001</v>
      </c>
      <c r="G40" s="18">
        <v>0.85</v>
      </c>
      <c r="H40" s="302">
        <v>-29.736149999999999</v>
      </c>
    </row>
    <row r="41" spans="1:24" ht="15.75" thickBot="1" x14ac:dyDescent="0.3">
      <c r="B41" s="309"/>
      <c r="C41" s="146"/>
      <c r="D41" s="306"/>
      <c r="E41" s="333">
        <v>4</v>
      </c>
      <c r="F41" s="146">
        <v>1.0497181799999999</v>
      </c>
      <c r="G41" s="146">
        <v>0.75</v>
      </c>
      <c r="H41" s="303">
        <v>-30.22175</v>
      </c>
    </row>
    <row r="42" spans="1:24" ht="16.5" thickTop="1" thickBot="1" x14ac:dyDescent="0.3"/>
    <row r="43" spans="1:24" ht="15.75" thickBot="1" x14ac:dyDescent="0.3">
      <c r="A43" s="312"/>
      <c r="B43" s="318" t="s">
        <v>330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</row>
    <row r="44" spans="1:24" ht="15.75" thickBot="1" x14ac:dyDescent="0.3"/>
    <row r="45" spans="1:24" ht="16.5" thickTop="1" thickBot="1" x14ac:dyDescent="0.3">
      <c r="B45" s="315" t="s">
        <v>307</v>
      </c>
      <c r="C45" s="316" t="s">
        <v>308</v>
      </c>
      <c r="D45" s="316" t="s">
        <v>318</v>
      </c>
      <c r="E45" s="317" t="s">
        <v>319</v>
      </c>
      <c r="F45" s="18"/>
      <c r="G45" s="18"/>
      <c r="K45" s="328" t="s">
        <v>306</v>
      </c>
    </row>
    <row r="46" spans="1:24" ht="15.75" thickBot="1" x14ac:dyDescent="0.3">
      <c r="B46" s="329" t="s">
        <v>58</v>
      </c>
      <c r="C46" s="325" t="s">
        <v>53</v>
      </c>
      <c r="D46" s="18">
        <v>348.6</v>
      </c>
      <c r="E46" s="302">
        <f>$K$6+D46*0.000001</f>
        <v>607.42659860000003</v>
      </c>
      <c r="F46" s="18" t="s">
        <v>321</v>
      </c>
      <c r="G46" s="18"/>
      <c r="K46" s="314">
        <v>1.5</v>
      </c>
    </row>
    <row r="47" spans="1:24" ht="16.5" thickTop="1" thickBot="1" x14ac:dyDescent="0.3">
      <c r="B47" s="337"/>
      <c r="C47" s="338" t="s">
        <v>70</v>
      </c>
      <c r="D47" s="18">
        <v>82.7</v>
      </c>
      <c r="E47" s="302">
        <f t="shared" ref="E47:E52" si="1">$K$6+D47*0.000001</f>
        <v>607.42633269999999</v>
      </c>
      <c r="F47" s="18" t="s">
        <v>322</v>
      </c>
      <c r="G47" s="18"/>
      <c r="H47" s="19"/>
      <c r="J47" s="19"/>
    </row>
    <row r="48" spans="1:24" x14ac:dyDescent="0.25">
      <c r="B48" s="329"/>
      <c r="C48" s="326" t="s">
        <v>53</v>
      </c>
      <c r="D48" s="18">
        <v>360.7</v>
      </c>
      <c r="E48" s="302">
        <f t="shared" si="1"/>
        <v>607.42661069999997</v>
      </c>
      <c r="F48" s="18" t="s">
        <v>321</v>
      </c>
      <c r="G48" s="18"/>
      <c r="H48" s="19"/>
    </row>
    <row r="49" spans="2:9" x14ac:dyDescent="0.25">
      <c r="B49" s="329" t="s">
        <v>303</v>
      </c>
      <c r="C49" s="326" t="s">
        <v>70</v>
      </c>
      <c r="D49" s="18">
        <v>-96.9</v>
      </c>
      <c r="E49" s="302">
        <f t="shared" si="1"/>
        <v>607.42615309999996</v>
      </c>
      <c r="F49" s="18" t="s">
        <v>323</v>
      </c>
      <c r="G49" s="18"/>
      <c r="H49" s="19"/>
    </row>
    <row r="50" spans="2:9" ht="15.75" thickBot="1" x14ac:dyDescent="0.3">
      <c r="B50" s="337"/>
      <c r="C50" s="338" t="s">
        <v>304</v>
      </c>
      <c r="D50" s="18">
        <v>-103.8</v>
      </c>
      <c r="E50" s="302">
        <f t="shared" si="1"/>
        <v>607.42614619999995</v>
      </c>
      <c r="F50" s="18" t="s">
        <v>323</v>
      </c>
      <c r="G50" s="18"/>
      <c r="H50" s="19"/>
    </row>
    <row r="51" spans="2:9" x14ac:dyDescent="0.25">
      <c r="B51" s="329" t="s">
        <v>304</v>
      </c>
      <c r="C51" s="326" t="s">
        <v>53</v>
      </c>
      <c r="D51" s="18" t="s">
        <v>305</v>
      </c>
      <c r="E51" s="302" t="e">
        <f t="shared" si="1"/>
        <v>#VALUE!</v>
      </c>
      <c r="F51" s="18"/>
      <c r="G51" s="18"/>
      <c r="H51" s="19"/>
    </row>
    <row r="52" spans="2:9" ht="15.75" thickBot="1" x14ac:dyDescent="0.3">
      <c r="B52" s="330"/>
      <c r="C52" s="327" t="s">
        <v>70</v>
      </c>
      <c r="D52" s="146" t="s">
        <v>305</v>
      </c>
      <c r="E52" s="303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5" t="s">
        <v>301</v>
      </c>
      <c r="C54" s="316" t="s">
        <v>328</v>
      </c>
      <c r="D54" s="316" t="s">
        <v>329</v>
      </c>
      <c r="E54" s="316" t="s">
        <v>54</v>
      </c>
      <c r="F54" s="316" t="s">
        <v>310</v>
      </c>
      <c r="G54" s="316" t="s">
        <v>331</v>
      </c>
      <c r="H54" s="317" t="s">
        <v>327</v>
      </c>
    </row>
    <row r="55" spans="2:9" x14ac:dyDescent="0.25">
      <c r="B55" s="320" t="s">
        <v>53</v>
      </c>
      <c r="C55" s="18">
        <v>3591.67011718</v>
      </c>
      <c r="D55" s="304">
        <v>0</v>
      </c>
      <c r="E55" s="331">
        <v>1</v>
      </c>
      <c r="F55" s="18">
        <v>-0.69981212000000004</v>
      </c>
      <c r="G55" s="18">
        <v>-0.5</v>
      </c>
      <c r="H55" s="302">
        <v>-4489.59</v>
      </c>
      <c r="I55" s="16" t="s">
        <v>335</v>
      </c>
    </row>
    <row r="56" spans="2:9" ht="15.75" thickBot="1" x14ac:dyDescent="0.3">
      <c r="B56" s="334"/>
      <c r="C56" s="251"/>
      <c r="D56" s="310"/>
      <c r="E56" s="335">
        <v>2</v>
      </c>
      <c r="F56" s="251">
        <v>-0.69981212000000004</v>
      </c>
      <c r="G56" s="251">
        <v>0.5</v>
      </c>
      <c r="H56" s="336">
        <v>2693.75</v>
      </c>
    </row>
    <row r="57" spans="2:9" x14ac:dyDescent="0.25">
      <c r="B57" s="321" t="s">
        <v>58</v>
      </c>
      <c r="C57" s="18">
        <v>664.6</v>
      </c>
      <c r="D57" s="305">
        <v>0</v>
      </c>
      <c r="E57" s="332">
        <v>1</v>
      </c>
      <c r="F57" s="18">
        <v>-0.23327070666666599</v>
      </c>
      <c r="G57" s="18">
        <v>-0.16666600000000001</v>
      </c>
      <c r="H57" s="302">
        <v>-830.75</v>
      </c>
      <c r="I57" s="16" t="s">
        <v>322</v>
      </c>
    </row>
    <row r="58" spans="2:9" ht="15.75" thickBot="1" x14ac:dyDescent="0.3">
      <c r="B58" s="334"/>
      <c r="C58" s="307"/>
      <c r="D58" s="307"/>
      <c r="E58" s="335">
        <v>2</v>
      </c>
      <c r="F58" s="251">
        <v>-0.23327070666666599</v>
      </c>
      <c r="G58" s="251">
        <v>0.16666600000000001</v>
      </c>
      <c r="H58" s="336">
        <v>498.45</v>
      </c>
    </row>
    <row r="59" spans="2:9" x14ac:dyDescent="0.25">
      <c r="B59" s="321"/>
      <c r="C59" s="18">
        <v>113</v>
      </c>
      <c r="D59" s="305">
        <v>59</v>
      </c>
      <c r="E59" s="332">
        <v>0</v>
      </c>
      <c r="F59" s="18">
        <v>0</v>
      </c>
      <c r="G59" s="18">
        <v>0</v>
      </c>
      <c r="H59" s="302">
        <v>-350</v>
      </c>
      <c r="I59" s="16" t="s">
        <v>322</v>
      </c>
    </row>
    <row r="60" spans="2:9" x14ac:dyDescent="0.25">
      <c r="B60" s="321" t="s">
        <v>303</v>
      </c>
      <c r="C60" s="18"/>
      <c r="D60" s="305"/>
      <c r="E60" s="332">
        <v>1</v>
      </c>
      <c r="F60" s="18">
        <v>0.93308282666666598</v>
      </c>
      <c r="G60" s="18">
        <v>0.66666000000000003</v>
      </c>
      <c r="H60" s="302">
        <v>-296</v>
      </c>
    </row>
    <row r="61" spans="2:9" x14ac:dyDescent="0.25">
      <c r="B61" s="321"/>
      <c r="D61" s="305"/>
      <c r="E61" s="332">
        <v>2</v>
      </c>
      <c r="F61" s="18">
        <v>0.93308282666666598</v>
      </c>
      <c r="G61" s="18">
        <v>0.66666000000000003</v>
      </c>
      <c r="H61" s="302">
        <v>-129</v>
      </c>
    </row>
    <row r="62" spans="2:9" ht="15.75" thickBot="1" x14ac:dyDescent="0.3">
      <c r="B62" s="334"/>
      <c r="C62" s="251"/>
      <c r="D62" s="310"/>
      <c r="E62" s="335">
        <v>3</v>
      </c>
      <c r="F62" s="251">
        <v>0.93308282666666598</v>
      </c>
      <c r="G62" s="251">
        <v>0.66666000000000003</v>
      </c>
      <c r="H62" s="336">
        <v>269</v>
      </c>
    </row>
    <row r="63" spans="2:9" x14ac:dyDescent="0.25">
      <c r="B63" s="321"/>
      <c r="C63" s="18">
        <v>169.5898</v>
      </c>
      <c r="D63" s="305">
        <v>28.9528</v>
      </c>
      <c r="E63" s="332">
        <v>0</v>
      </c>
      <c r="F63" s="18">
        <v>0</v>
      </c>
      <c r="G63" s="18">
        <v>0</v>
      </c>
      <c r="H63" s="302">
        <v>-599.77</v>
      </c>
      <c r="I63" s="16" t="s">
        <v>333</v>
      </c>
    </row>
    <row r="64" spans="2:9" x14ac:dyDescent="0.25">
      <c r="B64" s="321" t="s">
        <v>70</v>
      </c>
      <c r="C64" s="18"/>
      <c r="D64" s="305"/>
      <c r="E64" s="332">
        <v>1</v>
      </c>
      <c r="F64" s="18">
        <v>0.55984969600000001</v>
      </c>
      <c r="G64" s="18">
        <v>0.4</v>
      </c>
      <c r="H64" s="302">
        <v>-459.12</v>
      </c>
    </row>
    <row r="65" spans="1:24" x14ac:dyDescent="0.25">
      <c r="B65" s="321"/>
      <c r="C65" s="18"/>
      <c r="D65" s="305"/>
      <c r="E65" s="332">
        <v>2</v>
      </c>
      <c r="F65" s="18">
        <v>0.55984969600000001</v>
      </c>
      <c r="G65" s="18">
        <v>0.4</v>
      </c>
      <c r="H65" s="302">
        <v>-148.91</v>
      </c>
    </row>
    <row r="66" spans="1:24" ht="15.75" thickBot="1" x14ac:dyDescent="0.3">
      <c r="B66" s="334"/>
      <c r="C66" s="307"/>
      <c r="D66" s="310"/>
      <c r="E66" s="335">
        <v>3</v>
      </c>
      <c r="F66" s="251">
        <v>0.55984969600000001</v>
      </c>
      <c r="G66" s="251">
        <v>0.4</v>
      </c>
      <c r="H66" s="336">
        <v>388.82</v>
      </c>
    </row>
    <row r="67" spans="1:24" x14ac:dyDescent="0.25">
      <c r="B67" s="321"/>
      <c r="C67" s="18">
        <v>-10.734999999999999</v>
      </c>
      <c r="D67" s="305">
        <v>38.392000000000003</v>
      </c>
      <c r="E67" s="332">
        <v>1</v>
      </c>
      <c r="F67" s="18">
        <v>2.9392109039999998</v>
      </c>
      <c r="G67" s="18">
        <v>2.1</v>
      </c>
      <c r="H67" s="302">
        <v>83.44</v>
      </c>
      <c r="I67" s="16" t="s">
        <v>333</v>
      </c>
    </row>
    <row r="68" spans="1:24" x14ac:dyDescent="0.25">
      <c r="B68" s="321" t="s">
        <v>304</v>
      </c>
      <c r="C68" s="18"/>
      <c r="E68" s="332">
        <v>2</v>
      </c>
      <c r="F68" s="18">
        <v>1.539586664</v>
      </c>
      <c r="G68" s="18">
        <v>1.09999</v>
      </c>
      <c r="H68" s="302">
        <v>31.02</v>
      </c>
    </row>
    <row r="69" spans="1:24" x14ac:dyDescent="0.25">
      <c r="B69" s="308"/>
      <c r="C69" s="18"/>
      <c r="D69" s="305"/>
      <c r="E69" s="332">
        <v>3</v>
      </c>
      <c r="F69" s="18">
        <v>1.1896806040000001</v>
      </c>
      <c r="G69" s="18">
        <v>0.85</v>
      </c>
      <c r="H69" s="302">
        <v>-18.600000000000001</v>
      </c>
    </row>
    <row r="70" spans="1:24" ht="15.75" thickBot="1" x14ac:dyDescent="0.3">
      <c r="B70" s="309"/>
      <c r="C70" s="146"/>
      <c r="D70" s="306"/>
      <c r="E70" s="333">
        <v>4</v>
      </c>
      <c r="F70" s="146">
        <v>1.0497181799999999</v>
      </c>
      <c r="G70" s="146">
        <v>0.75</v>
      </c>
      <c r="H70" s="303">
        <v>-30.58</v>
      </c>
    </row>
    <row r="71" spans="1:24" ht="16.5" thickTop="1" thickBot="1" x14ac:dyDescent="0.3"/>
    <row r="72" spans="1:24" ht="15.75" thickBot="1" x14ac:dyDescent="0.3">
      <c r="A72" s="312"/>
      <c r="B72" s="318" t="s">
        <v>47</v>
      </c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:24" ht="15.75" thickBot="1" x14ac:dyDescent="0.3"/>
    <row r="74" spans="1:24" ht="16.5" thickTop="1" thickBot="1" x14ac:dyDescent="0.3">
      <c r="B74" s="315" t="s">
        <v>307</v>
      </c>
      <c r="C74" s="316" t="s">
        <v>308</v>
      </c>
      <c r="D74" s="316" t="s">
        <v>318</v>
      </c>
      <c r="E74" s="317" t="s">
        <v>319</v>
      </c>
      <c r="F74" s="18"/>
      <c r="G74" s="18"/>
      <c r="K74" s="328" t="s">
        <v>306</v>
      </c>
    </row>
    <row r="75" spans="1:24" ht="15.75" thickBot="1" x14ac:dyDescent="0.3">
      <c r="B75" s="329" t="s">
        <v>58</v>
      </c>
      <c r="C75" s="325" t="s">
        <v>53</v>
      </c>
      <c r="D75" s="18">
        <v>348.6</v>
      </c>
      <c r="E75" s="302">
        <f>$K$6+D75*0.000001</f>
        <v>607.42659860000003</v>
      </c>
      <c r="F75" s="18" t="s">
        <v>321</v>
      </c>
      <c r="G75" s="18"/>
      <c r="K75" s="314">
        <v>0.5</v>
      </c>
    </row>
    <row r="76" spans="1:24" ht="16.5" thickTop="1" thickBot="1" x14ac:dyDescent="0.3">
      <c r="B76" s="337"/>
      <c r="C76" s="338" t="s">
        <v>70</v>
      </c>
      <c r="D76" s="18">
        <v>82.7</v>
      </c>
      <c r="E76" s="302">
        <f t="shared" ref="E76:E81" si="2">$K$6+D76*0.000001</f>
        <v>607.42633269999999</v>
      </c>
      <c r="F76" s="18" t="s">
        <v>322</v>
      </c>
      <c r="G76" s="18"/>
      <c r="H76" s="19"/>
      <c r="J76" s="19"/>
    </row>
    <row r="77" spans="1:24" x14ac:dyDescent="0.25">
      <c r="B77" s="329"/>
      <c r="C77" s="326" t="s">
        <v>53</v>
      </c>
      <c r="D77" s="18">
        <v>360.7</v>
      </c>
      <c r="E77" s="302">
        <f t="shared" si="2"/>
        <v>607.42661069999997</v>
      </c>
      <c r="F77" s="18" t="s">
        <v>321</v>
      </c>
      <c r="G77" s="18"/>
      <c r="H77" s="19"/>
    </row>
    <row r="78" spans="1:24" x14ac:dyDescent="0.25">
      <c r="B78" s="329" t="s">
        <v>303</v>
      </c>
      <c r="C78" s="326" t="s">
        <v>70</v>
      </c>
      <c r="D78" s="18">
        <v>-96.9</v>
      </c>
      <c r="E78" s="302">
        <f t="shared" si="2"/>
        <v>607.42615309999996</v>
      </c>
      <c r="F78" s="18" t="s">
        <v>323</v>
      </c>
      <c r="G78" s="18"/>
      <c r="H78" s="19"/>
    </row>
    <row r="79" spans="1:24" ht="15.75" thickBot="1" x14ac:dyDescent="0.3">
      <c r="B79" s="337"/>
      <c r="C79" s="338" t="s">
        <v>304</v>
      </c>
      <c r="D79" s="18">
        <v>-103.8</v>
      </c>
      <c r="E79" s="302">
        <f t="shared" si="2"/>
        <v>607.42614619999995</v>
      </c>
      <c r="F79" s="18" t="s">
        <v>323</v>
      </c>
      <c r="G79" s="18"/>
      <c r="H79" s="19"/>
    </row>
    <row r="80" spans="1:24" x14ac:dyDescent="0.25">
      <c r="B80" s="329" t="s">
        <v>304</v>
      </c>
      <c r="C80" s="326" t="s">
        <v>53</v>
      </c>
      <c r="D80" s="18" t="s">
        <v>305</v>
      </c>
      <c r="E80" s="302" t="e">
        <f t="shared" si="2"/>
        <v>#VALUE!</v>
      </c>
      <c r="F80" s="18"/>
      <c r="G80" s="18"/>
      <c r="H80" s="19"/>
    </row>
    <row r="81" spans="2:9" ht="15.75" thickBot="1" x14ac:dyDescent="0.3">
      <c r="B81" s="330"/>
      <c r="C81" s="327" t="s">
        <v>70</v>
      </c>
      <c r="D81" s="146" t="s">
        <v>305</v>
      </c>
      <c r="E81" s="303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5" t="s">
        <v>301</v>
      </c>
      <c r="C83" s="316" t="s">
        <v>328</v>
      </c>
      <c r="D83" s="316" t="s">
        <v>329</v>
      </c>
      <c r="E83" s="316" t="s">
        <v>54</v>
      </c>
      <c r="F83" s="316" t="s">
        <v>310</v>
      </c>
      <c r="G83" s="316" t="s">
        <v>331</v>
      </c>
      <c r="H83" s="317" t="s">
        <v>327</v>
      </c>
    </row>
    <row r="84" spans="2:9" x14ac:dyDescent="0.25">
      <c r="B84" s="320" t="s">
        <v>53</v>
      </c>
      <c r="C84" s="18">
        <v>-9925.4535545899998</v>
      </c>
      <c r="D84" s="304" t="s">
        <v>305</v>
      </c>
      <c r="E84" s="331">
        <v>0</v>
      </c>
      <c r="F84" s="18">
        <v>0</v>
      </c>
      <c r="G84" s="18">
        <v>0</v>
      </c>
      <c r="H84" s="302">
        <v>7444.09</v>
      </c>
      <c r="I84" s="16" t="s">
        <v>336</v>
      </c>
    </row>
    <row r="85" spans="2:9" ht="15.75" thickBot="1" x14ac:dyDescent="0.3">
      <c r="B85" s="334"/>
      <c r="C85" s="251"/>
      <c r="D85" s="310"/>
      <c r="E85" s="335">
        <v>1</v>
      </c>
      <c r="F85" s="251">
        <v>1.3996246240000001</v>
      </c>
      <c r="G85" s="251">
        <v>1</v>
      </c>
      <c r="H85" s="336">
        <v>-2481.3634000000002</v>
      </c>
    </row>
    <row r="86" spans="2:9" x14ac:dyDescent="0.25">
      <c r="B86" s="321" t="s">
        <v>58</v>
      </c>
      <c r="C86" s="18">
        <v>-1840</v>
      </c>
      <c r="D86" s="305" t="s">
        <v>305</v>
      </c>
      <c r="E86" s="332">
        <v>0</v>
      </c>
      <c r="F86" s="18">
        <v>0</v>
      </c>
      <c r="G86" s="18">
        <v>0</v>
      </c>
      <c r="H86" s="302">
        <v>1380</v>
      </c>
      <c r="I86" s="16" t="s">
        <v>336</v>
      </c>
    </row>
    <row r="87" spans="2:9" ht="15.75" thickBot="1" x14ac:dyDescent="0.3">
      <c r="B87" s="334"/>
      <c r="C87" s="307"/>
      <c r="D87" s="307"/>
      <c r="E87" s="335">
        <v>1</v>
      </c>
      <c r="F87" s="251">
        <v>0.46654107479179202</v>
      </c>
      <c r="G87" s="251">
        <v>0.33333299999999999</v>
      </c>
      <c r="H87" s="336">
        <v>-460</v>
      </c>
    </row>
    <row r="88" spans="2:9" x14ac:dyDescent="0.25">
      <c r="B88" s="321" t="s">
        <v>303</v>
      </c>
      <c r="C88" s="18" t="s">
        <v>305</v>
      </c>
      <c r="D88" s="305" t="s">
        <v>305</v>
      </c>
      <c r="E88" s="332">
        <v>1</v>
      </c>
      <c r="F88" s="18">
        <v>2.3327067735835842</v>
      </c>
      <c r="G88" s="18">
        <v>1.666666</v>
      </c>
      <c r="H88" s="302" t="s">
        <v>305</v>
      </c>
    </row>
    <row r="89" spans="2:9" ht="15.75" thickBot="1" x14ac:dyDescent="0.3">
      <c r="B89" s="334"/>
      <c r="C89" s="251"/>
      <c r="D89" s="310"/>
      <c r="E89" s="335">
        <v>2</v>
      </c>
      <c r="F89" s="251">
        <v>1.3996246240000001</v>
      </c>
      <c r="G89" s="251">
        <v>1</v>
      </c>
      <c r="H89" s="336" t="s">
        <v>305</v>
      </c>
    </row>
    <row r="90" spans="2:9" x14ac:dyDescent="0.25">
      <c r="B90" s="321" t="s">
        <v>70</v>
      </c>
      <c r="C90" s="18">
        <v>-468.5</v>
      </c>
      <c r="D90" s="305" t="s">
        <v>305</v>
      </c>
      <c r="E90" s="332">
        <v>1</v>
      </c>
      <c r="F90" s="18">
        <v>1.3996246240000001</v>
      </c>
      <c r="G90" s="18">
        <v>1</v>
      </c>
      <c r="H90" s="302" t="s">
        <v>305</v>
      </c>
      <c r="I90" s="16" t="s">
        <v>326</v>
      </c>
    </row>
    <row r="91" spans="2:9" ht="15.75" thickBot="1" x14ac:dyDescent="0.3">
      <c r="B91" s="334"/>
      <c r="C91" s="251"/>
      <c r="D91" s="310"/>
      <c r="E91" s="335">
        <v>2</v>
      </c>
      <c r="F91" s="251">
        <v>8.3977477440000001</v>
      </c>
      <c r="G91" s="251">
        <v>6</v>
      </c>
      <c r="H91" s="336" t="s">
        <v>305</v>
      </c>
    </row>
    <row r="92" spans="2:9" x14ac:dyDescent="0.25">
      <c r="B92" s="320" t="s">
        <v>304</v>
      </c>
      <c r="C92" s="18" t="s">
        <v>305</v>
      </c>
      <c r="D92" s="305" t="s">
        <v>305</v>
      </c>
      <c r="E92" s="332">
        <v>2</v>
      </c>
      <c r="F92" s="18">
        <v>1.9594744736</v>
      </c>
      <c r="G92" s="18">
        <v>1.4</v>
      </c>
      <c r="H92" s="302">
        <v>585.625</v>
      </c>
    </row>
    <row r="93" spans="2:9" ht="15.75" thickBot="1" x14ac:dyDescent="0.3">
      <c r="B93" s="340"/>
      <c r="C93" s="146"/>
      <c r="D93" s="301"/>
      <c r="E93" s="333">
        <v>3</v>
      </c>
      <c r="F93" s="146">
        <v>1.3996246240000001</v>
      </c>
      <c r="G93" s="146">
        <v>1</v>
      </c>
      <c r="H93" s="303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79</v>
      </c>
      <c r="C2" s="221"/>
      <c r="D2" s="16"/>
      <c r="E2" s="219"/>
      <c r="F2" s="220" t="s">
        <v>79</v>
      </c>
      <c r="G2" s="221"/>
      <c r="H2" s="16"/>
    </row>
    <row r="3" spans="1:8" x14ac:dyDescent="0.25">
      <c r="A3" s="222" t="s">
        <v>81</v>
      </c>
      <c r="B3" s="223" t="s">
        <v>82</v>
      </c>
      <c r="C3" s="224" t="s">
        <v>101</v>
      </c>
      <c r="D3" s="16"/>
      <c r="E3" s="222" t="s">
        <v>105</v>
      </c>
      <c r="F3" s="223" t="s">
        <v>103</v>
      </c>
      <c r="G3" s="224" t="s">
        <v>104</v>
      </c>
      <c r="H3" s="16"/>
    </row>
    <row r="4" spans="1:8" x14ac:dyDescent="0.25">
      <c r="A4" s="148"/>
      <c r="B4" s="16" t="s">
        <v>102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80</v>
      </c>
      <c r="C19" s="221"/>
      <c r="D19" s="16"/>
      <c r="E19" s="225"/>
      <c r="F19" s="220" t="s">
        <v>80</v>
      </c>
      <c r="G19" s="221"/>
      <c r="H19" s="16"/>
    </row>
    <row r="20" spans="1:8" x14ac:dyDescent="0.25">
      <c r="A20" s="222" t="s">
        <v>83</v>
      </c>
      <c r="B20" s="223" t="s">
        <v>84</v>
      </c>
      <c r="C20" s="224"/>
      <c r="D20" s="16"/>
      <c r="E20" s="222" t="s">
        <v>220</v>
      </c>
      <c r="F20" s="223" t="s">
        <v>221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O16" sqref="O16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2"/>
      <c r="B2" s="294"/>
      <c r="C2" s="295"/>
      <c r="D2" s="295" t="s">
        <v>285</v>
      </c>
      <c r="E2" s="291"/>
      <c r="F2" s="293"/>
      <c r="G2" s="293"/>
      <c r="H2" s="293"/>
      <c r="I2" s="293"/>
      <c r="J2" s="293"/>
      <c r="K2" s="293"/>
      <c r="L2" s="293"/>
      <c r="M2" s="29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2"/>
      <c r="B38" s="294"/>
      <c r="C38" s="295"/>
      <c r="D38" s="295" t="s">
        <v>286</v>
      </c>
      <c r="E38" s="291"/>
      <c r="F38" s="293"/>
      <c r="G38" s="293"/>
      <c r="H38" s="293"/>
      <c r="I38" s="293"/>
      <c r="J38" s="293"/>
      <c r="K38" s="293"/>
      <c r="L38" s="293"/>
      <c r="M38" s="293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92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92"/>
      <c r="CB38" s="292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92"/>
      <c r="CO38" s="2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P16" sqref="P1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2"/>
      <c r="C2" s="290"/>
      <c r="D2" s="295"/>
      <c r="E2" s="295" t="s">
        <v>285</v>
      </c>
      <c r="F2" s="291"/>
      <c r="G2" s="293"/>
      <c r="H2" s="293"/>
      <c r="I2" s="293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f>O16-S14+J14</f>
        <v>106.75</v>
      </c>
      <c r="K5" s="57">
        <f>K20+J5*0.000001</f>
        <v>461.31214675000001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91.25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885.625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-954.375</v>
      </c>
      <c r="Q10" s="35">
        <f>$O10-Q$8 + $K$8</f>
        <v>-17.375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-119.75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-393.56500000000005</v>
      </c>
      <c r="Q15" s="47">
        <f>$O15-Q$14 + $K$14</f>
        <v>-538.755</v>
      </c>
      <c r="R15" s="47">
        <f>$O15-R$14 + $K$14</f>
        <v>-873.67499999999995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948.65000000000009</v>
      </c>
      <c r="R16" s="46">
        <f>$O16-R$14 + $K$14</f>
        <v>613.73</v>
      </c>
      <c r="S16" s="35">
        <f>$O16-S$14 + $K$14</f>
        <v>0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-106.75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-38.75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67.75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185.25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287.25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2"/>
      <c r="C39" s="290"/>
      <c r="D39" s="295"/>
      <c r="E39" s="295" t="s">
        <v>286</v>
      </c>
      <c r="F39" s="291"/>
      <c r="G39" s="293"/>
      <c r="H39" s="293"/>
      <c r="I39" s="293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4" zoomScaleNormal="100" workbookViewId="0">
      <selection activeCell="E38" sqref="E38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108</v>
      </c>
      <c r="S3" s="182" t="s">
        <v>109</v>
      </c>
      <c r="T3" s="183" t="s">
        <v>131</v>
      </c>
      <c r="U3" s="183" t="s">
        <v>143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114</v>
      </c>
      <c r="S4" s="18" t="s">
        <v>110</v>
      </c>
      <c r="T4" s="18" t="s">
        <v>130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111</v>
      </c>
      <c r="T5" s="18" t="s">
        <v>132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131</v>
      </c>
      <c r="U7" s="179"/>
      <c r="V7" s="179"/>
      <c r="W7" s="179" t="s">
        <v>145</v>
      </c>
      <c r="X7" s="181" t="s">
        <v>153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115</v>
      </c>
      <c r="S8" s="18" t="s">
        <v>112</v>
      </c>
      <c r="T8" s="18" t="s">
        <v>154</v>
      </c>
      <c r="U8" s="18"/>
      <c r="V8" s="18"/>
      <c r="W8" s="18">
        <v>500</v>
      </c>
      <c r="X8" s="124" t="s">
        <v>152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113</v>
      </c>
      <c r="T9" s="18" t="s">
        <v>133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131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116</v>
      </c>
      <c r="S12" s="18" t="s">
        <v>117</v>
      </c>
      <c r="T12" s="18" t="s">
        <v>134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118</v>
      </c>
      <c r="T13" s="18" t="s">
        <v>135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119</v>
      </c>
      <c r="T14" s="18" t="s">
        <v>136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131</v>
      </c>
      <c r="U16" s="179"/>
      <c r="V16" s="179"/>
      <c r="W16" s="179" t="s">
        <v>146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120</v>
      </c>
      <c r="S17" s="18" t="s">
        <v>121</v>
      </c>
      <c r="T17" s="18" t="s">
        <v>137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122</v>
      </c>
      <c r="T18" s="18" t="s">
        <v>138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123</v>
      </c>
      <c r="T19" s="18" t="s">
        <v>138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124</v>
      </c>
      <c r="T20" s="18" t="s">
        <v>139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125</v>
      </c>
      <c r="T21" s="18" t="s">
        <v>140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131</v>
      </c>
      <c r="U23" s="179" t="s">
        <v>143</v>
      </c>
      <c r="V23" s="179" t="s">
        <v>144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126</v>
      </c>
      <c r="S24" s="18" t="s">
        <v>129</v>
      </c>
      <c r="T24" s="18" t="s">
        <v>142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127</v>
      </c>
      <c r="T25" s="18" t="s">
        <v>141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128</v>
      </c>
      <c r="T26" s="18" t="s">
        <v>138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205</v>
      </c>
      <c r="T27" s="172" t="s">
        <v>206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147</v>
      </c>
      <c r="E35" s="187"/>
      <c r="F35" s="187"/>
      <c r="G35" s="188"/>
      <c r="J35" s="161"/>
      <c r="K35" s="190"/>
      <c r="L35" s="186"/>
      <c r="M35" s="186" t="s">
        <v>219</v>
      </c>
      <c r="N35" s="187"/>
      <c r="O35" s="187"/>
      <c r="P35" s="188"/>
    </row>
    <row r="36" spans="1:16" ht="15.75" thickBot="1" x14ac:dyDescent="0.3">
      <c r="B36" s="191"/>
      <c r="C36" s="189" t="s">
        <v>148</v>
      </c>
      <c r="D36" s="164" t="s">
        <v>149</v>
      </c>
      <c r="E36" s="164" t="s">
        <v>155</v>
      </c>
      <c r="F36" s="164" t="s">
        <v>278</v>
      </c>
      <c r="G36" s="165" t="s">
        <v>151</v>
      </c>
      <c r="J36" s="161"/>
      <c r="K36" s="191"/>
      <c r="L36" s="189" t="s">
        <v>148</v>
      </c>
      <c r="M36" s="164" t="s">
        <v>149</v>
      </c>
      <c r="N36" s="164" t="s">
        <v>155</v>
      </c>
      <c r="O36" s="164" t="s">
        <v>278</v>
      </c>
      <c r="P36" s="165" t="s">
        <v>151</v>
      </c>
    </row>
    <row r="37" spans="1:16" x14ac:dyDescent="0.25">
      <c r="B37" s="177" t="s">
        <v>106</v>
      </c>
      <c r="C37" s="18" t="s">
        <v>83</v>
      </c>
      <c r="D37" s="18" t="s">
        <v>177</v>
      </c>
      <c r="E37" s="18" t="s">
        <v>60</v>
      </c>
      <c r="F37" s="18">
        <v>52.65</v>
      </c>
      <c r="G37" s="124"/>
      <c r="K37" s="177" t="s">
        <v>107</v>
      </c>
      <c r="L37" s="18" t="s">
        <v>54</v>
      </c>
      <c r="M37" s="18" t="s">
        <v>180</v>
      </c>
      <c r="N37" s="18" t="s">
        <v>47</v>
      </c>
      <c r="O37" s="18"/>
      <c r="P37" s="124" t="s">
        <v>170</v>
      </c>
    </row>
    <row r="38" spans="1:16" x14ac:dyDescent="0.25">
      <c r="B38" s="191"/>
      <c r="C38" s="18" t="s">
        <v>84</v>
      </c>
      <c r="D38" s="18" t="s">
        <v>177</v>
      </c>
      <c r="E38" s="18" t="s">
        <v>60</v>
      </c>
      <c r="F38" s="18">
        <v>53.07</v>
      </c>
      <c r="G38" s="124"/>
      <c r="K38" s="177"/>
      <c r="L38" s="18" t="s">
        <v>156</v>
      </c>
      <c r="M38" s="18" t="s">
        <v>180</v>
      </c>
      <c r="N38" s="18" t="s">
        <v>47</v>
      </c>
      <c r="O38" s="18"/>
      <c r="P38" s="124" t="s">
        <v>171</v>
      </c>
    </row>
    <row r="39" spans="1:16" x14ac:dyDescent="0.25">
      <c r="B39" s="191"/>
      <c r="C39" s="18" t="s">
        <v>85</v>
      </c>
      <c r="D39" s="18" t="s">
        <v>178</v>
      </c>
      <c r="E39" s="18" t="s">
        <v>47</v>
      </c>
      <c r="F39" s="18"/>
      <c r="G39" s="124" t="s">
        <v>167</v>
      </c>
      <c r="K39" s="177"/>
      <c r="L39" s="18" t="s">
        <v>157</v>
      </c>
      <c r="M39" s="18" t="s">
        <v>180</v>
      </c>
      <c r="N39" s="18" t="s">
        <v>47</v>
      </c>
      <c r="O39" s="18"/>
      <c r="P39" s="124" t="s">
        <v>172</v>
      </c>
    </row>
    <row r="40" spans="1:16" x14ac:dyDescent="0.25">
      <c r="B40" s="191"/>
      <c r="C40" s="18" t="s">
        <v>86</v>
      </c>
      <c r="D40" s="18" t="s">
        <v>178</v>
      </c>
      <c r="E40" s="18" t="s">
        <v>47</v>
      </c>
      <c r="F40" s="18"/>
      <c r="G40" s="124" t="s">
        <v>168</v>
      </c>
      <c r="K40" s="177"/>
      <c r="L40" s="18" t="s">
        <v>158</v>
      </c>
      <c r="M40" s="18" t="s">
        <v>181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150</v>
      </c>
      <c r="D41" s="172" t="s">
        <v>179</v>
      </c>
      <c r="E41" s="172" t="s">
        <v>47</v>
      </c>
      <c r="F41" s="172">
        <v>64.5</v>
      </c>
      <c r="G41" s="173" t="s">
        <v>169</v>
      </c>
      <c r="K41" s="177"/>
      <c r="L41" s="18" t="s">
        <v>159</v>
      </c>
      <c r="M41" s="18" t="s">
        <v>181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160</v>
      </c>
      <c r="M42" s="18" t="s">
        <v>181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161</v>
      </c>
      <c r="M43" s="18" t="s">
        <v>181</v>
      </c>
      <c r="N43" s="18" t="s">
        <v>60</v>
      </c>
      <c r="O43" s="18"/>
      <c r="P43" s="124" t="s">
        <v>163</v>
      </c>
    </row>
    <row r="44" spans="1:16" ht="15.75" thickBot="1" x14ac:dyDescent="0.3">
      <c r="K44" s="163"/>
      <c r="L44" s="172" t="s">
        <v>162</v>
      </c>
      <c r="M44" s="172" t="s">
        <v>164</v>
      </c>
      <c r="N44" s="172" t="s">
        <v>165</v>
      </c>
      <c r="O44" s="172"/>
      <c r="P44" s="173" t="s">
        <v>166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218</v>
      </c>
      <c r="N48" s="59"/>
      <c r="O48" s="279"/>
    </row>
    <row r="49" spans="12:15" ht="15.75" thickBot="1" x14ac:dyDescent="0.3">
      <c r="L49" s="193" t="s">
        <v>173</v>
      </c>
      <c r="M49" s="164" t="s">
        <v>109</v>
      </c>
      <c r="N49" s="165" t="s">
        <v>215</v>
      </c>
      <c r="O49" s="279"/>
    </row>
    <row r="50" spans="12:15" x14ac:dyDescent="0.25">
      <c r="L50" s="24" t="s">
        <v>174</v>
      </c>
      <c r="M50" s="18" t="s">
        <v>184</v>
      </c>
      <c r="N50" s="124" t="s">
        <v>216</v>
      </c>
      <c r="O50" s="18"/>
    </row>
    <row r="51" spans="12:15" x14ac:dyDescent="0.25">
      <c r="L51" s="24" t="s">
        <v>175</v>
      </c>
      <c r="M51" s="18"/>
      <c r="N51" s="124"/>
      <c r="O51" s="18"/>
    </row>
    <row r="52" spans="12:15" x14ac:dyDescent="0.25">
      <c r="L52" s="24" t="s">
        <v>176</v>
      </c>
      <c r="M52" s="18" t="s">
        <v>185</v>
      </c>
      <c r="N52" s="124" t="s">
        <v>217</v>
      </c>
      <c r="O52" s="18"/>
    </row>
    <row r="53" spans="12:15" x14ac:dyDescent="0.25">
      <c r="L53" s="24" t="s">
        <v>188</v>
      </c>
      <c r="M53" s="18"/>
      <c r="N53" s="124"/>
      <c r="O53" s="18"/>
    </row>
    <row r="54" spans="12:15" x14ac:dyDescent="0.25">
      <c r="L54" s="24" t="s">
        <v>189</v>
      </c>
      <c r="M54" s="18"/>
      <c r="N54" s="124"/>
      <c r="O54" s="18"/>
    </row>
    <row r="55" spans="12:15" x14ac:dyDescent="0.25">
      <c r="L55" s="24" t="s">
        <v>190</v>
      </c>
      <c r="M55" s="18"/>
      <c r="N55" s="124"/>
      <c r="O55" s="18"/>
    </row>
    <row r="56" spans="12:15" x14ac:dyDescent="0.25">
      <c r="L56" s="24" t="s">
        <v>191</v>
      </c>
      <c r="M56" s="18"/>
      <c r="N56" s="124"/>
      <c r="O56" s="18"/>
    </row>
    <row r="57" spans="12:15" ht="15.75" thickBot="1" x14ac:dyDescent="0.3">
      <c r="L57" s="26" t="s">
        <v>192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79</v>
      </c>
      <c r="D2" s="213" t="s">
        <v>80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87</v>
      </c>
      <c r="G3" s="216" t="s">
        <v>95</v>
      </c>
      <c r="H3" s="216" t="s">
        <v>96</v>
      </c>
      <c r="I3" s="216" t="s">
        <v>97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88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89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91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81</v>
      </c>
      <c r="D7" s="200" t="s">
        <v>83</v>
      </c>
      <c r="E7" s="218" t="s">
        <v>40</v>
      </c>
      <c r="F7" s="216" t="s">
        <v>87</v>
      </c>
      <c r="G7" s="216" t="s">
        <v>95</v>
      </c>
      <c r="H7" s="159" t="s">
        <v>96</v>
      </c>
      <c r="I7" s="159" t="s">
        <v>96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88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89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93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94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90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91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92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84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88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89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94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92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82</v>
      </c>
      <c r="D23" s="200" t="s">
        <v>83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88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89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92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84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88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89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93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94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92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101</v>
      </c>
      <c r="D39" s="200" t="s">
        <v>83</v>
      </c>
      <c r="E39" s="218" t="s">
        <v>40</v>
      </c>
      <c r="F39" s="216" t="s">
        <v>274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88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89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93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94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90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91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92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84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88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89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93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94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92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105</v>
      </c>
      <c r="D55" s="200" t="s">
        <v>220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88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89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94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92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103</v>
      </c>
      <c r="D63" s="200" t="s">
        <v>221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88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89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93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94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91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92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104</v>
      </c>
      <c r="D71" s="200" t="s">
        <v>220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88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89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93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94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92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236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100</v>
      </c>
      <c r="C2" s="164" t="s">
        <v>195</v>
      </c>
      <c r="D2" s="164" t="s">
        <v>196</v>
      </c>
      <c r="E2" s="164" t="s">
        <v>197</v>
      </c>
      <c r="F2" s="164" t="s">
        <v>198</v>
      </c>
      <c r="G2" s="164" t="s">
        <v>199</v>
      </c>
      <c r="H2" s="164" t="s">
        <v>200</v>
      </c>
      <c r="I2" s="164" t="s">
        <v>231</v>
      </c>
      <c r="J2" s="164" t="s">
        <v>232</v>
      </c>
      <c r="S2" s="16" t="e">
        <f t="shared" ref="S2:S5" si="0">S1+1</f>
        <v>#REF!</v>
      </c>
    </row>
    <row r="3" spans="1:19" x14ac:dyDescent="0.25">
      <c r="A3" s="16" t="s">
        <v>260</v>
      </c>
      <c r="B3" s="275" t="s">
        <v>275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workbookViewId="0">
      <selection activeCell="C13" sqref="C1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1" t="s">
        <v>155</v>
      </c>
      <c r="C2" s="296" t="s">
        <v>287</v>
      </c>
      <c r="D2" s="296">
        <v>138</v>
      </c>
      <c r="E2" s="296" t="s">
        <v>288</v>
      </c>
      <c r="F2" s="296" t="s">
        <v>289</v>
      </c>
      <c r="G2" s="296" t="s">
        <v>290</v>
      </c>
      <c r="H2" s="296">
        <v>136</v>
      </c>
      <c r="I2" s="296">
        <v>134</v>
      </c>
      <c r="J2" s="296">
        <v>132</v>
      </c>
      <c r="K2" s="296" t="s">
        <v>297</v>
      </c>
      <c r="L2" s="296">
        <v>130</v>
      </c>
      <c r="M2" s="296" t="s">
        <v>291</v>
      </c>
      <c r="N2" s="296" t="s">
        <v>298</v>
      </c>
      <c r="O2" s="296" t="s">
        <v>292</v>
      </c>
      <c r="P2" s="296">
        <v>128</v>
      </c>
      <c r="Q2" s="296" t="s">
        <v>293</v>
      </c>
      <c r="R2" s="296" t="s">
        <v>294</v>
      </c>
      <c r="S2" s="296" t="s">
        <v>299</v>
      </c>
      <c r="T2" s="296" t="s">
        <v>300</v>
      </c>
      <c r="U2" s="296" t="s">
        <v>295</v>
      </c>
      <c r="V2" s="297" t="s">
        <v>296</v>
      </c>
    </row>
    <row r="3" spans="2:22" s="16" customFormat="1" ht="15.75" thickBot="1" x14ac:dyDescent="0.3">
      <c r="B3" s="309" t="s">
        <v>215</v>
      </c>
      <c r="C3" s="298">
        <v>-23.3</v>
      </c>
      <c r="D3" s="299">
        <v>0</v>
      </c>
      <c r="E3" s="299">
        <v>0</v>
      </c>
      <c r="F3" s="299">
        <v>63.43</v>
      </c>
      <c r="G3" s="299">
        <v>121.6</v>
      </c>
      <c r="H3" s="299">
        <v>128.02000000000001</v>
      </c>
      <c r="I3" s="299">
        <v>142.80000000000001</v>
      </c>
      <c r="J3" s="299">
        <v>167.9</v>
      </c>
      <c r="K3" s="299">
        <v>172.9</v>
      </c>
      <c r="L3" s="299">
        <v>207.3</v>
      </c>
      <c r="M3" s="299">
        <v>214.7</v>
      </c>
      <c r="N3" s="299">
        <v>249.2</v>
      </c>
      <c r="O3" s="299">
        <v>258.7</v>
      </c>
      <c r="P3" s="299">
        <v>271.10000000000002</v>
      </c>
      <c r="Q3" s="299">
        <v>274.56</v>
      </c>
      <c r="R3" s="299">
        <v>326.7</v>
      </c>
      <c r="S3" s="299">
        <v>373.8</v>
      </c>
      <c r="T3" s="299">
        <v>386.65</v>
      </c>
      <c r="U3" s="299">
        <v>547.29999999999995</v>
      </c>
      <c r="V3" s="300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2"/>
      <c r="B2" s="319" t="s">
        <v>320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 ht="15.75" thickBot="1" x14ac:dyDescent="0.3"/>
    <row r="4" spans="1:23" ht="16.5" thickTop="1" thickBot="1" x14ac:dyDescent="0.3">
      <c r="B4" s="315" t="s">
        <v>301</v>
      </c>
      <c r="C4" s="316" t="s">
        <v>302</v>
      </c>
      <c r="D4" s="316" t="s">
        <v>310</v>
      </c>
      <c r="E4" s="316" t="s">
        <v>307</v>
      </c>
      <c r="F4" s="316" t="s">
        <v>308</v>
      </c>
      <c r="G4" s="317" t="s">
        <v>309</v>
      </c>
    </row>
    <row r="5" spans="1:23" ht="16.5" thickTop="1" thickBot="1" x14ac:dyDescent="0.3">
      <c r="B5" s="320" t="s">
        <v>53</v>
      </c>
      <c r="C5" s="18"/>
      <c r="D5" s="18">
        <v>2.7989999999999999</v>
      </c>
      <c r="E5" s="322" t="s">
        <v>58</v>
      </c>
      <c r="F5" s="325" t="s">
        <v>53</v>
      </c>
      <c r="G5" s="302">
        <v>0.75600000000000001</v>
      </c>
      <c r="K5" s="328" t="s">
        <v>317</v>
      </c>
    </row>
    <row r="6" spans="1:23" ht="15.75" thickBot="1" x14ac:dyDescent="0.3">
      <c r="B6" s="321" t="s">
        <v>58</v>
      </c>
      <c r="C6" s="18" t="s">
        <v>311</v>
      </c>
      <c r="D6" s="18">
        <v>0.93310000000000004</v>
      </c>
      <c r="E6" s="339"/>
      <c r="F6" s="338" t="s">
        <v>70</v>
      </c>
      <c r="G6" s="302">
        <v>0.24399999999999999</v>
      </c>
      <c r="K6" s="311">
        <f>Main!F85</f>
        <v>607.42624999999998</v>
      </c>
    </row>
    <row r="7" spans="1:23" x14ac:dyDescent="0.25">
      <c r="B7" s="321" t="s">
        <v>303</v>
      </c>
      <c r="C7" s="18" t="s">
        <v>312</v>
      </c>
      <c r="D7" s="18">
        <v>1.8660000000000001</v>
      </c>
      <c r="E7" s="323"/>
      <c r="F7" s="326" t="s">
        <v>53</v>
      </c>
      <c r="G7" s="302">
        <v>0.75600000000000001</v>
      </c>
    </row>
    <row r="8" spans="1:23" x14ac:dyDescent="0.25">
      <c r="B8" s="321" t="s">
        <v>70</v>
      </c>
      <c r="C8" s="18" t="s">
        <v>313</v>
      </c>
      <c r="D8" s="18">
        <v>1.2</v>
      </c>
      <c r="E8" s="323" t="s">
        <v>303</v>
      </c>
      <c r="F8" s="326" t="s">
        <v>70</v>
      </c>
      <c r="G8" s="302">
        <v>2.9000000000000001E-2</v>
      </c>
    </row>
    <row r="9" spans="1:23" ht="15.75" thickBot="1" x14ac:dyDescent="0.3">
      <c r="B9" s="321" t="s">
        <v>304</v>
      </c>
      <c r="C9" s="18" t="s">
        <v>314</v>
      </c>
      <c r="D9" s="18">
        <v>1.68</v>
      </c>
      <c r="E9" s="339"/>
      <c r="F9" s="338" t="s">
        <v>304</v>
      </c>
      <c r="G9" s="302">
        <v>0.215</v>
      </c>
    </row>
    <row r="10" spans="1:23" x14ac:dyDescent="0.25">
      <c r="B10" s="308"/>
      <c r="C10" s="17"/>
      <c r="D10" s="18"/>
      <c r="E10" s="323" t="s">
        <v>304</v>
      </c>
      <c r="F10" s="326" t="s">
        <v>53</v>
      </c>
      <c r="G10" s="302">
        <v>0.84599999999999997</v>
      </c>
    </row>
    <row r="11" spans="1:23" ht="15.75" thickBot="1" x14ac:dyDescent="0.3">
      <c r="B11" s="309"/>
      <c r="C11" s="146"/>
      <c r="D11" s="146"/>
      <c r="E11" s="324"/>
      <c r="F11" s="327" t="s">
        <v>70</v>
      </c>
      <c r="G11" s="303">
        <v>0.154</v>
      </c>
    </row>
    <row r="12" spans="1:23" ht="15.75" thickTop="1" x14ac:dyDescent="0.25">
      <c r="C12" s="19" t="s">
        <v>315</v>
      </c>
      <c r="G12" s="16" t="s">
        <v>316</v>
      </c>
    </row>
    <row r="13" spans="1:23" ht="15.75" thickBot="1" x14ac:dyDescent="0.3"/>
    <row r="14" spans="1:23" ht="15.75" thickBot="1" x14ac:dyDescent="0.3">
      <c r="A14" s="312"/>
      <c r="B14" s="318" t="s">
        <v>63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</row>
    <row r="15" spans="1:23" ht="15.75" thickBot="1" x14ac:dyDescent="0.3"/>
    <row r="16" spans="1:23" ht="16.5" thickTop="1" thickBot="1" x14ac:dyDescent="0.3">
      <c r="B16" s="315" t="s">
        <v>307</v>
      </c>
      <c r="C16" s="316" t="s">
        <v>308</v>
      </c>
      <c r="D16" s="316" t="s">
        <v>318</v>
      </c>
      <c r="E16" s="317" t="s">
        <v>319</v>
      </c>
      <c r="F16" s="18"/>
      <c r="J16" s="328" t="s">
        <v>306</v>
      </c>
    </row>
    <row r="17" spans="1:23" ht="15.75" thickBot="1" x14ac:dyDescent="0.3">
      <c r="B17" s="329" t="s">
        <v>58</v>
      </c>
      <c r="C17" s="325" t="s">
        <v>53</v>
      </c>
      <c r="D17" s="18">
        <v>0</v>
      </c>
      <c r="E17" s="302">
        <f>$K$6+D17*0.000001</f>
        <v>607.42624999999998</v>
      </c>
      <c r="F17" s="18"/>
      <c r="J17" s="311">
        <v>0</v>
      </c>
    </row>
    <row r="18" spans="1:23" ht="16.5" thickTop="1" thickBot="1" x14ac:dyDescent="0.3">
      <c r="B18" s="337"/>
      <c r="C18" s="338" t="s">
        <v>70</v>
      </c>
      <c r="D18" s="18">
        <v>0</v>
      </c>
      <c r="E18" s="302">
        <f t="shared" ref="E18:E23" si="0">$K$6+D18*0.000001</f>
        <v>607.42624999999998</v>
      </c>
      <c r="F18" s="18"/>
      <c r="G18" s="19"/>
      <c r="I18" s="19"/>
    </row>
    <row r="19" spans="1:23" x14ac:dyDescent="0.25">
      <c r="B19" s="329"/>
      <c r="C19" s="326" t="s">
        <v>53</v>
      </c>
      <c r="D19" s="18">
        <v>0</v>
      </c>
      <c r="E19" s="302">
        <f t="shared" si="0"/>
        <v>607.42624999999998</v>
      </c>
      <c r="F19" s="18"/>
      <c r="G19" s="19"/>
    </row>
    <row r="20" spans="1:23" x14ac:dyDescent="0.25">
      <c r="B20" s="329" t="s">
        <v>303</v>
      </c>
      <c r="C20" s="326" t="s">
        <v>70</v>
      </c>
      <c r="D20" s="18">
        <v>0</v>
      </c>
      <c r="E20" s="302">
        <f t="shared" si="0"/>
        <v>607.42624999999998</v>
      </c>
      <c r="F20" s="18"/>
      <c r="G20" s="19"/>
    </row>
    <row r="21" spans="1:23" ht="15.75" thickBot="1" x14ac:dyDescent="0.3">
      <c r="B21" s="337"/>
      <c r="C21" s="338" t="s">
        <v>304</v>
      </c>
      <c r="D21" s="18">
        <v>0</v>
      </c>
      <c r="E21" s="302">
        <f t="shared" si="0"/>
        <v>607.42624999999998</v>
      </c>
      <c r="F21" s="18"/>
      <c r="G21" s="19"/>
    </row>
    <row r="22" spans="1:23" x14ac:dyDescent="0.25">
      <c r="B22" s="329" t="s">
        <v>304</v>
      </c>
      <c r="C22" s="326" t="s">
        <v>53</v>
      </c>
      <c r="D22" s="18">
        <v>0</v>
      </c>
      <c r="E22" s="302">
        <f t="shared" si="0"/>
        <v>607.42624999999998</v>
      </c>
      <c r="F22" s="18"/>
      <c r="G22" s="19"/>
    </row>
    <row r="23" spans="1:23" ht="15.75" thickBot="1" x14ac:dyDescent="0.3">
      <c r="B23" s="330"/>
      <c r="C23" s="327" t="s">
        <v>70</v>
      </c>
      <c r="D23" s="146">
        <v>0</v>
      </c>
      <c r="E23" s="303">
        <f t="shared" si="0"/>
        <v>607.42624999999998</v>
      </c>
      <c r="F23" s="18"/>
      <c r="G23" s="19"/>
    </row>
    <row r="24" spans="1:23" ht="16.5" thickTop="1" thickBot="1" x14ac:dyDescent="0.3"/>
    <row r="25" spans="1:23" ht="15.75" thickBot="1" x14ac:dyDescent="0.3">
      <c r="A25" s="312"/>
      <c r="B25" s="318" t="s">
        <v>65</v>
      </c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</row>
    <row r="26" spans="1:23" ht="15.75" thickBot="1" x14ac:dyDescent="0.3"/>
    <row r="27" spans="1:23" ht="16.5" thickTop="1" thickBot="1" x14ac:dyDescent="0.3">
      <c r="B27" s="315" t="s">
        <v>307</v>
      </c>
      <c r="C27" s="316" t="s">
        <v>308</v>
      </c>
      <c r="D27" s="316" t="s">
        <v>318</v>
      </c>
      <c r="E27" s="317" t="s">
        <v>319</v>
      </c>
      <c r="F27" s="18"/>
      <c r="J27" s="328" t="s">
        <v>306</v>
      </c>
    </row>
    <row r="28" spans="1:23" ht="15.75" thickBot="1" x14ac:dyDescent="0.3">
      <c r="B28" s="329" t="s">
        <v>58</v>
      </c>
      <c r="C28" s="325" t="s">
        <v>53</v>
      </c>
      <c r="D28" s="18">
        <v>179.4</v>
      </c>
      <c r="E28" s="302">
        <f>$K$6+D28*0.000001</f>
        <v>607.42642939999996</v>
      </c>
      <c r="F28" s="18" t="s">
        <v>321</v>
      </c>
      <c r="J28" s="311">
        <v>0</v>
      </c>
    </row>
    <row r="29" spans="1:23" ht="16.5" thickTop="1" thickBot="1" x14ac:dyDescent="0.3">
      <c r="B29" s="337"/>
      <c r="C29" s="338" t="s">
        <v>70</v>
      </c>
      <c r="D29" s="18">
        <v>68</v>
      </c>
      <c r="E29" s="302">
        <f t="shared" ref="E29:E34" si="1">$K$6+D29*0.000001</f>
        <v>607.42631800000004</v>
      </c>
      <c r="F29" s="18" t="s">
        <v>322</v>
      </c>
      <c r="G29" s="19"/>
      <c r="I29" s="19"/>
    </row>
    <row r="30" spans="1:23" x14ac:dyDescent="0.25">
      <c r="B30" s="329"/>
      <c r="C30" s="326" t="s">
        <v>53</v>
      </c>
      <c r="D30" s="18">
        <v>186.9</v>
      </c>
      <c r="E30" s="302">
        <f t="shared" si="1"/>
        <v>607.4264369</v>
      </c>
      <c r="F30" s="18" t="s">
        <v>321</v>
      </c>
      <c r="G30" s="19"/>
    </row>
    <row r="31" spans="1:23" x14ac:dyDescent="0.25">
      <c r="B31" s="329" t="s">
        <v>303</v>
      </c>
      <c r="C31" s="326" t="s">
        <v>70</v>
      </c>
      <c r="D31" s="18">
        <v>76.099999999999994</v>
      </c>
      <c r="E31" s="302">
        <f t="shared" si="1"/>
        <v>607.42632609999998</v>
      </c>
      <c r="F31" s="18" t="s">
        <v>323</v>
      </c>
      <c r="G31" s="19"/>
    </row>
    <row r="32" spans="1:23" ht="15.75" thickBot="1" x14ac:dyDescent="0.3">
      <c r="B32" s="337"/>
      <c r="C32" s="338" t="s">
        <v>304</v>
      </c>
      <c r="D32" s="18">
        <v>80.3</v>
      </c>
      <c r="E32" s="302">
        <f t="shared" si="1"/>
        <v>607.42633030000002</v>
      </c>
      <c r="F32" s="18" t="s">
        <v>323</v>
      </c>
      <c r="G32" s="19"/>
    </row>
    <row r="33" spans="1:23" x14ac:dyDescent="0.25">
      <c r="B33" s="329" t="s">
        <v>304</v>
      </c>
      <c r="C33" s="326" t="s">
        <v>53</v>
      </c>
      <c r="D33" s="18" t="s">
        <v>305</v>
      </c>
      <c r="E33" s="302" t="e">
        <f t="shared" si="1"/>
        <v>#VALUE!</v>
      </c>
      <c r="F33" s="18"/>
      <c r="G33" s="19"/>
    </row>
    <row r="34" spans="1:23" ht="15.75" thickBot="1" x14ac:dyDescent="0.3">
      <c r="B34" s="330"/>
      <c r="C34" s="327" t="s">
        <v>70</v>
      </c>
      <c r="D34" s="146" t="s">
        <v>305</v>
      </c>
      <c r="E34" s="303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2"/>
      <c r="B36" s="318" t="s">
        <v>66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</row>
    <row r="37" spans="1:23" ht="15.75" thickBot="1" x14ac:dyDescent="0.3"/>
    <row r="38" spans="1:23" ht="16.5" thickTop="1" thickBot="1" x14ac:dyDescent="0.3">
      <c r="B38" s="315" t="s">
        <v>307</v>
      </c>
      <c r="C38" s="316" t="s">
        <v>308</v>
      </c>
      <c r="D38" s="316" t="s">
        <v>318</v>
      </c>
      <c r="E38" s="317" t="s">
        <v>319</v>
      </c>
      <c r="F38" s="18"/>
      <c r="J38" s="328" t="s">
        <v>306</v>
      </c>
    </row>
    <row r="39" spans="1:23" ht="15.75" thickBot="1" x14ac:dyDescent="0.3">
      <c r="B39" s="329" t="s">
        <v>58</v>
      </c>
      <c r="C39" s="325" t="s">
        <v>53</v>
      </c>
      <c r="D39" s="18">
        <v>222.6</v>
      </c>
      <c r="E39" s="302">
        <f>$K$6+D39*0.000001</f>
        <v>607.42647260000001</v>
      </c>
      <c r="F39" s="18" t="s">
        <v>321</v>
      </c>
      <c r="J39" s="311">
        <v>0</v>
      </c>
    </row>
    <row r="40" spans="1:23" ht="16.5" thickTop="1" thickBot="1" x14ac:dyDescent="0.3">
      <c r="B40" s="337"/>
      <c r="C40" s="338" t="s">
        <v>70</v>
      </c>
      <c r="D40" s="18">
        <v>174.5</v>
      </c>
      <c r="E40" s="302">
        <f t="shared" ref="E40:E45" si="2">$K$6+D40*0.000001</f>
        <v>607.42642449999994</v>
      </c>
      <c r="F40" s="18" t="s">
        <v>322</v>
      </c>
      <c r="G40" s="19"/>
      <c r="I40" s="19"/>
    </row>
    <row r="41" spans="1:23" x14ac:dyDescent="0.25">
      <c r="B41" s="329"/>
      <c r="C41" s="326" t="s">
        <v>53</v>
      </c>
      <c r="D41" s="18">
        <v>233.9</v>
      </c>
      <c r="E41" s="302">
        <f t="shared" si="2"/>
        <v>607.42648389999999</v>
      </c>
      <c r="F41" s="18" t="s">
        <v>321</v>
      </c>
      <c r="G41" s="19"/>
    </row>
    <row r="42" spans="1:23" x14ac:dyDescent="0.25">
      <c r="B42" s="329" t="s">
        <v>303</v>
      </c>
      <c r="C42" s="326" t="s">
        <v>70</v>
      </c>
      <c r="D42" s="18">
        <v>188.2</v>
      </c>
      <c r="E42" s="302">
        <f t="shared" si="2"/>
        <v>607.42643820000001</v>
      </c>
      <c r="F42" s="18" t="s">
        <v>324</v>
      </c>
      <c r="G42" s="19"/>
    </row>
    <row r="43" spans="1:23" ht="15.75" thickBot="1" x14ac:dyDescent="0.3">
      <c r="B43" s="337"/>
      <c r="C43" s="338" t="s">
        <v>304</v>
      </c>
      <c r="D43" s="18">
        <v>194.7</v>
      </c>
      <c r="E43" s="302">
        <f t="shared" si="2"/>
        <v>607.42644469999993</v>
      </c>
      <c r="F43" s="18" t="s">
        <v>323</v>
      </c>
      <c r="G43" s="19"/>
    </row>
    <row r="44" spans="1:23" x14ac:dyDescent="0.25">
      <c r="B44" s="329" t="s">
        <v>304</v>
      </c>
      <c r="C44" s="326" t="s">
        <v>53</v>
      </c>
      <c r="D44" s="18" t="s">
        <v>305</v>
      </c>
      <c r="E44" s="302" t="e">
        <f t="shared" si="2"/>
        <v>#VALUE!</v>
      </c>
      <c r="F44" s="18"/>
      <c r="G44" s="19"/>
    </row>
    <row r="45" spans="1:23" ht="15.75" thickBot="1" x14ac:dyDescent="0.3">
      <c r="B45" s="330"/>
      <c r="C45" s="327" t="s">
        <v>70</v>
      </c>
      <c r="D45" s="146" t="s">
        <v>305</v>
      </c>
      <c r="E45" s="303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2"/>
      <c r="B47" s="318" t="s">
        <v>67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</row>
    <row r="48" spans="1:23" ht="15.75" thickBot="1" x14ac:dyDescent="0.3"/>
    <row r="49" spans="1:23" ht="16.5" thickTop="1" thickBot="1" x14ac:dyDescent="0.3">
      <c r="B49" s="315" t="s">
        <v>307</v>
      </c>
      <c r="C49" s="316" t="s">
        <v>308</v>
      </c>
      <c r="D49" s="316" t="s">
        <v>318</v>
      </c>
      <c r="E49" s="317" t="s">
        <v>319</v>
      </c>
      <c r="F49" s="18"/>
      <c r="J49" s="328" t="s">
        <v>306</v>
      </c>
    </row>
    <row r="50" spans="1:23" ht="15.75" thickBot="1" x14ac:dyDescent="0.3">
      <c r="B50" s="329" t="s">
        <v>58</v>
      </c>
      <c r="C50" s="325" t="s">
        <v>53</v>
      </c>
      <c r="D50" s="18">
        <v>278.89999999999998</v>
      </c>
      <c r="E50" s="302">
        <f>$K$6+D50*0.000001</f>
        <v>607.42652889999999</v>
      </c>
      <c r="F50" s="18" t="s">
        <v>321</v>
      </c>
      <c r="J50" s="311">
        <v>0</v>
      </c>
    </row>
    <row r="51" spans="1:23" ht="16.5" thickTop="1" thickBot="1" x14ac:dyDescent="0.3">
      <c r="B51" s="337"/>
      <c r="C51" s="338" t="s">
        <v>70</v>
      </c>
      <c r="D51" s="18">
        <v>292</v>
      </c>
      <c r="E51" s="302">
        <f t="shared" ref="E51:E56" si="3">$K$6+D51*0.000001</f>
        <v>607.42654199999993</v>
      </c>
      <c r="F51" s="18" t="s">
        <v>325</v>
      </c>
      <c r="G51" s="19"/>
      <c r="I51" s="19"/>
    </row>
    <row r="52" spans="1:23" x14ac:dyDescent="0.25">
      <c r="B52" s="329"/>
      <c r="C52" s="326" t="s">
        <v>53</v>
      </c>
      <c r="D52" s="18">
        <v>294.89999999999998</v>
      </c>
      <c r="E52" s="302">
        <f t="shared" si="3"/>
        <v>607.42654489999995</v>
      </c>
      <c r="F52" s="18" t="s">
        <v>321</v>
      </c>
      <c r="G52" s="19"/>
    </row>
    <row r="53" spans="1:23" x14ac:dyDescent="0.25">
      <c r="B53" s="329" t="s">
        <v>303</v>
      </c>
      <c r="C53" s="326" t="s">
        <v>70</v>
      </c>
      <c r="D53" s="18">
        <v>301.7</v>
      </c>
      <c r="E53" s="302">
        <f t="shared" si="3"/>
        <v>607.4265517</v>
      </c>
      <c r="F53" s="18" t="s">
        <v>324</v>
      </c>
      <c r="G53" s="19"/>
    </row>
    <row r="54" spans="1:23" ht="15.75" thickBot="1" x14ac:dyDescent="0.3">
      <c r="B54" s="337"/>
      <c r="C54" s="338" t="s">
        <v>304</v>
      </c>
      <c r="D54" s="18">
        <v>311.39999999999998</v>
      </c>
      <c r="E54" s="302">
        <f t="shared" si="3"/>
        <v>607.42656139999997</v>
      </c>
      <c r="F54" s="18" t="s">
        <v>324</v>
      </c>
      <c r="G54" s="19"/>
    </row>
    <row r="55" spans="1:23" x14ac:dyDescent="0.25">
      <c r="B55" s="329" t="s">
        <v>304</v>
      </c>
      <c r="C55" s="326" t="s">
        <v>53</v>
      </c>
      <c r="D55" s="18" t="s">
        <v>305</v>
      </c>
      <c r="E55" s="302" t="e">
        <f t="shared" si="3"/>
        <v>#VALUE!</v>
      </c>
      <c r="F55" s="18"/>
      <c r="G55" s="19"/>
    </row>
    <row r="56" spans="1:23" ht="15.75" thickBot="1" x14ac:dyDescent="0.3">
      <c r="B56" s="330"/>
      <c r="C56" s="327" t="s">
        <v>70</v>
      </c>
      <c r="D56" s="146" t="s">
        <v>305</v>
      </c>
      <c r="E56" s="303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2"/>
      <c r="B58" s="318" t="s">
        <v>68</v>
      </c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</row>
    <row r="59" spans="1:23" ht="15.75" thickBot="1" x14ac:dyDescent="0.3"/>
    <row r="60" spans="1:23" ht="16.5" thickTop="1" thickBot="1" x14ac:dyDescent="0.3">
      <c r="B60" s="315" t="s">
        <v>307</v>
      </c>
      <c r="C60" s="316" t="s">
        <v>308</v>
      </c>
      <c r="D60" s="316" t="s">
        <v>318</v>
      </c>
      <c r="E60" s="317" t="s">
        <v>319</v>
      </c>
      <c r="F60" s="18"/>
      <c r="J60" s="328" t="s">
        <v>306</v>
      </c>
    </row>
    <row r="61" spans="1:23" ht="15.75" thickBot="1" x14ac:dyDescent="0.3">
      <c r="B61" s="329" t="s">
        <v>58</v>
      </c>
      <c r="C61" s="325" t="s">
        <v>53</v>
      </c>
      <c r="D61" s="18">
        <v>355.3</v>
      </c>
      <c r="E61" s="302">
        <f>$K$6+D61*0.000001</f>
        <v>607.42660530000001</v>
      </c>
      <c r="F61" s="18" t="s">
        <v>321</v>
      </c>
      <c r="J61" s="311">
        <v>0</v>
      </c>
    </row>
    <row r="62" spans="1:23" ht="16.5" thickTop="1" thickBot="1" x14ac:dyDescent="0.3">
      <c r="B62" s="337"/>
      <c r="C62" s="338" t="s">
        <v>70</v>
      </c>
      <c r="D62" s="18">
        <v>394</v>
      </c>
      <c r="E62" s="302">
        <f t="shared" ref="E62:E67" si="4">$K$6+D62*0.000001</f>
        <v>607.42664400000001</v>
      </c>
      <c r="F62" s="18" t="s">
        <v>326</v>
      </c>
      <c r="G62" s="19"/>
      <c r="I62" s="19"/>
    </row>
    <row r="63" spans="1:23" x14ac:dyDescent="0.25">
      <c r="B63" s="329"/>
      <c r="C63" s="326" t="s">
        <v>53</v>
      </c>
      <c r="D63" s="18">
        <v>372.3</v>
      </c>
      <c r="E63" s="302">
        <f t="shared" si="4"/>
        <v>607.42662229999996</v>
      </c>
      <c r="F63" s="18" t="s">
        <v>321</v>
      </c>
      <c r="G63" s="19"/>
    </row>
    <row r="64" spans="1:23" x14ac:dyDescent="0.25">
      <c r="B64" s="329" t="s">
        <v>303</v>
      </c>
      <c r="C64" s="326" t="s">
        <v>70</v>
      </c>
      <c r="D64" s="18">
        <v>413.2</v>
      </c>
      <c r="E64" s="302">
        <f t="shared" si="4"/>
        <v>607.42666320000001</v>
      </c>
      <c r="F64" s="18" t="s">
        <v>324</v>
      </c>
      <c r="G64" s="19"/>
    </row>
    <row r="65" spans="2:7" ht="15.75" thickBot="1" x14ac:dyDescent="0.3">
      <c r="B65" s="337"/>
      <c r="C65" s="338" t="s">
        <v>304</v>
      </c>
      <c r="D65" s="18">
        <v>426</v>
      </c>
      <c r="E65" s="302">
        <f t="shared" si="4"/>
        <v>607.42667599999993</v>
      </c>
      <c r="F65" s="18" t="s">
        <v>324</v>
      </c>
      <c r="G65" s="19"/>
    </row>
    <row r="66" spans="2:7" x14ac:dyDescent="0.25">
      <c r="B66" s="329" t="s">
        <v>304</v>
      </c>
      <c r="C66" s="326" t="s">
        <v>53</v>
      </c>
      <c r="D66" s="18" t="s">
        <v>305</v>
      </c>
      <c r="E66" s="302" t="e">
        <f t="shared" si="4"/>
        <v>#VALUE!</v>
      </c>
      <c r="F66" s="18"/>
      <c r="G66" s="19"/>
    </row>
    <row r="67" spans="2:7" ht="15.75" thickBot="1" x14ac:dyDescent="0.3">
      <c r="B67" s="330"/>
      <c r="C67" s="327" t="s">
        <v>70</v>
      </c>
      <c r="D67" s="146" t="s">
        <v>305</v>
      </c>
      <c r="E67" s="303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2021-05-22T21:31:54Z</dcterms:modified>
</cp:coreProperties>
</file>