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9\2021_09_08\"/>
    </mc:Choice>
  </mc:AlternateContent>
  <bookViews>
    <workbookView xWindow="0" yWindow="0" windowWidth="28800" windowHeight="12300" tabRatio="765"/>
  </bookViews>
  <sheets>
    <sheet name="Main" sheetId="12" r:id="rId1"/>
    <sheet name="Methods" sheetId="18" r:id="rId2"/>
    <sheet name="493nm" sheetId="14" r:id="rId3"/>
    <sheet name="650nm" sheetId="15" r:id="rId4"/>
    <sheet name="Isotope-Sw" sheetId="17" r:id="rId5"/>
    <sheet name="Trapping-History" sheetId="16" r:id="rId6"/>
    <sheet name="Center-Abl" sheetId="13" r:id="rId7"/>
    <sheet name="Neutral" sheetId="20" r:id="rId8"/>
    <sheet name="Even-Isotopes" sheetId="22" r:id="rId9"/>
    <sheet name="Odd-Isotopes" sheetId="21" r:id="rId10"/>
    <sheet name="Data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2" l="1"/>
  <c r="E97" i="12" l="1"/>
  <c r="E99" i="12"/>
  <c r="E90" i="12" l="1"/>
  <c r="I97" i="12"/>
  <c r="F89" i="12" l="1"/>
  <c r="I48" i="12" l="1"/>
  <c r="F67" i="12" l="1"/>
  <c r="G6" i="13" l="1"/>
  <c r="H6" i="13"/>
  <c r="G7" i="13"/>
  <c r="I7" i="13" s="1"/>
  <c r="H7" i="13"/>
  <c r="J7" i="13" s="1"/>
  <c r="G8" i="13"/>
  <c r="H8" i="13"/>
  <c r="G9" i="13"/>
  <c r="H9" i="13"/>
  <c r="G10" i="13"/>
  <c r="H10" i="13"/>
  <c r="G11" i="13"/>
  <c r="H11" i="13"/>
  <c r="G12" i="13"/>
  <c r="H12" i="13"/>
  <c r="J12" i="13" s="1"/>
  <c r="G13" i="13"/>
  <c r="I13" i="13" s="1"/>
  <c r="H13" i="13"/>
  <c r="J13" i="13" s="1"/>
  <c r="I12" i="13" l="1"/>
  <c r="I9" i="13"/>
  <c r="J9" i="13"/>
  <c r="J11" i="13"/>
  <c r="I10" i="13"/>
  <c r="I11" i="13"/>
  <c r="J10" i="13"/>
  <c r="J8" i="13"/>
  <c r="I8" i="13"/>
  <c r="J105" i="12" l="1"/>
  <c r="I5" i="14" l="1"/>
  <c r="G105" i="12"/>
  <c r="F105" i="12"/>
  <c r="K8" i="15" l="1"/>
  <c r="P9" i="15" s="1"/>
  <c r="O20" i="15" l="1"/>
  <c r="D90" i="12" l="1"/>
  <c r="E125" i="12" l="1"/>
  <c r="O62" i="12" l="1"/>
  <c r="L62" i="12"/>
  <c r="I62" i="12" l="1"/>
  <c r="J48" i="12" l="1"/>
  <c r="G45" i="12"/>
  <c r="G59" i="12"/>
  <c r="G67" i="12" l="1"/>
  <c r="J62" i="12"/>
  <c r="H62" i="12"/>
  <c r="G62" i="12"/>
  <c r="G53" i="12"/>
  <c r="F53" i="12"/>
  <c r="I51" i="12" s="1"/>
  <c r="F77" i="12" l="1"/>
  <c r="J65" i="12"/>
  <c r="J51" i="12"/>
  <c r="S1" i="13"/>
  <c r="S2" i="13" s="1"/>
  <c r="S3" i="13" s="1"/>
  <c r="S4" i="13" s="1"/>
  <c r="S5" i="13" s="1"/>
  <c r="K65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41" i="12"/>
  <c r="C41" i="12"/>
  <c r="I141" i="12" l="1"/>
  <c r="I139" i="12"/>
  <c r="I138" i="12"/>
  <c r="H136" i="12"/>
  <c r="I134" i="12"/>
  <c r="I132" i="12"/>
  <c r="I131" i="12"/>
  <c r="I136" i="12" s="1"/>
  <c r="G139" i="12"/>
  <c r="F139" i="12"/>
  <c r="G133" i="12"/>
  <c r="G132" i="12"/>
  <c r="F132" i="12"/>
  <c r="G131" i="12"/>
  <c r="F131" i="12"/>
  <c r="F142" i="12"/>
  <c r="G142" i="12"/>
  <c r="F136" i="12"/>
  <c r="G141" i="12"/>
  <c r="F141" i="12"/>
  <c r="F140" i="12"/>
  <c r="G140" i="12"/>
  <c r="G135" i="12"/>
  <c r="G134" i="12"/>
  <c r="F135" i="12"/>
  <c r="F134" i="12"/>
  <c r="E127" i="12"/>
  <c r="E123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4" i="14" l="1"/>
  <c r="K24" i="15"/>
  <c r="N15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16" i="12"/>
  <c r="G117" i="12"/>
  <c r="G115" i="12"/>
  <c r="G112" i="12"/>
  <c r="G113" i="12"/>
  <c r="G114" i="12"/>
  <c r="G111" i="12"/>
  <c r="G107" i="12"/>
  <c r="G108" i="12"/>
  <c r="G109" i="12"/>
  <c r="G110" i="12"/>
  <c r="F116" i="12"/>
  <c r="F117" i="12"/>
  <c r="F115" i="12"/>
  <c r="F112" i="12"/>
  <c r="F113" i="12"/>
  <c r="F114" i="12"/>
  <c r="F111" i="12"/>
  <c r="F107" i="12"/>
  <c r="F108" i="12"/>
  <c r="F109" i="12"/>
  <c r="F110" i="12"/>
  <c r="F144" i="12"/>
  <c r="F145" i="12"/>
  <c r="F143" i="12"/>
  <c r="F138" i="12"/>
  <c r="F133" i="12"/>
  <c r="F137" i="12"/>
  <c r="G144" i="12"/>
  <c r="G145" i="12"/>
  <c r="G143" i="12"/>
  <c r="G138" i="12"/>
  <c r="G136" i="12"/>
  <c r="G137" i="12"/>
  <c r="I124" i="12"/>
  <c r="I125" i="12"/>
  <c r="I126" i="12"/>
  <c r="I127" i="12"/>
  <c r="I128" i="12"/>
  <c r="I123" i="12"/>
  <c r="I98" i="12"/>
  <c r="I100" i="12"/>
  <c r="I102" i="12"/>
  <c r="F86" i="12"/>
  <c r="F87" i="12"/>
  <c r="F88" i="12"/>
  <c r="F91" i="12"/>
  <c r="F85" i="12"/>
  <c r="K36" i="15"/>
  <c r="K32" i="15"/>
  <c r="K28" i="15"/>
  <c r="H16" i="15"/>
  <c r="G16" i="15"/>
  <c r="F16" i="15"/>
  <c r="G15" i="15"/>
  <c r="F15" i="15"/>
  <c r="E15" i="15"/>
  <c r="F10" i="15"/>
  <c r="E10" i="15"/>
  <c r="E9" i="15"/>
  <c r="M28" i="14"/>
  <c r="I36" i="14"/>
  <c r="I32" i="14"/>
  <c r="I28" i="14"/>
  <c r="I24" i="14"/>
  <c r="F16" i="14"/>
  <c r="E16" i="14"/>
  <c r="F15" i="14"/>
  <c r="E15" i="14"/>
  <c r="F10" i="14"/>
  <c r="E10" i="14"/>
  <c r="F9" i="14"/>
  <c r="K6" i="22" l="1"/>
  <c r="E23" i="22" s="1"/>
  <c r="K6" i="21"/>
  <c r="I8" i="14"/>
  <c r="O9" i="14" s="1"/>
  <c r="M20" i="14"/>
  <c r="M36" i="14"/>
  <c r="M24" i="14"/>
  <c r="M32" i="14"/>
  <c r="E22" i="22" l="1"/>
  <c r="E20" i="22"/>
  <c r="E19" i="22"/>
  <c r="E21" i="22"/>
  <c r="E18" i="22"/>
  <c r="E17" i="22"/>
  <c r="E52" i="21"/>
  <c r="E76" i="21"/>
  <c r="E81" i="21"/>
  <c r="E22" i="21"/>
  <c r="E17" i="21"/>
  <c r="E19" i="21"/>
  <c r="E75" i="21"/>
  <c r="E79" i="21"/>
  <c r="E47" i="21"/>
  <c r="E49" i="21"/>
  <c r="E23" i="21"/>
  <c r="E77" i="21"/>
  <c r="E46" i="21"/>
  <c r="E48" i="21"/>
  <c r="E50" i="21"/>
  <c r="E21" i="21"/>
  <c r="E78" i="21"/>
  <c r="E80" i="21"/>
  <c r="E18" i="21"/>
  <c r="E51" i="21"/>
  <c r="E20" i="21"/>
  <c r="E64" i="22"/>
  <c r="E56" i="22"/>
  <c r="E44" i="22"/>
  <c r="E28" i="22"/>
  <c r="E67" i="22"/>
  <c r="E63" i="22"/>
  <c r="E55" i="22"/>
  <c r="E51" i="22"/>
  <c r="E43" i="22"/>
  <c r="E39" i="22"/>
  <c r="E31" i="22"/>
  <c r="E66" i="22"/>
  <c r="E62" i="22"/>
  <c r="E54" i="22"/>
  <c r="E50" i="22"/>
  <c r="E42" i="22"/>
  <c r="E34" i="22"/>
  <c r="E30" i="22"/>
  <c r="E65" i="22"/>
  <c r="E61" i="22"/>
  <c r="E53" i="22"/>
  <c r="E45" i="22"/>
  <c r="E41" i="22"/>
  <c r="E33" i="22"/>
  <c r="E29" i="22"/>
  <c r="E52" i="22"/>
  <c r="E40" i="22"/>
  <c r="E32" i="22"/>
  <c r="O10" i="14"/>
  <c r="N10" i="14"/>
  <c r="O15" i="14"/>
  <c r="O16" i="14"/>
  <c r="N16" i="14"/>
  <c r="I99" i="12" l="1"/>
  <c r="M149" i="12" l="1"/>
  <c r="O149" i="12" s="1"/>
  <c r="I101" i="12" l="1"/>
  <c r="K5" i="15"/>
  <c r="O32" i="15"/>
  <c r="O36" i="15"/>
  <c r="O24" i="15"/>
  <c r="O28" i="15"/>
  <c r="K14" i="15"/>
  <c r="R16" i="15" s="1"/>
  <c r="Q16" i="15" l="1"/>
  <c r="S16" i="15"/>
  <c r="P10" i="15"/>
  <c r="Q15" i="15"/>
  <c r="P15" i="15"/>
  <c r="R15" i="15"/>
  <c r="Q10" i="15"/>
</calcChain>
</file>

<file path=xl/sharedStrings.xml><?xml version="1.0" encoding="utf-8"?>
<sst xmlns="http://schemas.openxmlformats.org/spreadsheetml/2006/main" count="1026" uniqueCount="353">
  <si>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</si>
  <si>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</si>
  <si>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</si>
  <si>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</si>
  <si>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</si>
  <si>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</si>
  <si>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</si>
  <si>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</si>
  <si>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</si>
  <si>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</si>
  <si>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</si>
  <si>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</si>
  <si>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</si>
  <si>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</si>
  <si>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</si>
  <si>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</si>
  <si>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</si>
  <si>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</si>
  <si>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</si>
  <si>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</si>
  <si>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</si>
  <si>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</si>
  <si>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</si>
  <si>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</si>
  <si>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</si>
  <si>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</si>
  <si>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</si>
  <si>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</si>
  <si>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</si>
  <si>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</si>
  <si>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</si>
  <si>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</si>
  <si>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</si>
  <si>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</si>
  <si>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</si>
  <si>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</si>
  <si>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</si>
  <si>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</si>
  <si>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</si>
  <si>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</si>
  <si>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</si>
  <si>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</si>
  <si>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</si>
  <si>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</si>
  <si>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</si>
  <si>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</si>
  <si>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</si>
  <si>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</si>
  <si>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</si>
  <si>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</si>
  <si>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</si>
  <si>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</si>
  <si>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</si>
  <si>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</si>
  <si>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</si>
  <si>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</si>
  <si>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</si>
  <si>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</si>
  <si>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</si>
  <si>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</si>
  <si>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</si>
  <si>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</si>
  <si>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</si>
  <si>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</si>
  <si>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</si>
  <si>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</si>
  <si>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</si>
  <si>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</si>
  <si>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</si>
  <si>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</si>
  <si>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</si>
  <si>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</si>
  <si>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</si>
  <si>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</si>
  <si>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Sideband Freq. Red (THz)</t>
  </si>
  <si>
    <t>Sideband Freq. Blue (THz)</t>
  </si>
  <si>
    <t>RF Atten. (dB)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</si>
  <si>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</si>
  <si>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</si>
  <si>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</si>
  <si>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</si>
  <si>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</si>
  <si>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</si>
  <si>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</si>
  <si>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</si>
  <si>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</si>
  <si>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</si>
  <si>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</si>
  <si>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</si>
  <si>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</si>
  <si>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</si>
  <si>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</si>
  <si>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</si>
  <si>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</si>
  <si>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</si>
  <si>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</si>
  <si>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</si>
  <si>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</si>
  <si>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</si>
  <si>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</si>
  <si>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</si>
  <si>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</si>
  <si>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</si>
  <si>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</si>
  <si>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</si>
  <si>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</si>
  <si>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</si>
  <si>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</si>
  <si>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</si>
  <si>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</si>
  <si>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</si>
  <si>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</si>
  <si>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</si>
  <si>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</si>
  <si>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</si>
  <si>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</si>
  <si>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</si>
  <si>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</si>
  <si>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</si>
  <si>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</si>
  <si>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</si>
  <si>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</si>
  <si>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</si>
  <si>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</si>
  <si>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</si>
  <si>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</si>
  <si>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</si>
  <si>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</si>
  <si>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</si>
  <si>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</si>
  <si>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</si>
  <si>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</si>
  <si>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</si>
  <si>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</si>
  <si>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</si>
  <si>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</si>
  <si>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</si>
  <si>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</si>
  <si>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</si>
  <si>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</si>
  <si>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</si>
  <si>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</si>
  <si>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</si>
  <si>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</si>
  <si>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</si>
  <si>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</si>
  <si>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</si>
  <si>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</si>
  <si>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</si>
  <si>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</si>
  <si>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</si>
  <si>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</si>
  <si>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</si>
  <si>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</si>
  <si>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</si>
  <si>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</si>
  <si>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</si>
  <si>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</si>
  <si>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</si>
  <si>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</si>
  <si>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</si>
  <si>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</si>
  <si>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</si>
  <si>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</si>
  <si>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</si>
  <si>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</si>
  <si>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</si>
  <si>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</si>
  <si>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</si>
  <si>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</si>
  <si>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</si>
  <si>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</si>
  <si>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</si>
  <si>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</si>
  <si>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</si>
  <si>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</si>
  <si>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</si>
  <si>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</si>
  <si>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</si>
  <si>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</si>
  <si>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</si>
  <si>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</si>
  <si>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</si>
  <si>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</si>
  <si>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</si>
  <si>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</si>
  <si>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</si>
  <si>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</si>
  <si>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</si>
  <si>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</si>
  <si>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</si>
  <si>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</si>
  <si>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</si>
  <si>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</si>
  <si>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</si>
  <si>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</si>
  <si>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</si>
  <si>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</si>
  <si>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</si>
  <si>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</si>
  <si>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</si>
  <si>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</si>
  <si>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</si>
  <si>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</si>
  <si>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</si>
  <si>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</si>
  <si>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</si>
  <si>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</si>
  <si>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</si>
  <si>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</si>
  <si>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</si>
  <si>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</si>
  <si>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</si>
  <si>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</si>
  <si>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</si>
  <si>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</si>
  <si>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</si>
  <si>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</si>
  <si>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</si>
  <si>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</si>
  <si>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</si>
  <si>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</si>
  <si>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</si>
  <si>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</si>
  <si>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</si>
  <si>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</si>
  <si>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</si>
  <si>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</si>
  <si>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</si>
  <si>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</si>
  <si>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</si>
  <si>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</si>
  <si>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</si>
  <si>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</si>
  <si>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</si>
  <si>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</si>
  <si>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</si>
  <si>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</si>
  <si>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</si>
  <si>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</si>
  <si>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</si>
  <si>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</si>
  <si>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</si>
  <si>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</si>
  <si>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</si>
  <si>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</si>
  <si>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</si>
  <si>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</si>
  <si>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</si>
  <si>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</si>
  <si>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</si>
  <si>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</si>
  <si>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</si>
  <si>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</si>
  <si>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</si>
  <si>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</si>
  <si>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</si>
  <si>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</si>
  <si>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</si>
  <si>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</si>
  <si>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</si>
  <si>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</si>
  <si>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</si>
  <si>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</si>
  <si>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</si>
  <si>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</si>
  <si>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</si>
  <si>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</si>
  <si>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</si>
  <si>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</si>
  <si>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</si>
  <si>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</si>
  <si>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</si>
  <si>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</si>
  <si>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</si>
  <si>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</si>
  <si>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</si>
  <si>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RF Power Pickoff (dBm)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</si>
  <si>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</si>
  <si>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</si>
  <si>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</si>
  <si>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</si>
  <si>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</si>
  <si>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</si>
  <si>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</si>
  <si>
    <t>Frequencies</t>
  </si>
  <si>
    <t>Powers</t>
  </si>
  <si>
    <t>133g(1/2)</t>
  </si>
  <si>
    <t>131(1/2)</t>
  </si>
  <si>
    <t>137(5/2)</t>
  </si>
  <si>
    <t>135(5/2)</t>
  </si>
  <si>
    <t>137(COM)</t>
  </si>
  <si>
    <t>135(COM)</t>
  </si>
  <si>
    <t>137(3/2)</t>
  </si>
  <si>
    <t>135(3/2)</t>
  </si>
  <si>
    <t>135(1/2)</t>
  </si>
  <si>
    <t>137(1/2)</t>
  </si>
  <si>
    <t>133m(1/2)</t>
  </si>
  <si>
    <t>131(COM)</t>
  </si>
  <si>
    <t>131(3/2)</t>
  </si>
  <si>
    <t>133g(3/2)</t>
  </si>
  <si>
    <t>Level</t>
  </si>
  <si>
    <t>Lifetime</t>
  </si>
  <si>
    <t>P3/2</t>
  </si>
  <si>
    <t>D5/2</t>
  </si>
  <si>
    <t>?</t>
  </si>
  <si>
    <t>Nuclear Spin</t>
  </si>
  <si>
    <t>Upper Level</t>
  </si>
  <si>
    <t>Lower Level</t>
  </si>
  <si>
    <t>Branching</t>
  </si>
  <si>
    <t>Zeeman (MHz/G)</t>
  </si>
  <si>
    <t>7.92 ns</t>
  </si>
  <si>
    <t>6.4 ns</t>
  </si>
  <si>
    <t>82 s</t>
  </si>
  <si>
    <t>35 s</t>
  </si>
  <si>
    <t>^Devoe 2002, Koerber 2002, Dietrich 2009</t>
  </si>
  <si>
    <t>^Davidson 1992, Kurz 2009, Auchter 2014</t>
  </si>
  <si>
    <t>Ba138 Transition Freq (THz)</t>
  </si>
  <si>
    <t>Isotope Shift (MHz)</t>
  </si>
  <si>
    <t>Freq. (THz)</t>
  </si>
  <si>
    <t>Universal properties</t>
  </si>
  <si>
    <t>Wendt '84</t>
  </si>
  <si>
    <t>Villemoes '93</t>
  </si>
  <si>
    <t>Hove '82</t>
  </si>
  <si>
    <t>Silverans '85</t>
  </si>
  <si>
    <t>Hucul 2017</t>
  </si>
  <si>
    <t>Hucul '17</t>
  </si>
  <si>
    <t>HF Freq (MHz)</t>
  </si>
  <si>
    <t>HF Const A (MHz)</t>
  </si>
  <si>
    <t>HF Const B (MHz)</t>
  </si>
  <si>
    <t>Ba135</t>
  </si>
  <si>
    <t>G Factor</t>
  </si>
  <si>
    <t>Blatt '82</t>
  </si>
  <si>
    <t>Silverans '86</t>
  </si>
  <si>
    <t>Silverand '86</t>
  </si>
  <si>
    <t>Becker '81</t>
  </si>
  <si>
    <t>Knab '87</t>
  </si>
  <si>
    <t>Range: 2.1 - 3.5 V - if change outside this, voltage refreshes</t>
  </si>
  <si>
    <t>Ion Peak Brightness (Counts/s)</t>
  </si>
  <si>
    <t>Ablation Laser Spot</t>
  </si>
  <si>
    <t>y (mm)</t>
  </si>
  <si>
    <t>x (mm)</t>
  </si>
  <si>
    <t>Combined Beam Total (493)</t>
  </si>
  <si>
    <t xml:space="preserve">Expect. Peak Freq. on WM (THz) </t>
  </si>
  <si>
    <t>Freq. used to Trap on WM (THz)</t>
  </si>
  <si>
    <t>Acutal Peak Freq. on WM (THz)</t>
  </si>
  <si>
    <t>Actual Peak Freq. on WM (THZ)</t>
  </si>
  <si>
    <t xml:space="preserve">Freq. used to Trap on WM (THz) </t>
  </si>
  <si>
    <t xml:space="preserve">Expected Freq. on WM (THz) </t>
  </si>
  <si>
    <t>Actual Freq. Used (THz)</t>
  </si>
  <si>
    <t>N/A</t>
  </si>
  <si>
    <t>08/04/2021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</si>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</sst>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/##"/>
  </numFmts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  <border>
      <left style="slantDashDot">
        <color theme="0"/>
      </left>
      <right/>
      <top style="slantDashDot">
        <color theme="0"/>
      </top>
      <bottom style="slantDashDot">
        <color theme="0"/>
      </bottom>
      <diagonal/>
    </border>
    <border>
      <left/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/>
      <top/>
      <bottom style="slantDashDot">
        <color theme="0" tint="-0.249977111117893"/>
      </bottom>
      <diagonal/>
    </border>
    <border>
      <left style="slantDashDot">
        <color theme="0" tint="-0.249977111117893"/>
      </left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slantDashDot">
        <color theme="0" tint="-0.249977111117893"/>
      </left>
      <right/>
      <top style="slantDashDot">
        <color theme="0" tint="-0.249977111117893"/>
      </top>
      <bottom style="slantDashDot">
        <color theme="0" tint="-0.249977111117893"/>
      </bottom>
      <diagonal/>
    </border>
    <border>
      <left/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double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6" fillId="2" borderId="124" xfId="0" applyFont="1" applyFill="1" applyBorder="1" applyAlignment="1">
      <alignment horizontal="center"/>
    </xf>
    <xf numFmtId="0" fontId="2" fillId="2" borderId="124" xfId="0" applyFont="1" applyFill="1" applyBorder="1" applyAlignment="1">
      <alignment horizontal="center"/>
    </xf>
    <xf numFmtId="0" fontId="5" fillId="3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3" fillId="3" borderId="126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2" fillId="2" borderId="129" xfId="0" applyFont="1" applyFill="1" applyBorder="1" applyAlignment="1">
      <alignment horizontal="center"/>
    </xf>
    <xf numFmtId="0" fontId="5" fillId="3" borderId="130" xfId="0" applyFont="1" applyFill="1" applyBorder="1" applyAlignment="1">
      <alignment horizontal="center"/>
    </xf>
    <xf numFmtId="0" fontId="2" fillId="2" borderId="131" xfId="0" applyFont="1" applyFill="1" applyBorder="1" applyAlignment="1">
      <alignment horizontal="center"/>
    </xf>
    <xf numFmtId="11" fontId="2" fillId="2" borderId="131" xfId="0" applyNumberFormat="1" applyFont="1" applyFill="1" applyBorder="1" applyAlignment="1">
      <alignment horizontal="center"/>
    </xf>
    <xf numFmtId="0" fontId="5" fillId="2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3" xfId="0" applyFont="1" applyFill="1" applyBorder="1" applyAlignment="1">
      <alignment horizontal="center"/>
    </xf>
    <xf numFmtId="0" fontId="5" fillId="3" borderId="134" xfId="0" applyFont="1" applyFill="1" applyBorder="1" applyAlignment="1">
      <alignment horizontal="center"/>
    </xf>
    <xf numFmtId="0" fontId="6" fillId="2" borderId="135" xfId="0" applyFont="1" applyFill="1" applyBorder="1" applyAlignment="1">
      <alignment horizontal="center"/>
    </xf>
    <xf numFmtId="0" fontId="2" fillId="2" borderId="135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3" borderId="13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1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2" fillId="2" borderId="139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  <xf numFmtId="0" fontId="6" fillId="2" borderId="141" xfId="0" applyFont="1" applyFill="1" applyBorder="1" applyAlignment="1">
      <alignment horizontal="center"/>
    </xf>
    <xf numFmtId="0" fontId="6" fillId="2" borderId="142" xfId="0" applyFont="1" applyFill="1" applyBorder="1" applyAlignment="1">
      <alignment horizontal="center"/>
    </xf>
    <xf numFmtId="0" fontId="6" fillId="2" borderId="143" xfId="0" applyFont="1" applyFill="1" applyBorder="1"/>
    <xf numFmtId="0" fontId="6" fillId="2" borderId="143" xfId="0" applyFont="1" applyFill="1" applyBorder="1" applyAlignment="1">
      <alignment horizontal="center"/>
    </xf>
    <xf numFmtId="0" fontId="6" fillId="2" borderId="141" xfId="0" applyFont="1" applyFill="1" applyBorder="1"/>
    <xf numFmtId="0" fontId="6" fillId="2" borderId="144" xfId="0" applyFont="1" applyFill="1" applyBorder="1" applyAlignment="1">
      <alignment horizontal="center"/>
    </xf>
    <xf numFmtId="0" fontId="6" fillId="11" borderId="145" xfId="0" applyFont="1" applyFill="1" applyBorder="1" applyAlignment="1">
      <alignment horizontal="center"/>
    </xf>
    <xf numFmtId="0" fontId="6" fillId="11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0" fontId="6" fillId="2" borderId="150" xfId="0" applyFont="1" applyFill="1" applyBorder="1" applyAlignment="1">
      <alignment horizontal="center"/>
    </xf>
    <xf numFmtId="0" fontId="6" fillId="2" borderId="151" xfId="0" applyFont="1" applyFill="1" applyBorder="1" applyAlignment="1">
      <alignment horizontal="center"/>
    </xf>
    <xf numFmtId="0" fontId="6" fillId="2" borderId="92" xfId="0" applyFont="1" applyFill="1" applyBorder="1"/>
    <xf numFmtId="0" fontId="6" fillId="2" borderId="153" xfId="0" applyFont="1" applyFill="1" applyBorder="1" applyAlignment="1">
      <alignment horizontal="center"/>
    </xf>
    <xf numFmtId="0" fontId="6" fillId="2" borderId="93" xfId="0" applyFont="1" applyFill="1" applyBorder="1" applyAlignment="1">
      <alignment horizontal="center"/>
    </xf>
    <xf numFmtId="0" fontId="6" fillId="2" borderId="157" xfId="0" applyFont="1" applyFill="1" applyBorder="1" applyAlignment="1">
      <alignment horizontal="center"/>
    </xf>
    <xf numFmtId="0" fontId="6" fillId="2" borderId="158" xfId="0" applyFont="1" applyFill="1" applyBorder="1" applyAlignment="1">
      <alignment horizontal="center"/>
    </xf>
    <xf numFmtId="0" fontId="6" fillId="2" borderId="159" xfId="0" applyFont="1" applyFill="1" applyBorder="1" applyAlignment="1">
      <alignment horizontal="center"/>
    </xf>
    <xf numFmtId="0" fontId="6" fillId="2" borderId="124" xfId="0" applyFont="1" applyFill="1" applyBorder="1"/>
    <xf numFmtId="0" fontId="6" fillId="11" borderId="156" xfId="0" applyFont="1" applyFill="1" applyBorder="1" applyAlignment="1">
      <alignment horizontal="center"/>
    </xf>
    <xf numFmtId="0" fontId="6" fillId="11" borderId="148" xfId="0" applyFont="1" applyFill="1" applyBorder="1" applyAlignment="1">
      <alignment horizontal="center"/>
    </xf>
    <xf numFmtId="0" fontId="6" fillId="2" borderId="167" xfId="0" applyFont="1" applyFill="1" applyBorder="1" applyAlignment="1">
      <alignment horizontal="center"/>
    </xf>
    <xf numFmtId="0" fontId="6" fillId="2" borderId="168" xfId="0" applyFont="1" applyFill="1" applyBorder="1" applyAlignment="1">
      <alignment horizontal="center"/>
    </xf>
    <xf numFmtId="0" fontId="6" fillId="2" borderId="169" xfId="0" applyFont="1" applyFill="1" applyBorder="1"/>
    <xf numFmtId="0" fontId="6" fillId="2" borderId="172" xfId="0" applyFont="1" applyFill="1" applyBorder="1"/>
    <xf numFmtId="164" fontId="6" fillId="2" borderId="168" xfId="0" applyNumberFormat="1" applyFont="1" applyFill="1" applyBorder="1" applyAlignment="1">
      <alignment horizontal="center"/>
    </xf>
    <xf numFmtId="0" fontId="5" fillId="2" borderId="125" xfId="0" applyFont="1" applyFill="1" applyBorder="1" applyAlignment="1">
      <alignment horizontal="center"/>
    </xf>
    <xf numFmtId="0" fontId="5" fillId="2" borderId="126" xfId="0" applyFont="1" applyFill="1" applyBorder="1" applyAlignment="1">
      <alignment horizontal="center"/>
    </xf>
    <xf numFmtId="0" fontId="5" fillId="2" borderId="127" xfId="0" applyFont="1" applyFill="1" applyBorder="1" applyAlignment="1">
      <alignment horizontal="center"/>
    </xf>
    <xf numFmtId="0" fontId="5" fillId="2" borderId="170" xfId="0" applyFont="1" applyFill="1" applyBorder="1" applyAlignment="1">
      <alignment horizontal="center"/>
    </xf>
    <xf numFmtId="0" fontId="5" fillId="2" borderId="171" xfId="0" applyFont="1" applyFill="1" applyBorder="1"/>
    <xf numFmtId="0" fontId="5" fillId="11" borderId="155" xfId="0" applyFont="1" applyFill="1" applyBorder="1" applyAlignment="1">
      <alignment horizontal="center"/>
    </xf>
    <xf numFmtId="0" fontId="5" fillId="11" borderId="156" xfId="0" applyFont="1" applyFill="1" applyBorder="1" applyAlignment="1">
      <alignment horizontal="center"/>
    </xf>
    <xf numFmtId="0" fontId="5" fillId="11" borderId="163" xfId="0" applyFont="1" applyFill="1" applyBorder="1" applyAlignment="1">
      <alignment horizontal="center"/>
    </xf>
    <xf numFmtId="0" fontId="5" fillId="11" borderId="165" xfId="0" applyFont="1" applyFill="1" applyBorder="1" applyAlignment="1">
      <alignment horizontal="center"/>
    </xf>
    <xf numFmtId="0" fontId="5" fillId="11" borderId="164" xfId="0" applyFont="1" applyFill="1" applyBorder="1" applyAlignment="1">
      <alignment horizontal="center"/>
    </xf>
    <xf numFmtId="0" fontId="5" fillId="11" borderId="157" xfId="0" applyFont="1" applyFill="1" applyBorder="1" applyAlignment="1">
      <alignment horizontal="center"/>
    </xf>
    <xf numFmtId="0" fontId="5" fillId="11" borderId="158" xfId="0" applyFont="1" applyFill="1" applyBorder="1" applyAlignment="1">
      <alignment horizontal="center"/>
    </xf>
    <xf numFmtId="0" fontId="5" fillId="11" borderId="159" xfId="0" applyFont="1" applyFill="1" applyBorder="1" applyAlignment="1">
      <alignment horizontal="center"/>
    </xf>
    <xf numFmtId="0" fontId="5" fillId="2" borderId="154" xfId="0" applyFont="1" applyFill="1" applyBorder="1" applyAlignment="1">
      <alignment horizontal="center"/>
    </xf>
    <xf numFmtId="0" fontId="5" fillId="11" borderId="152" xfId="0" applyFont="1" applyFill="1" applyBorder="1" applyAlignment="1">
      <alignment horizontal="center"/>
    </xf>
    <xf numFmtId="0" fontId="5" fillId="11" borderId="91" xfId="0" applyFont="1" applyFill="1" applyBorder="1" applyAlignment="1">
      <alignment horizontal="center"/>
    </xf>
    <xf numFmtId="0" fontId="5" fillId="11" borderId="160" xfId="0" applyFont="1" applyFill="1" applyBorder="1" applyAlignment="1">
      <alignment horizontal="center"/>
    </xf>
    <xf numFmtId="0" fontId="5" fillId="11" borderId="161" xfId="0" applyFont="1" applyFill="1" applyBorder="1" applyAlignment="1">
      <alignment horizontal="center"/>
    </xf>
    <xf numFmtId="0" fontId="5" fillId="11" borderId="162" xfId="0" applyFont="1" applyFill="1" applyBorder="1" applyAlignment="1">
      <alignment horizontal="center"/>
    </xf>
    <xf numFmtId="0" fontId="5" fillId="11" borderId="173" xfId="0" applyFont="1" applyFill="1" applyBorder="1" applyAlignment="1">
      <alignment horizontal="center"/>
    </xf>
    <xf numFmtId="0" fontId="5" fillId="11" borderId="174" xfId="0" applyFont="1" applyFill="1" applyBorder="1" applyAlignment="1">
      <alignment horizontal="center"/>
    </xf>
    <xf numFmtId="0" fontId="6" fillId="2" borderId="175" xfId="0" applyFont="1" applyFill="1" applyBorder="1" applyAlignment="1">
      <alignment horizontal="center"/>
    </xf>
    <xf numFmtId="0" fontId="5" fillId="11" borderId="176" xfId="0" applyFont="1" applyFill="1" applyBorder="1" applyAlignment="1">
      <alignment horizontal="center"/>
    </xf>
    <xf numFmtId="0" fontId="5" fillId="11" borderId="167" xfId="0" applyFont="1" applyFill="1" applyBorder="1" applyAlignment="1">
      <alignment horizontal="center"/>
    </xf>
    <xf numFmtId="0" fontId="5" fillId="11" borderId="166" xfId="0" applyFont="1" applyFill="1" applyBorder="1" applyAlignment="1">
      <alignment horizontal="center"/>
    </xf>
    <xf numFmtId="0" fontId="5" fillId="11" borderId="148" xfId="0" applyFont="1" applyFill="1" applyBorder="1" applyAlignment="1">
      <alignment horizontal="center"/>
    </xf>
    <xf numFmtId="0" fontId="6" fillId="11" borderId="14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24" xfId="0" applyFont="1" applyFill="1" applyBorder="1"/>
    <xf numFmtId="0" fontId="3" fillId="3" borderId="175" xfId="0" applyFont="1" applyFill="1" applyBorder="1" applyAlignment="1">
      <alignment horizontal="center"/>
    </xf>
    <xf numFmtId="0" fontId="2" fillId="2" borderId="150" xfId="0" applyFont="1" applyFill="1" applyBorder="1" applyAlignment="1">
      <alignment horizontal="center"/>
    </xf>
    <xf numFmtId="0" fontId="3" fillId="3" borderId="130" xfId="0" applyFont="1" applyFill="1" applyBorder="1" applyAlignment="1">
      <alignment horizontal="center"/>
    </xf>
    <xf numFmtId="0" fontId="2" fillId="3" borderId="134" xfId="0" applyFont="1" applyFill="1" applyBorder="1" applyAlignment="1">
      <alignment horizontal="center"/>
    </xf>
    <xf numFmtId="0" fontId="2" fillId="2" borderId="177" xfId="0" applyFont="1" applyFill="1" applyBorder="1"/>
    <xf numFmtId="1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207788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150</xdr:row>
      <xdr:rowOff>19048</xdr:rowOff>
    </xdr:from>
    <xdr:to>
      <xdr:col>7</xdr:col>
      <xdr:colOff>1162050</xdr:colOff>
      <xdr:row>227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Got 553 nm power to 8 uW, the same as TOF Spectrum before. (62 degrees)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Set ablation energy to 75 uJ, compared to 65 uJ before (63 degrees)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7.19x6.1 - previous good spot from PJL's experiments yesterday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Started TOF spectrum experiment - 5 Hz rep. 5 samples per, 8 uW 553 power, 75 uJ pulse energy, -150 MHz - 600 MHz, 140 us to 180 us, 1 us resolution 1 us window, calibration 145 us - 200 us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100+ counts at first, reduced to ~80 counts at around +50 MHz, reduced to under 50 counts at around +130 MHz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Reconditioned with 140 uJ - around 30 pulses to improve from 80 - 200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Started TOF spectrum again where left off - ~50 counts increased to ~100 counts after 1 freq (195 MHz). Under 50 counts at ~210 MHz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Reconditioned - around 40 pulses to improve from 60-170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Started again - very first data point ~120, then ~60 counts, then ~20-30 counts very quickly...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again - reduced again quickly to 30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7.23x6.1 - good spot from Yvette's conditioning experiments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Counts high ~70 at first, then decreased to ~20 counts after a few pulses.  (75 uJ)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110 uJ - ~200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Back to 75 uJ - ~20-30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140 uJ - ~200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75: 60 -&gt; 20-30 counts quickly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140 u - 150 -&gt; 200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75 uJ - 50-&gt; 20-30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7.21x6.1 - decent Yvette conditioning spot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no counts low pulse energy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Conditioned: 40 -&gt; 180 over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~20 counts low pulse energy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7.2x6.1 -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no counts at first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50-&gt;300 counts over 30 pulses conditioning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 pulse energy ~100 -&gt; bg over 30 pulsees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conditioning 140 uJ: 200 -&gt; 350 counts over 30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 - 100 -&gt; ~20 counts over 30 pulses.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7.2x6.11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80-&gt;bg low pulse energy...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conditioning 100 -&gt; 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7.2x6.09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conditioning 200 -&gt; 300 counts over 10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 100 -&gt; bg over 20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conditioning again, then low - 100 -&gt; 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7.21x6.09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conditioing 100-&gt;200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 - ~20 counts...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again - same story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7.21x6.08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~60 -&gt; 120 counts low pulse energy. Might be good to go.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Started TOF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Increased up to ~200 counts at 295 MHz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Restarted program to fix RAM buildup issue - 315 MHz start (_004)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Around +450 MHz, reduced to ~100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17</xdr:row>
      <xdr:rowOff>47625</xdr:rowOff>
    </xdr:from>
    <xdr:to>
      <xdr:col>5</xdr:col>
      <xdr:colOff>630554</xdr:colOff>
      <xdr:row>29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18</xdr:row>
      <xdr:rowOff>74297</xdr:rowOff>
    </xdr:from>
    <xdr:to>
      <xdr:col>20</xdr:col>
      <xdr:colOff>302366</xdr:colOff>
      <xdr:row>27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4</xdr:row>
      <xdr:rowOff>41910</xdr:rowOff>
    </xdr:from>
    <xdr:to>
      <xdr:col>20</xdr:col>
      <xdr:colOff>310615</xdr:colOff>
      <xdr:row>13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104775</xdr:rowOff>
    </xdr:from>
    <xdr:to>
      <xdr:col>7</xdr:col>
      <xdr:colOff>407670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18</xdr:row>
      <xdr:rowOff>101149</xdr:rowOff>
    </xdr:from>
    <xdr:to>
      <xdr:col>24</xdr:col>
      <xdr:colOff>443232</xdr:colOff>
      <xdr:row>29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4</xdr:row>
      <xdr:rowOff>51322</xdr:rowOff>
    </xdr:from>
    <xdr:to>
      <xdr:col>24</xdr:col>
      <xdr:colOff>457575</xdr:colOff>
      <xdr:row>15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552449</xdr:colOff>
      <xdr:row>3</xdr:row>
      <xdr:rowOff>119063</xdr:rowOff>
    </xdr:from>
    <xdr:to>
      <xdr:col>20</xdr:col>
      <xdr:colOff>142874</xdr:colOff>
      <xdr:row>39</xdr:row>
      <xdr:rowOff>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8BC37-B8DD-4708-BE7E-C603943A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681038"/>
          <a:ext cx="12463463" cy="646927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 0 1,1-2-1,-1 0 0,1 1 1,0 1-1,-1-3 1,1 3-1,0-1 0,0 0 1,0 0-1,0 1 1,1-1-1,-1 2 0,0-3 1,2 2-44,39-13 1026,-34 42-668,-5 5-120,-3-30-224,0 0-1,0 1 1,-1-1-1,1 2 1,-1-3-1,0 4 1,0-3-1,0 0 1,-1 1-1,1 1-13,-2 6 40,1 0-1,1 0 0,-1 0 0,2 1 1,1 9-40,0 18 65,-2-24 99,0 1-1,-1-1 1,0 1 0,-1 0 0,-1-1 0,0-1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1-1,1-2 1,0 0 0,0 1 0,4-6 53,-5 10-10,-1 1 1,1-2 0,0 2 0,-1-1 0,1 1 0,1 0 0,-1-1 0,1 1 0,-1 0 0,1 1 0,-1-1 0,1-1 0,0 3 0,0-1 0,0 0 0,-1 1 0,1-1 0,0 1 0,3 0 9,19 1 223,-2 1 1,2 3-1,-1 0 0,0 2 0,-1-1 1,1 3-1,6 4-223,-17-10-99,0 0 0,-1 1 0,2-3 0,-1 0 1,1 1-1,-1-4 0,5 1 99,12 1-1632,-30 0 1438,0 0-1,1 0 0,-1 0 0,0 0 0,0 0 1,0 0-1,0-1 0,1 1 0,-1 0 0,0-2 1,0 2-1,0 0 0,0-1 0,0 1 0,0-1 1,0 0-1,0 1 0,0-1 0,0 0 0,0 1 1,0-2-1,-1 2 0,1-1 0,0 0 0,0-1 1,-1 2-1,1-2 0,-1 1 195,4-35-9224,-4 27 7211,0 8 770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0,12-10 0,-31 45 0,-18 18 0,31-29 0,32-16 0,11-1 0,-6 6 0,2-10 0,141-156 0,-217 211 0,-19 23 0,1 1 0,0 0 0,1 0 0,-1 1 0,1 0 0,1-1 0,1-1 0,0 0 0,-1 0 0,0 0 0,0-1 0,-1 0 0,5-8 0,39-32 0,-48 46 0,0-1 0,1 1 0,0-1 0,0 2 0,0-2 0,0 1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0,1-1 0,-1-3 0,2-3 0,50-22 0,-75 34 0,35-7 0,-40 12 0,1 0 0,-1-1 0,1 1 0,-1 0 0,1 0 0,-1 0 0,1 0 0,0 0 0,-1 0 0,1 0 0,-1 0 0,1 0 0,-1 0 0,1 1 0,-1-1 0,1 0 0,-1 0 0,1 0 0,-1 1 0,1-1 0,-1 0 0,1 1 0,-1-1 0,1 0 0,-1 1 0,1-1 0,-1 1 0,0-1 0,1 0 0,-1 2 0,0-2 0,1 1 0,-1-1 0,0 0 0,0 0 0,0 2 0,1-1 0,-1-1 0,0 1 0,0-1 0,0 1 0,-1 21 0,1-19 0,0 23 0,1-17 0,0 0 0,-1-1 0,-1 2 0,1-3 0,-2 4 0,1-3 0,-1 1 0,0 1 0,-5 8-866,-11 17-3877,8-23 833,8-11 2920,-1 2 0,1-1 0,-1 1 0,1 0 0,0 0 0,0 0 0,0 0 0,1-1 0,-1 1 1,1 1-1,-1 0 0,1-1 0,0-1 0,0 3 990,-14 30-8246,15-26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1,10-6 102,-1-1-731,-18 12 488,0 0 0,0 0 0,1 0 0,-1 0 0,0-1 0,0 2 0,0-1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1 0,-1-2 0,0 2 0,0-1 0,0 0 0,0 1 0,0 0 0,-1-2 0,1 2 0,0-1 0,-1 0 0,1 1 0,0-1 0,-1 1 0,1 0-122,11 58 2438,-6-26-967,-3-19-862,0 1 1,-2 0-1,1 0 1,-2 6-610,6 49 1258,-6-9-551,10 73 576,13 74-867,7-2-416,-20-138 0,-6-46 0,-1 0 0,-1 2 0,0 6 0,1 25 0,0 23 0,-5-26 0,3-1 0,2-1 0,2 7 0,4 92 0,-7-98 0,8 46 0,0-11 0,16 101 0,2-37 0,-13-79 0,-3 1 0,-3-1 0,-1 55 0,7-3 0,0-5 0,-15-108 0,0-6 0,-1 2 0,1-3 0,1 3 0,-1-2 0,1 1 0,0 0 0,0-1 0,0-1 0,2 5 0,-2 0 0,-1-8 0,0 0 0,0 0 0,0 0 0,0 0 0,0 1 0,1-2 0,-1 2 0,0-2 0,0 2 0,1-2 0,-1 1 0,0 0 0,1 0 0,-1-1 0,1 1 0,-1 0 0,1-1 0,-1 1 0,1 0 0,0-1 0,-1 1 0,2 0 0,4 32 0,-14 15 0,7-16 0,0-22 0,1-1 0,-1 2 0,2 0 0,-1-1 0,1 0 0,1 0 0,0-1 0,2 6 0,4 42 0,-8-35 0,-1-10 0,1 2 0,0-1 0,1 1 0,0 0 0,1-1 0,0 0 0,1 2 0,0-4 0,1 2 0,4 7 0,-6-15 0,0 0 0,0 0 0,-1 1 0,0-1 0,0 0 0,0 0 0,0 1 0,-1 2 0,1-3 0,-1 0 0,1 0 0,-1-1 0,1 1 0,1-1 0,0 2 0,0-2 0,0 2 0,13 42 0,-13-41 0,0-2 0,-1 1 0,0 1 0,0-1 0,0-1 0,0 0 0,-1 5 0,29 40 0,-28-44 0,2 7 0,-2-13 0,-1 0 0,1 2 0,-1-2 0,0 0 0,1 1 0,-1-1 0,0 0 0,1 1 0,-1-1 0,0 1 0,0-1 0,1 1 0,-1-1 0,0 0 0,0 1 0,0-1 0,0 1 0,0-1 0,1 1 0,-1-1 0,0 1 0,0-1 0,0 2 0,0-2 0,0 1 0,-1-1 0,1 1 0,0-1 0,0 1 0,0-1 0,0 1 0,0-1 0,-1 1 0,2 2 0,-3-1 0,0-1 0,0-1 0,0 0 0,0 2 0,0-2 0,1 1 0,-1-1 0,0 0 0,0 0 0,0 0 0,0 0 0,0 0 0,0 0 0,0 0 0,-9 0 0,0 0 0,1-1 0,-2-1 0,-8-1 0,17 2 0,-1 0 0,1 0 0,-1-1 0,1 1 0,0-1 0,-1-1 0,1 1 0,0 0 0,0 0 0,0-1 0,1 2 0,-1-3 0,-1-2 0,-6-2 0,6 20 0,6-6 0,0 0 0,0-1 0,1 2 0,-1-2 0,1 0 0,0 1 0,1-1 0,2 3 0,2 5 0,3 3 0,0-2 0,0 0 0,1-1 0,2 0 0,-1 0 0,1-2 0,3 3 0,-10-9 0,1 1 0,0-1 0,1 0 0,0-1 0,-1 0 0,1 0 0,1-1 0,-1 0 0,0 0 0,1-2 0,-1 1 0,1-1 0,1-1 0,-9 0 0,0 0 0,0-1 0,0 1 0,0-1 0,0 1 0,0-1 0,0 0 0,0 0 0,0 0 0,-1 0 0,1 0 0,0-1 0,-1 1 0,1-1 0,0 1 0,-1-1 0,0 0 0,1 1 0,-1-1 0,0 0 0,0 1 0,0-1 0,0 0 0,0 0 0,0-1 0,-1 1 0,1-1 0,-1 2 0,1-1 0,-1 0 0,0 0 0,1 0 0,-1 0 0,2-17 0,-1 1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1-1,-1-2 0,1 4-123,-20 35 778,20-40-716,-1 1 0,1-1 1,0 0-1,0 1 0,0-1 1,0 2-1,0-2 0,1 1 1,-1 0-1,1-1 1,-1 2-63,1-1 63,0 1 1,-1-2 0,1 1-1,-2 0 1,1 0 0,0-1-1,0 0 1,0 1 0,-1 0-1,1 0 1,-1 0-64,0 1 110,0-1-1,0 1 1,0 1 0,0-1 0,1-1 0,0 2-1,0-1 1,0 1 0,0 0 0,1-1-1,-1 0 1,1 0 0,0 1 0,1 2-110,-6 7 576,9-19-155,-3 3-327,6-6 76,0 1 1,-1-2-1,1 0 0,-2 1 1,0-2-1,0 0 0,-1 2 1,0-2-1,1-3-170,25-35 672,-27 38-162,0-1 0,-1 0-1,0 1 1,0-1 0,-1-11-510,31 28 2729,-27 1-2507,0-2 0,1 1 0,0-1 1,0-1-1,0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0 1,0 2-1,0-3 0,1 2 1,0 1-218,1 1 313,14 45 3111,-10 120 3907,-7 259-6245,2-389-1086,2 0 0,4 17 0,2 19 0,40 334 0,-45-341 0,11 87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0,-1-1 0,0 2 0,1-1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0,0-1 0,-1 3 0,1-1 0,-1 0 0,-1-2 0,-77-90 0,79 90 0,0 2 0,0 0 0,0-1 0,1 0 0,0-1 0,-1 1 0,1-1 0,0 2 0,0-1 0,1 0 0,1 9 0,0 0 0,0 1 0,1-1 0,0-2 0,0 4 0,0-3 0,1 1 0,0-1 0,0 1 0,0-1 0,1 0 0,0 0 0,0-1 0,0 2 0,0-2 0,1 0 0,0 1 0,-1-2 0,1 0 0,1 1 0,-1-2 0,4 3 0,-5-4 0,17 5 0,-21-6 0,1 0 0,-1 0 0,1 0 0,-1 0 0,1 0 0,-1 0 0,1 0 0,-1 0 0,1 0 0,-1 0 0,0-2 0,1 2 0,-1 0 0,1 0 0,-1 0 0,1-1 0,-1 1 0,0 0 0,1 0 0,-1-1 0,0 1 0,1 0 0,-1 0 0,0 0 0,1-2 0,-1 2 0,0 0 0,0-1 0,1 1 0,-1-1 0,0 1 0,0-1 0,0 1 0,0-1 0,1 1 0,-1 0 0,0-1 0,0 1 0,0-1 0,0 1 0,0-1 0,15-56 0,-14 21-2047,3 2 0,0-1 0,4-11 2047,-1 12-2414,-2-2 0,-1 0 0,-1-12 2414,0-1-5059,-2 37 3457,0 0 0,-1 1-1,0 0 1,0-1-1,-1 1 1,-1-1-1,-1-5 1603,-2 3-1235,4 0 126</inkml:trace>
  <inkml:trace contextRef="#ctx0" brushRef="#br0" timeOffset="1">30 37 984,'-8'45'10752,"8"-15"-6413,0-28-3916,0-2-6,0 46 3039,0-26-2805,1-8-391,-1-2-1,0 1 1,-1-1-1,0 1 1,-1 0-1,-1 4-259,0-2 377,1-1-1,0 1 1,1-1-1,0 2 1,1 3-377,-6 5 1328,9-32-319,0-4-645,2-1 0,0 0 0,0 2 0,4-6-364,1 2 255,-1 0 0,-1-1 1,-1 1-1,2-7-255,14-34 717,-17 46-529,-3 7-42,0 0-1,-1 0 1,0 0 0,0 0 0,0 0 0,-1 0 0,1-3-146,-1 11 81,0 1 1,0 0 0,0-1 0,1 1 0,0-3-1,-1 3 1,1 0 0,0-2 0,0 1 0,1 0-1,-1-1 1,1 0 0,-1 2 0,3-2-82,17 24 420,-12-14-420,0 0 0,0-1 0,1 2 0,0-6 0,12 13 0,15 12 0,-26-24 0,-11-8 0,0 1 0,0-1 0,0 1 0,0-1 0,0 1 0,0-1 0,0 1 0,0 0 0,0 0 0,0-1 0,0 1 0,0-1 0,0 2 0,-1 0 0,1-2 0,0 1 0,-1 1 0,1-2 0,0 3 0,5 2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36 0,99 169 0,-110-192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0 0,-90-102 0,-15-21 0,-7-9 0,14 32 0,-15-27 0,-4-16 0,-1 1 0,1-1 0,0 1 0,0-1 0,0 2 0,0-2 0,1 0 0,-1 1 0,1-1 0,-1 0 0,1 1 0,0-2 0,0 2 0,2 2 0,0-1 0,-1 1 0,0-2 0,0 2 0,0 1 0,-1-2 0,1 1 0,-1 1 0,1 1 0,-1-1 0,0-1 0,2 2 0,-1-2 0,1 0 0,-1 0 0,1 0 0,3 3 0,6 6 0,-2 0 0,0 2 0,0-1 0,7 16 0,1 1 0,-19-32 0,4 5 0,0 1 0,-1-1 0,1 2 0,-1-1 0,0 0 0,-1 0 0,0 2 0,0-2 0,1 6 0,-1-6 0,0-2 0,0 1 0,0 1 0,1-2 0,-1 1 0,1-1 0,1 0 0,-1 1 0,2 1 0,6 10 0,31 51 0,-2-2 0,-38-62 0,-1-1 0,1 0 0,0 0 0,0 1 0,0-1 0,0 1 0,0-1 0,1 0 0,-1 0 0,1-1 0,-1 1 0,1-1 0,-1 1 0,1-1 0,2 1 0,7 5 0,-7-3 0,-1-1 0,1 1 0,-1 0 0,0 0 0,-1 2 0,1-1 0,-1-1 0,1 1 0,-1 2 0,-3-7 0,0 0 0,0 2 0,0 0 0,0-2 0,0 1 0,0 0 0,1 0 0,-1 0 0,0 1 0,0-2 0,1 1 0,-1-1 0,1 1 0,-1 0 0,1 0 0,-1-1 0,1 1 0,-1 0 0,1 1 0,0-2 0,-1 1 0,1-1 0,0 1 0,0 0 0,-1-1 0,1 0 0,0 1 0,1 1 0,-2-2 0,1 0 0,-1 0 0,1 0 0,-1 0 0,0 0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0,-1-2 0,0 2 0,1 0 0,-1-1 0,1 1 0,-1 0 0,0-1 0,1 1 0,-1 0 0,0 0 0,2 0 0,-1 0 0,1 0 0,0 0 0,-1 0 0,1 1 0,0-1 0,-1 0 0,1 0 0,0 0 0,-1 1 0,1-1 0,0 0 0,0 0 0,-1 0 0,1 0 0,0 0 0,0 2 0,-1-2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0,0-2 0,1 2 0,-1 0 0,0-2 0,0 1 0,0 1 0,1 0 0,-1-2 0,0 1 0,0 1 0,-1-32 0,0 24 0,2-21-309,0 13-274,-1 1-1,0-1 1,-2 1 0,1-1 0,-2 1 0,-1-6 583,0 9-1560,-1 4 0,1-2 0,-2 2 0,1-2 0,-1 3 0,0-1 0,-1 0 0,1 0 0,-2 1 0,1 2 0,-5-6 1560,0 0-2024,1 0 1,0 0 0,1-2-1,-3-2 2024,2-4-1411,-9 1 137</inkml:trace>
  <inkml:trace contextRef="#ctx0" brushRef="#br0" timeOffset="3">520 71 408,'-7'0'3844,"7"0"-3650,0 0 0,0-2 1,0 2-1,0-1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2 0,-1-3 0,2 2 0,-1-2 0,2 4-1,-1-3 1,2 2 0,0 1 0,0 9-226,-2-7 351,0 9 31,3-24-369,0-1 0,0 1-1,0-1 1,0 1 0,0-1 0,0 0 0,0 0 0,0 0 0,0 2-1,1-2 1,-1 1 0,0-1 0,0 1 0,1-1 0,-1 0 0,0 1-1,0-1 1,1 0 0,-1 1 0,0-1 0,1 0 0,-1 1 0,1-1-1,-1 0 1,0 0 0,1 0 0,-1 0 0,1 0 0,-1 0 0,1 0-1,-1 0 1,1 3 0,-1-3 0,1 0 0,-1 0 0,1 0 0,-1 0-1,1 0-12,1-3 43,0 3 0,-1 0 0,1-1 0,0 0 0,0 0 0,-1 0 0,1 0 0,-1-1 0,1 2 0,-1-1 0,1 0 0,-1-1 0,0 0 0,0 0 0,0 1 0,0 0 0,0-1 0,0-1-43,17-29 221,-10 14-76,3-3 66,-1 0 1,-1 0 0,-1-1 0,-1 1-1,-1-1 1,0-2 0,-2 1 0,-1 0-1,0-4-211,-1 8 318,-1 16-231,-1 1 0,1 0 0,-1 0 0,0-1 0,0 1-1,0 1 1,0-3 0,0 1 0,-1 2 0,1-3 0,-1 2 0,0-1-87,1 2 82,-1 0 0,1 0 0,0-1 0,-1 2 0,1-1 0,0-1 0,0 2 0,0-1 0,-1-1 0,1 2 0,0-2 0,0 1 0,1 0 0,-1 0 0,0 0 0,0 0 0,0 0 0,1 0 0,-1 0 0,0 0-1,1 0 1,-1 0 0,1 0 0,-1 0 0,1 0 0,0 0 0,-1-1 0,1 2 0,0-1 0,0 1 0,-1 0 0,1-2 0,0 1 0,0 1 0,0-1 0,0 1 0,0-1 0,0 1 0,0 0 0,0-1-82,46-4 4113,-44 5-3827,95 0 565,-93 1-851,0 1 0,0-1 0,0 1 0,0 0 0,0 1 0,0 0 0,-1-1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0-1,1 1 1,-1 1 0,1-1-1,0 0 1,0 0 0,0-1-1,1 3 1,0-1 0,-1 2-811,-3 65 9766,5-66-9014,2-1-732,0 0 0,0 1-1,1 1 1,0-4 0,0 2 0,0 1-1,0-2 1,1 0 0,-1 1 0,2-1-1,0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0 0,0 1 0,2-1 0,0 2 0,-1-2 0,2 2 0,-1 0 0,4-2 0,-7 7 0,1 1 0,1 0 0,-1 1 0,1-2 0,0 2 0,0 0 0,1 1 0,-1-1 0,1 1 0,-1-1 0,1 1 0,0 1 0,0-1 0,0 1 0,0 1 0,5-2 0,-2 2 0,1 0 0,0 0 0,-1 1 0,1 1 0,-1-1 0,1 1 0,-1 1 0,2 0 0,-2 1 0,0-1 0,0 1 0,0 0 0,0 2 0,3 1 0,4 2 0,-2 2 0,0 0 0,0 0 0,-1 0 0,1 2 0,-1 0 0,-2 1 0,1-1 0,3 8 0,-10-13 0,0 0 0,0 0 0,-1 1 0,0-1 0,0 0 0,-1 1 0,0 1 0,0-1 0,-1 0 0,0 0 0,-1 1 0,1-1 0,-1 2 0,-1-2 0,0 0 0,0 1 0,-1-1 0,1 0 0,-2 2 0,1-2 0,-3 4 0,1-2 0,-1 1 0,-1-1 0,0 0 0,0 0 0,-2 0 0,1-1 0,0 1 0,-1-2 0,-1 0 0,1 0 0,-1 0 0,0-1 0,-1 1 0,-1-2 0,1 0 0,-8 5 0,-4-1 0,-1 0 0,0-1 0,-1-1 0,1-1 0,-2-1 0,1-2 0,-19 2 0,37-5-32,0 0 0,-1-1-1,1 0 1,-1 0 0,1 0 0,-1 0-1,1-1 1,0 0 0,-2 0 0,2-2-1,0 2 33,3 0-37,1 0 0,0 0 0,-1 0 0,1 0 0,0 1 0,0-3 0,0 2-1,0 0 1,0 0 0,0-1 0,0 1 0,0-1 0,0 1 0,1-2 0,-1 2 0,1-1-1,-1 1 1,1-1 0,-1 0 0,1 1 0,0-1 0,0 1 0,0-1 0,0 0 0,0 1-1,0-1 1,1-1 0,-1 2 0,0-1 0,1 1 0,-1-1 0,1 1 0,-1-1 0,1 1 0,1-2 37,3-14-3300,-4 13 2273,0 0 0,0-1 0,0 1 0,1 0 0,0 1 0,-1-2 0,1 3 0,1-3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1 0,0-3 1,-1 2-1,1 0 0,-1 1 0,-1-1 1,1 0-1,0 0 0,-1 2 1,0-1-1,0 0-124,2 35 273,-2-34-351,0 0 1,-1 0-1,1 1 1,-2-1-1,1 0 1,-1 1 0,0-1-1,-1 3 78,1 28-1314,0 9-2318,1-46 3378,0 0 0,0 1-1,-1-1 1,1 0 0,0 0 0,0 0 0,-1 0 0,1 0-1,0 1 1,-2-2 0,2 1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1 0,0-2 0,-1 0 0,1-1 0,-1 1 0,-2-2 0,10-1-74,1-2 0,0 0 0,0 0 1,-1 0-1,1 0 0,0 0 0,0 0 0,-1 0 0,1 0 0,0 2 1,-1-2-1,1 0 0,0 0 0,0 0 0,-1 0 0,1 0 0,0-2 1,0 2-1,-1 0 0,1 0 0,0 0 0,0 0 0,-1 0 0,1 0 1,0 0-1,0 0 0,-1-2 0,1 2 0,0 0 0,0 0 0,0 0 1,-1 0-1,1 0 0,0 0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978 609 920,'-12'9'6287,"5"-3"316,15-6-5110,0 0 1,0-2-1,0 0 1,0 1-1,0-1 0,0-1 1,6-3-1494,8-4 1043,0-2 1,1-1-1,7-8-1043,12-7 1492,-24 19-1091,-1 1 1,1 0-1,1 1 1,0 2-1,-1-1 1,19-2-402,13 8 883,-49 41-294,-2-29-589,-1 1 0,-1 0 0,0-2 0,-1 3 0,0-4 0,0 2 0,-1-1 0,-1 1 0,0-1 0,-37 64 0,17-29 0,-26 37 0,-1-11 0,-2-1 0,-4-3 0,-3-4 0,-19 13 0,73-70 0,4-2 0,-1 0 0,-1-1 0,0 0 0,1 1 0,-1-1 0,0-1 0,0 1 0,0-1 0,0 0 0,0 0 0,-1-1 0,1 0 0,-6 0 0,12-2 0,-1 0 0,0 1 0,1-1 0,-1 0 0,0 0 0,1 0 0,-1 0 0,0 0 0,1 0 0,-1 0 0,0-1 0,1 1 0,-1 0 0,0 0 0,1 0 0,-1-1 0,0 1 0,1 0 0,-1-1 0,1 1 0,-1 0 0,1-1 0,-1 1 0,1-1 0,-1 1 0,1-1 0,-1 1 0,1-1 0,0 1 0,-1-1 0,1 0 0,0 1 0,-1-1 0,1-1 0,0 2 0,0-1 0,0 0 0,-1 1 0,1-1 0,0 0 0,0 1 0,0-1 0,0 0 0,0 1 0,-1-15-77,-1 1-1,2 0 1,0-1-1,1 1 1,0 0 0,1-1-1,0 2 1,1-2-1,1 1 1,0 1 0,1-1-1,6-10 78,-10 20-3,1 1 0,-1 0 0,1-2 1,0 1-1,0 1 0,0 0 0,0 0 0,1 0 0,-1-1 0,1 1 0,0 0 0,0 1 0,0-1 0,0 1 0,0 0 0,0 0 1,1 0-1,-1-1 0,1 3 0,-1-3 0,1 2 0,0 0 0,0 0 0,0 1 0,0-1 0,0 1 0,0-1 0,0 1 0,0 0 1,0 1-1,-1-1 0,1 1 0,0-1 0,0 1 0,0 0 0,-1 1 0,1 0 0,-1 0 0,4 1 3,28 18 327,0-2-1,1-2 1,1-1 0,1-1-1,33 7-326,-40-15-1648,2-1 1,-1-1-1,1-2 0,19-1 1648,-51-3-572,0 1 0,0 0 0,0 0 0,0-1 0,0 1 0,0-1 0,0 1 0,0-1 0,0 1 0,0-1 0,0 0 0,-1 0 1,1 1-1,0-2 0,0 1 0,-1 0 0,1 0 0,0 1 0,-1-1 0,1 0 0,-1 0 0,1 0 0,-1 0 0,0 0 0,1 0 0,-1 0 572,4-18-7954,-3 13 5566,4 4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1,12-8-1649,-11 6 1051,68-27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53 794,3-18-1848,0-71 441,0-7-8261,0-8 3528,0-33-3052,0-9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1,0-1-1,-2 0 0,1 0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1,10-8-1649,-9 6 1051,57-27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53 794,2-18-1848,0-71 441,0-7-8261,0-8 3528,0-33-3052,0-9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1,0-1-1,-2 0 0,1 0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1-1,0-2 1,-1 3-1,1-1 0,-1 0 1,1 0-1,-1 0 1,0 0-1,0 0 1,0 0-1,0 1-123,1 1 74,-1-2 1,0 1 0,1-1-1,0 0 1,-1 1-1,1 0 1,0-1-1,0 0 1,0-1-1,1 1 1,-1 0 0,0 1-1,1-2 1,-1 0-1,1 1 1,-1-1-1,1 0 1,0 0-1,0 0-74,22 13 811,12 9-8,8 5 238,-39-25-886,-1 2-1,0-2 1,1 0 0,-1 1 0,1-1-1,0-1 1,0 0 0,3 1-155,-2-1 124,0 0 0,-1 0 1,1 2-1,-1-1 0,1 1 1,-1-1-1,1 3-124,29 21 1178,0-1-1,23 10-1177,-10-5 1373,92 63 1838,-121-79-2610,-1-1 0,16 19-601,2-2 302,-14-9-175,-9-9-47,0-2 0,0 2 1,2-3-1,8 4-80,4 3 79,-1 2 0,0-1 0,14 16-79,-13-12 25,-8-3-25,-2 0 0,0 1 0,-1 0 0,-1 2 0,0 1 0,-1 1 0,-7-14 0,0 1 0,1-2 0,0 0 0,0-1 0,0 0 0,1 0 0,1 0 0,0 0 0,4 1 0,0 2 0,-1 1 0,7 8 0,78 93 0,-70-85 0,-25-25 0,0 1 0,0-2 0,-1 1 0,1 1 0,-1-1 0,0 2 0,0 0 0,1-1 0,8 4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1 0,0-2 0,0 0 0,0 1 0,1 0 0,33 22 0,-19-14 0,103 81 0,-45-39 0,8-4 0,-60-31 0,30 13 0,3 3 0,-53-32 0,1 1 0,-1 0 0,1 0 0,-1 0 0,0 1 0,0-1 0,0 2 0,1-2 0,-1 1 0,0-1 0,-1 1 0,1 0 0,0 0 0,-1 0 0,1 0 0,0 2 0,15 17 0,19 28 0,-10-13 0,1-30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0 0,1 0 0,-1 2 0,1-2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0,0-1 0,-1 2 1,1-1-1,0-2 0,-1 2 1,1 0-1,-1 0 0,1 0 1,-1-1-1,0 1 0,1 0 1,-1-1-1,0 0 0,0 1 1,0 0-1,0 0 0,0-2 1,0 3-1,-1-2 26,2-55-1154,-2 43 916,1-76-6231,0 28-3185,0 55 8225,-1 1 0,0-2 0,-1 2 1,1-1-1,-1 3 0,0-3 0,-1 1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1-1,0 1 0,0-1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80,-38-21-45,1 2 0,0-2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3-4,23 17 31,-28-22-32,1 1 0,0 0-1,0 0 1,0 0 0,0 0-1,0 0 1,0-1 0,0 1-1,0-1 1,0 1 0,0-1 0,0 0-1,0 0 1,1 0 0,-1 0 1,32 7-17,-26 0 10,-6-5 4,1 1-1,0-1 0,-1 0 1,1-1-1,0 1 0,0-1 1,-1 0-1,1 1 0,0-2 0,1 1 1,-1 0-1,0 0 0,0-1 1,0 0-1,0 0 0,2 0 4,-5 1 1,0-1-1,0 0 1,-1 2-1,1-2 1,-1 0-1,1 0 1,0 0-1,-1 0 1,1 0-1,0 0 1,-1 0-1,1 0 0,0 0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1-1,0-2 1,0 0-1,-1 0 1,1 0-1,0-2 1,0 1-1,-5-1 9,9 1 2,-58 1-106,83 1 64,-2-1-64,1 0 0,-1-2 0,13-2 104,-21 1-13,-1-2 1,1 2-1,-1-2 0,0-1 0,7-5 13,-15 4-2,6-4 58,-9 10-94,-1 1 52,0-3 14,0 5-22,-22-25-358,17 0 26,4 21 258,0 0-1,1-1 1,-1 1-1,0 0 1,1 0-1,-1 0 1,1-2-1,0 2 0,0-1 1,0 2-1,0-2 1,0 0-1,1 1 1,-1 0-1,1-1 1,-1 1-1,2-2 69,-1-14-1087,-1 16 598,0 0 1,0 0 0,0 0-1,0-1 1,-1 1-1,1 0 1,-1 1-1,1-1 1,-1-1-1,1 1 1,-1 0 0,0-1-1,0 3 1,0-2-1,-1-1 489,1 2-1136,-2-16-6977,1 6 5504,7 6 1326</inkml:trace>
  <inkml:trace contextRef="#ctx0" brushRef="#br0" timeOffset="2">512 967 280,'0'0'569,"0"0"-51,-31 24 2399,30-23-2861,0-1 0,0 1 0,0-1-1,0 1 1,0 0 0,1-1 0,-1 1 0,0 0-1,0-1 1,1 1 0,-1 0 0,0 0-1,1 0 1,-1 2 0,1-3 0,-1 1 0,1 0-1,0 0 1,-1 0 0,1 0 0,0 0-1,0 0 1,0 0 0,0 0 0,-1 0 0,1 0-1,1 0 1,-1 0 0,0 0-56,0 1 129,-15 31 1041,15-20-1066,0-10-71,1 2 1,-1-1 0,0 1 0,-1 0-1,1-2 1,-1 2 0,0-2 0,0 1-1,0 0 1,-1 4-34,-1-3 21,0 1 0,1 0 0,0 0-1,1 1 1,-1-2 0,1 1 0,0 0 0,0 1 0,1-1 0,-1 1-1,1-2-20,1-3 24,-1-1-1,0 0 0,0 1 0,0-1 0,0 1 0,0 0 0,0-1 0,0 0 0,-1 0 1,1 1-1,0-1 0,-1 0 0,1 1 0,-1-1 0,1 0 0,-1 0 0,0 0 0,1 0 1,-1 0-1,0 0 0,0 0 0,0 0 0,0 0 0,0 0 0,0 0 0,0 0 0,0 0-23,-2 1 340,3-2-254,1-17 206,0-3-225,-1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 0 0,0 0 0,0 0-1,1 0 1,-1 0 0,0-2 0,1 2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0-1,0 0 0,-1 2 1,1-2-1,0 0 1,0 1-154,9 20 2068,26 13-313,0-20-821,-29-12-704,0 0-1,0 0 0,0 0 0,-1 0 0,1 1 0,-1 0 1,1 1-1,0 0-229,11 7 889,-15-11-721,0 1 1,0 1-1,0-2 0,0 2 0,0-1 0,0 1 1,0-1-1,-1 2 0,1-2 0,0 1 0,-1 1 0,2 0-168,14 12 1363,-16-14-1285,0-1 0,0 2 0,0-1 0,0-1 0,1 1 0,-1 0 0,0 0 0,0 0-1,0 0 1,-1 0 0,1 0 0,0-1 0,0 2 0,0-1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1-158,-3-2 155,0 2 0,0 0 0,0-1 1,0 2-1,-1-2 0,1 1 0,0 1 0,1 0-155,14 10 380,-16-11-303,1 1 1,-1-1-1,0 0 1,1 1-1,-1 0 1,0 0 0,0-1-1,-1 3 1,3 0-78,-2-2 34,0 0 1,0-1 0,0 0-1,0 0 1,1 0-1,-1 0 1,1-1 0,0 1-1,-1-1 1,4 1-35,26 13 453,-4-4 313,-27-11-698,0 2 1,0-2 0,0 0-1,0 0 1,0 1-1,0-1 1,0 1-1,0 0 1,0 0 0,0 1-1,-1-1 1,1 0-1,0 0 1,-1 1 0,1-1-1,-1 1 1,1-1-69,0 2 124,1 1 1,0-3 0,1 1-1,-1 1 1,0-1 0,0 0-1,1 0 1,0 0 0,0 0-125,21 13 472,-14-5-294,1-3 0,-1 1 0,1-2 0,1 2-1,0-1-177,28 15 333,125 76-333,-140-78 0,0 0 0,19 21 0,-21-20 0,1 0 0,23 15 0,-23-17 0,24 9 0,-2-6 0,-35-16 0,1-1 0,0-1 0,0 2 0,0-1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0,-40-42 0,11 12 0,-13-4 0,-25-11 0,0-1 0,0 1 0,0 0 0,0 0 0,0 0 0,0 0 0,0 1 0,-1-1 0,1 0 0,0 0 0,-1 1 0,2 1 0,25 19 0,-22-17 0,-3-1 0,10-2 0,-12-3 0,-1 1 0,1 0 0,0 0 0,0 0 0,-1 0 0,1 0 0,0 0 0,0 0 0,-1 0 0,1 0 0,0 0 0,0 0 0,-1 0 0,1 0 0,0 1 0,-1-1 0,1 0 0,0 1 0,-1-1 0,1 0 0,0 1 0,-1-1 0,1 1 0,-1-1 0,1 1 0,-1-1 0,1 1 0,-1-1 0,1 1 0,-1 0 0,1-1 0,-1 1 0,0 0 0,1-1 0,-1 1 0,0-1 0,0 0 0,0 2 0,1 0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0 0,0 4 0,1-1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34 3259,1 2 1,-1-1-1,0 0 1,1 0-1,-1 0 1,1-1 0,-1 1-1,1-1 1,0 2-1,0-1 1,0 0-1,0-1 1,1 0 605,2-4-1538,-3-2 199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1,-1-2 0,0 3 0,1-2-1,-1 1 1,0-1 0,1 0 0,0 1-1,-1-1 1,1 0 0,0 1 0,0-1 0,-1 0-1,1 0-10,6 16 68,-7-17-66,0 1 0,0-1 0,0 1 0,0-1 1,0 1-1,0-1 0,0 1 0,0-1 0,0 1 0,0-1 0,1 1 0,-1-1 0,0 0 0,0 1 0,0-1 0,1 1 0,-1-1 0,0 0 1,1 1-1,-1-1 0,0 0 0,1 1 0,-1-1 0,0 0 0,1 0 0,-1 2 0,0-2 0,1 0 0,-1 0 0,1 1-2,0-1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0-1,0 1 1,-1 0-1,0-1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1137,-31-10-527,0 4 1,-1-2-1,1 1 1,7 3-636,27 16 1703,-42-19-1476,1 1 1,0 0-1,-1-1 0,1-1 1,1 0-1,-1 1 0,0-1 1,0-1-1,1 0 0,1 0-227,73 8 1696,-72-9-1540,0 2 0,-1-1-1,1 1 1,0 1-1,-1 0 1,1 1-1,4 2-155,31 10 405,61 12 280,-61-22-597,14 0-13,-36-3-75,4-1 0,0 3 0,0 0 0,3 4 0,-18-6 0,1 1 0,-1-1 0,1-1 0,0-1 0,0 0 0,0 0 0,0-1 0,7-2 0,-14 3 0,-1-1 0,1 1 0,-1 0 0,0 0 0,0 1 0,0-1 0,1 3 0,-2-1 0,6 1 0,16 7 0,10 2 0,-24-8 0,0-1 0,0 0 0,0-1 0,0 1 0,1-1 0,-1-2 0,3 1 0,5-2 0,1 1 0,-1 1 0,0 1 0,18 5 0,11 8 0,1-3 0,8 0 0,-41-11 0,-13-2 0,0 0 0,0 1 0,0-1 0,-1 1 0,1 0 0,0 0 0,-1 1 0,1-1 0,-1 1 0,3 1 0,5 1 0,-1 0 0,1-1 0,0 0 0,0-1 0,0-1 0,0 0 0,11 0 0,-9-1 0,0 1 0,0 2 0,0-1 0,0 1 0,0 0 0,9 5 0,-10-4 0,91 15 0,-78-14 0,-19-1 0,1 2 0,0-2 0,0-1 0,0 0 0,0 1 0,4 0 0,58 5 0,-28-3 0,-23-6 0,64-5 0,-87 9 0,-1 1 0,0 1 0,-1 0 0,1-2 0,-1 0 0,0 0 0,-1 0 0,1 0 0,-1-1 0,1-1 0,-1 1 0,-8 1 0,1-1 0,-1 4 0,1 1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1 0,0-2 0,-1 0-1,1 0 1,-1 1 0,0-1 0,1 2-1,-1-2 1,1 0 0,-1 2 0,1-2 0,-1 1-1,0-1 1,1 0 0,-1 0 0,0 1-1,0-1 1,1 0 0,-1 0 0,0 0-232,-7 5 9159,9-4-9035,-1 0 0,1 1 0,0-1-1,-1 0 1,1 0 0,0 0 0,0 1 0,0-2 0,0 1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 0-1,0 0 1,0 0 0,0 0-1,0 0 1,0 0 0,0-2-1,0 2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1-428,1 1 852,0 3 1,1-1 0,-1-1 0,1 2-1,-1-2 1,1 1 0,1-1 0,1 5-853,-1-4 430,0 1 0,0 1 1,0-1-1,-1 2 0,0-3 0,0 2 0,-1-1 1,0 2-1,1 3-430,-2 302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1,1-1-1,-1 4 0,1-1 1,0 0-1,0 1 0,0 0 1,0 1-1,-1 0 0,1 2 0,-1-1 1,7 2 25,-15-3-8,0 0 0,1 0 0,-1 1 0,0-1 1,0 0-1,0 2 0,0-1 0,0-1 0,0 1 0,0 0 1,-1 0-1,1 0 0,0 0 0,-1 1 0,0-1 1,1 0-1,-1 1 0,0-1 0,0 1 0,-1-1 0,1 2 1,0-2-1,-1 1 0,1-1 0,-1 1 0,0-1 0,0 2 1,0-1-1,0-1 0,-1 1 0,1-2 0,-1 5 8,-1 9 21,0 0-1,-2 0 0,1 0 0,-2 0 0,0 0-20,1-5 74,-1-1 1,1 1-1,-2 0 0,1-2 0,-2 1 0,1-1 0,-1 1 0,1-1 0,-2-1 0,1 0 0,-1-1 0,0 1 0,-7 2-74,-14 11 423,-2-3 0,-1-1 0,-10 2-423,0 1 243,36-17-553,-1 0 0,0 0 0,0-1 0,0 0 1,1 0-1,-1 1 0,0-2 0,-5 0 310,8 0-709,15-5-21855,-6 4 20459,1 1 3539,1 0-2736</inkml:trace>
  <inkml:trace contextRef="#ctx0" brushRef="#br0" timeOffset="1">747 17 220,'0'-1'297,"0"1"0,-1 0 0,1-1 1,0 1-1,0-1 0,0 1 0,0 0 0,0-1 0,0 1 1,-1-1-1,1 1 0,0-2 0,0 2 0,0 0 0,0 0 1,1 0-1,-1-2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18-151,0 5-186,-4-1-310,4-30 398,0-1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40 637,57-52-1045,-1-3 1,-20 16 407,3-2-2062,28-24-1587,24-23-3946,37-35-1288,-33 29 7638</inkml:trace>
  <inkml:trace contextRef="#ctx0" brushRef="#br0" timeOffset="3">810 638 124,'23'-9'4754,"-17"7"-4496,0 1 0,-1-1 0,1-1 0,-1 1 0,1-2 0,-1 2 0,0-1 0,1-1 0,-1 1 0,-1-1 0,1 0-258,10-7 489,171-99 2674,-178 105-3105,-6 3-16,0 1-1,0-1 1,0 0 0,0 0-1,0 2 1,0-2 0,0 0-1,0 1 1,1 0 0,-1 1-1,0-1 1,1 0 0,-1 1-1,1-1 1,-1 1 0,2 0-1,-2 0 1,1 0 0,-1 0-1,0 0 1,1 0 0,-1 1-1,1-1 1,-1 1-1,1 0 1,-1 0-42,0 0 24,0 1-1,-1 0 1,1 0-1,-1 0 1,0-1 0,1 1-1,-1 0 1,0 0-1,0 0 1,0 0-1,0 0 1,0 1 0,-1-1-1,1 0 1,-1 0-1,1 0 1,-1 1-1,0 1-23,3 47 235,-4-41-190,0-3 25,-1 0 0,0-1-1,0 1 1,-1-1 0,0 2-1,0-3 1,0 2 0,-1-2 0,0 0-1,0 2 1,-3 1-70,-146 150 1470,16-29 58,104-96-1179,-38 39 580,62-64-775,6-12-47,7-19-110,1 15-10,0-1-1,-1 1 1,2-1-1,-1 2 1,1-1-1,0 1 0,1 0 1,1-1 13,23-26-82,-28 31 81,-1 0 0,1 0-1,0 1 1,0-1-1,0 2 1,1-1 0,-1 0-1,0 0 1,1 0 0,-1 1-1,1 0 1,-1 0-1,1 0 1,1 1 0,-2-1-1,2 1 2,70-1-99,-19 2-29,-23-3 118,0 2-1,0 1 1,0 2 0,-1 1-1,16 4 11,43 7-725,-65-12-193,26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0,1-2 0,-1 2 0,-1-1 0,1-1 0,0 1 0,0 0 0,-1 0 0,1 0 0,-1 0 0,1-1 0,-2 4 0,0 2 746,2-28 3838,1 4-4610,10-68 2,-9 67-182,-1 1 0,-1 0-1,-1-1 1,0 1 0,-5-21 0,-7-45 17,-3-133 1,10 115-45,-3-167 32,9-15-13,-7 205-15,2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1 1,0-2-1,-1 1 0,1 1 0,-1-2 1,0 0 5,-1-2 32,-1 0 0,1 0 0,-1 0 0,-3-3 0,5 6-34,0 0 0,0-1-1,0 2 1,1-1 0,-1 0-1,0-3 1,0 4 0,1-1-1,-1 0 1,0-1 0,1 1-1,0 0 1,-1-1 0,1 1-1,0 0 1,-1-1 0,1 1-1,0 0 1,0-1 0,0 0-1,0 0 1,1 1 0,-1-2-1,0-4 4,0-4-1,1 8-6,-1-1 0,-1 0 0,1 0 0,0-2 0,-1 2 0,0 0 0,0 0 0,-1 0 1,-1-6-1,-8-19 11,9 24 7,1 6-9,1 0-11,0-1 0,0 0 0,0 0 1,0 0-1,0 0 0,0 0 0,0 1 0,0-1 0,0 0 0,0 0 1,0 0-1,0 0 0,0 1 0,0-1 0,0 0 0,0 0 1,0 0-1,-1 0 0,1 0 0,0 0 0,0 1 0,0-1 0,0 0 1,0 0-1,0 0 0,-2 0 0,2 0 0,0 0 0,0 0 1,0 0-1,0 0 0,-1 1 0,-7 8-1,-2 1-5,0 0-1,1 2 1,-16 17 0,12-10-7,12-18 8,0 0 1,0 0-1,0 0 0,0 0 0,0 0 1,0 0-1,1 0 0,-1 1 0,0-2 1,1 3-1,-1-2 0,1 0 0,-1 0 1,1 1-1,0-1 0,-1 0 0,1 1 1,0-1-1,0 0 0,0 1 0,0-1 1,0 0-1,1 2 0,-1 0 0,34-35-117,-23 15 122,13-20 1,-21 30 2,0 0 0,0 1 1,0-2-1,-1 1 0,0 1 1,2-10-1,0-2 19,11-48 432,-15 66-448,0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48-9,-71-73-95,-16-12-462,0-2-1,0 3 0,0 0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2-1,1-2 1,0 1-1,0 0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3-1,10-25 0,-14 38-62,1-1 0,0 1 0,0 0-1,0 1 1,0 0 0,3-5 0,-3 4-103,0 1 0,1 0 0,-2 0 0,1-1 0,0 3 0,-1-5 0,2 0 0,12-24-2711,-14 27 2633,0-1 0,-1 1 0,1-1 0,-1 1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 0 2,-5-44-6,-1 72 8,4 13-14,0-18 6,-4-105-6,3 124 8,2 20 5,-2-64-6,-2-61-7,-4 46 0,-5 32 5,6-63-3,2 114 4,9-88-8,1-1-5,-9-47 6,0 0 0,-5 47 0,0 11 13,3-37-10,4 93 9,0-91-9,12 126-27,-4-71 8,-7-68 14,-3-34-1,-1 0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0 0,1 1 0,0 0 0,-1-1 0,1 0-1,-1 1 1,1-1 0,-1 0 0,-1 2 0,2-3-18,-1-5-129,-1-1 141,1 3 6,0-1 0,-1 1 0,1 0 1,-1 0-1,0-1 0,0 1 0,0-1 0,-4-3 1,0 0-1,-25-38-5,28 40 8,0 0-1,1-2 1,-1 3 0,1-2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86-39,-18-72-30,1-4 0,1 1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2-1,6-32 1,-10 32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1-1,1-2 1,-2 5 0,-3 7 179,-2-2-141,4-4-2,-1 2 0,1-2 0,1 1 1,-5 12-1,0 2 182,5-17-132,1 0 1,0 2 0,0-3-1,0 2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41,5-7-4,-5 3-3,0 0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3 0,8 5 19,16 22-1,-7 0 38,-4-7-17,-3-10-20,-5-6-10,0 0 1,-1-1 0,0 3 0,0-2 0,-1 1-1,6 14 1,-11-22-12,1 0 0,-1-1 0,0 1 0,0 0 0,0 0 0,0 1 0,0-1 0,0 0 0,0 0 0,0-1 0,0 1 0,0 0 0,0 0 0,0 0 0,-1 0 0,1 0 0,0-1 0,0 1 0,-1 1 0,1-2 0,-1 1 0,1-1 0,-1 1 0,1 0 0,-1-1 0,0 1 0,1 0 0,-2 0 0,2-1-1,-1 1 1,1-1 0,-1 1-1,0-1 1,1 1 0,-1 0 0,1-1-1,0 1 1,-1 1 0,1-2-1,-1 1 1,1 0 0,0-1-1,0 1 1,-1 0 0,1 0-1,0-1 1,0 2 0,0-2 0,0 1-1,0-1 1,0 1 0,0 0-1,0 0 1,0 0 0,0-1-1,1 2 1,1 2-128,-1 0-1,2 0 1,-1 1-1,0-1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4-232,0 2-1,0-1 1,0 0 0,0 0-1,0 1 1,0-1 0,0 0-1,0 0 1,0 0-1,0 0 1,0 0 0,0 0-1,0 1 1,0-2-1,0 1 1,0 0 0,0 0-1,0 1 1,0-1-1,0 0 1,0 0 0,0 2 1,0 0 1,0 1 0,0-1 0,0 0 0,0 2 0,0-2 0,0 1 0,0-1 0,0 1 0,0 1-1,0 13 113,0-7-138,0 0-7,0 0-1,0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0,0-1-1,0 2 1,0-5 0,0 8-249,0 0 0,0 0 1,0 1-1,0-1 0,0 0 0,0 0 1,0 0-1,0 1 0,1-1 1,-1-1-1,0 0 0,0 2 0,0-5 571,0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5-844,-1-2 1,1 0 0,-1 0-1,1 1 1,0 0 0,-1-1-1,1 1 1,0-1 0,0 1-1,-1 0 1,1 0 0,0-1-1,0 1 1,0 0 0,0 0 0,-1 0 17,0 6 1,0-2 0,1 1 0,-1-1 0,1 2 1,0-3-1,1 9 0,0 0 16,0-4 11,0 2 1,1-2-1,0 1 0,1-1 0,4 13 0,23 42 230,-9-22-142,109 215 171,-116-230-306,0 2 1,13 31-1,-12-15-6,-1-7 6,26 54 0,11 13 19,-26-55-5,5 13 56,11 27 123,-11-34-32,40 103 1,-53-115-151,40 77 0,-49-107-33,83 156 39,-2-2-4,-22-41-13,-22-25-6,-11-21-1,-18-48-14,61 121 18,5 10 0,-63-125-17,-3-6 4,33 44 0,-19-31 1,134 252 54,-140-254-50,1-1 0,50 64-1,-60-87-10,42 65 12,-39-56 2,0 1-1,-2 3 0,13 33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1 0,0-2 0,1 4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2 0,0-2 0,0 0 0,0 0 0,0 0-1,0 0 1,0 0 0,0 0 0,0 0 0,1 2 0,-1-2 0,0 0 0,0 0-1,0 0 1,1 0 0,8 11-11,-5-8 7,3 4-6,0-2 1,0 2-1,1-2 0,14 7 0,48 24-8,-60-31 18,0 0 0,13 10 0,8 6 2,-15-14 5,25 10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1,1-1-1,-1 2 1,2 8-1,2 8 254,0 2 1,14 45-1,-9-55-226,-8-17-318,0 1 1,0-1 0,0 0-1,0 0 1,0 1-1,0-1 1,0 0 0,1 1-1,-1-1 1,0 0-1,0 0 1,0 2-1,1-2 1,-1 0 0,0 0-1,0 0 1,1 2-1,-1-2 1,0 0 0,0 0-1,1 0 1,-1 0-1,0 0 1,1 0-1,-1 0 1,0 0 0,0 0-1,1 0 1,-1 0-1,0 0 1,1 0 0,-1 0-1,0 0 1,1 0-1,-1 0 1,0 0-1,1 0 1,-1 0 0,0 0-1,0 0 1,1 0-1,-1 0 1,0 0 0,1 0-1,-1 0 1,0-2-1,0 2 1,1 0-1,-1 0 1,0-2 0,0 2-1,0 0 1,1 0-1,-1-1 1,1-1 67,0 0 0,0 0 0,0-1 0,0 1 0,-1 0 0,1-1 0,-1 1 0,1-1 0,-1 0 0,0 1 0,0-5 0,-4-30 559,3 29-514,-30-149 1981,29 146-1963,-1-2 150,0-1 0,2 1 0,-1-2 1,2-16-1,0 29-282,0 0 1,0 0-1,0 1 1,0-1-1,1 1 1,-1 0-1,0-1 1,1 1-1,-1 0 1,1-1-1,0 1 1,-1 0-1,1-1 1,0 1-1,0 0 1,0 0-1,0-1 1,0 0-1,0 2 1,0-1 0,0 0-1,0 0 1,1 0-1,-1 0 1,0 1-1,1-1 1,-1 0-1,0 1 1,1-1-1,-1 1 1,1 0-1,-1-1 1,0 1-1,1 0 1,-1 0-1,1 0 1,-1 0-1,1 0 1,-1 0-1,1 1 1,2 0-1,0 1 31,1 0 0,-1 0 0,0-1 1,0 4-1,0-2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0,-1-2 0,0 3 1,0-2-1,0 1 0,0-1 0,0 0 0,-7 1 0,10-2-401,-1 0 1,1 0 0,-1 0-1,0 0 1,1 0-1,-1 0 1,1 0-1,-1 0 1,1-1-1,-1 1 1,1 0-1,-1 0 1,1-1 0,-1 1-1,1 0 1,-1-1-1,1 1 1,-1 0-1,1-1 1,0 1-1,-1-1 1,1 1-1,0-1 1,-1 1 0,1 0-1,0-1 1,0 1-1,-1-1 1,1-1-1,0 2 1,0 0-1,0 0 1,0-1-1,-1 1 1,1-1 0,0 1-1,0-1 1,0 0-1,0 1 1,1 0-1,-1 0 1,0-2-1,0 2 1,0-1-1,0 1 1,0-1 0,1 1-1,-1-2 1,18-29 206,-17 29-303,12-17 131,21-25 0,5 2 118,-7 9-72,47-50 289,7 4-169,-8 5-163,2-8-46,130-146 21,-104 109-82,-71 83-21,46-37-1,-44 43-4,49-41 6,0-21 8,29-24 5,48-21-5,-33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 0 0,0 0 0,-1 0 0,1 0 0,0 0 0,-1 0 0,1-2 0,0 2 0,-1 0 0,1 0 0,0 0-1,-1 0 1,1 0 0,0 0 0,-1 0 0,0 0 0,-2 0 0,0 0 0,0 2 0,-1-2 0,1 0 0,-5 2 0,-12 6 12,-37 17 0,10-4-4,-6 3-38,50-21 5,4-1-10,7-2 1,-3-1 24,0-1 1,0 0-1,0 0 0,0-1 0,5-4 1,-1 2-1,13-9 1,0-2 0,31-30-1,-33 28 22,0 0-1,37-23 0,-22 18 124,-27 20 50,-10 13 263,1-9-398,-14 51 55,11-37-92,2-10-22,1 0 0,0 0 0,0 2-1,1-2 1,-1 1 0,1-1 0,0 2 0,1-2 0,-1 1 0,1-1 0,0 2 0,0-2-1,3 7 1,-2-6-479,0-3-1,1 3 0,-1-2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 0-1,0 0 1,0-2 0,0 2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1-1,-1-2 0,1 1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1,0-2-1,0 2 0,0 0 0,0 0 0,0 0 0,1 0 1,-1 0-1,0 0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0,-1-2 0,0 2 0,0 0 0,0-1 0,0 1 0,0-1 0,-1 0 0,0 0-253,1 1 0,0-1-1,0 1 1,-1-1 0,1 1 0,0-1 0,-1 1 0,1 0-1,0 0 1,-1 0 0,1-1 0,-1 1 0,1 1 0,0-1-1,-1 0 1,1 0 0,0 0 0,-1 1 0,1-1-1,0 1 1,-1-1 0,1 1 0,0-1 0,0 1 0,-1 0-1,1 0 1,0-1 0,0 1 0,0-1 0,0 2-1,0-2 1,0 2 0,1 0 0,-1 0 0,-1 1 0,-3 6-28,0 1 1,1 1 0,0-1 0,1 1 0,0 0-1,-2 16 1,2-7-4,2 0 0,1-1 0,2 34 0,0-17 0,0 3-6,1 2 0,8 39 0,-10-77 2,-1 0 1,1-1-1,0 1 1,0-1 0,0 2-1,0-2 1,0 1 0,0-1-1,1 0 1,-1 0-1,3 3 1,-2-4 1,-1 0 0,0 0 0,0 0-1,1-1 1,-1 2 0,1-2 0,-1 0 0,1 2 0,-1-2-1,1 1 1,-1-1 0,1 0 0,-1 0 0,1 0-1,-1 0 1,1 0 0,0 0 0,-1 0 0,2-1 0,7-1 12,-1 0 0,0 0-1,0 0 1,0-1 0,-1 0 0,1 0 0,-1-1 0,1-1 0,-1 0 0,0 0 0,-1-1 0,0 1 0,1-3 0,-2 3 0,1-2 0,-1 0 0,0-1 0,0 2 0,-1-3 0,8-14 0,-8 14 76,-1-1 0,1-1 0,-2-1 0,0 2 0,-1-1 0,0 0 0,-1 0 0,0-1 0,0 2 0,-1-2 0,-1 1 0,1 0 1,-2 0-1,0 0 0,0-1 0,-1 2 0,0-1 0,-2 1 0,1 0 0,0-1 0,-1 1 0,0 0 0,-1 1 0,-8-11 0,9 14-31,0 1 1,1 0-1,-2 1 0,1-2 1,-1 2-1,1 0 0,-1 0 0,0 1 1,-10-7-1,11 8-31,1 2 1,-1-2-1,0 1 1,0 0-1,0 0 1,0 1-1,0-1 1,0 1-1,0 0 1,0 0-1,1 1 1,-1 0-1,0 0 1,-5 1-1,3-1-29,0 3 0,1-1-1,-1 0 1,1 1 0,-1-1-1,-6 6 1,13-9-7,-1 1 0,1-1 0,0 0 0,0 0 0,0 1 0,-1-1 1,1 0-1,0 1 0,0-1 0,0 0 0,0 1 0,0-1 0,0 0 0,-1 2 0,1-2 0,0 0 0,0 1 0,0-1 1,0 0-1,0 1 0,0-1 0,0 0 0,1 0 0,-1 0 0,0 0 0,0 2 0,0-2 0,0 0 0,0 1 1,1-1-1,7 10-923,-7-8 507,9 8-917,9 1 577</inkml:trace>
  <inkml:trace contextRef="#ctx0" brushRef="#br0" timeOffset="1">251 966 3137,'-28'-105'2268,"25"93"-911,1 0 0,0 0 0,-1-17-1,0 3 2362,6 49-3110,-1 1-1,-2 46 1,0-32-487,-4 310 55,4-343-182,0 19-33,0-24 4,1 1-1,-1 0 0,0 0 1,0 0-1,0 0 0,0-1 1,1 1-1,-1 0 0,0 0 1,1 1-1,-1-2 1,1 0-1,-1 1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57 170,13-30-416,-18 41 2,31-59-242,0 0 0,1 1-1,-5 23 1,8-36-78,1 1 0,0 2 0,-1-3-1,1 1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0-56,21-1-168,43-5-112,-31-10-176,3-2-64,-5 1 8,-4 0-112,-7 8-416,-3-1-392,-8 7 440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1,0-1-1,0 5 196,-2 7-78,1 0 1,-1-1-1,-3 19 1,5-29-176,-10 42 437,9-39-462,-1 4 61,1 1 1,-1-1-1,-1 18 1,2-23-126,1 0 0,0-1 1,0 1-1,0 0 1,-1 0-1,1 0 0,0 0 1,0 0-1,0 0 0,1 0 1,-1 0-1,0 0 1,0 0-1,0-1 0,1 1 1,-1 1-1,1 1 1,-1-4-17,0-1 0,0 1-1,0 0 1,0 0 0,0-1 0,1 1 0,-1 0 0,0-1 0,0 1 0,0-1 0,1 2 0,-1-2 0,0 0 0,1 1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 0 1,0 0 0,0 0-1,0 0 1,0 0 0,0 0-1,0 0 1,0 0 0,0 0-1,0 0 1,0 0 0,0 0-1,0 0 1,0 0 0,0 0-1,0 0 1,0 0 0,-1 0-1,1 0 1,0 0 0,0 0-1,0 0 1,0 0 0,0 0-1,0 0 1,0 0 0,0 0-1,0 0 1,0 0 0,0 0-1,0 0 1,0 0 0,0 0-1,0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0-1,-3 40 0,3-39-16,-1-2-1,0 0 0,-1 0 1,1-1-1,-1-1 0,-8 35 1,12-60-25,0 0 1,0-1 0,-1 1-1,1-1 1,0 1-1,0 0 1,0-1 0,0 1-1,0-1 1,-1 0-1,1 1 1,0-1 0,0 1-1,-1-1 1,1 0-1,0 0 1,0 1 0,0-1-1,-1 0 1,1-3-44,-1-3 25,1-1 0,-1 0 0,1-15 0,-1-10 3,1 30 19,0-9-4,0 9 5,0 2 0,0 0 0,0-1 0,0 1 0,0-2 0,0 2 0,0 0-1,0 0 1,0 0 0,0 0 0,1-1 0,-1 1 0,0 0 0,0-1 0,0 1-1,0 0 1,0 0 0,0-1 0,0 1 0,0 0 0,0 0 0,0 0 0,1-1-1,-1 1 1,0 0 0,0 0 0,0 0 53,0 0 43,2 2 184,5 6-128,12 6 0,-17-11-148,0-3-1,1 0 1,0 0 0,-1 0 0,0-4 0,4 0-1,2-1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1-1,0-2 1,0 2-1,1-2 1,0-4 114,-1 0 1,1 0-1,0-8 1,-1 9-9,3-22 59,-1 3 0,1 0 0,8-43 0,-11 65-217,0 0 1,1 1-1,0-1 0,-1 1 1,0-1-1,1 2 0,0-3 1,2-5 77,0 19 74,8 65-126,-11-67-27,1 0 1,0 0 0,-1-1-1,0 2 1,0-2-1,0 2 1,0 14 0,-2 1 20,-4 31 1,-17 98 82,10-75-71,10-60-26,-6 24-1,1-3-7,7-36-9,1 0-1,-1-1 1,0 2-1,0-2 0,0-1 1,-1 6-1,2-9-1,0 0-1,-1 0 0,1 1 1,0-1-1,0 0 1,0 0-1,-1 0 1,1 0-1,0 1 1,0-1-1,0 0 1,0 1-1,0-3 1,0-2-3,0 1 0,1-2 0,-1 2 1,1 0-1,-1-1 0,2-5 0,-1-3-1,4-18-7,0-9 7,-5 36 10,1 0 0,-1 0 0,0 1 0,0 0 0,0-1 1,0-1-1,0 3 0,0-2 0,-1-4 0,-1-3 36,1 10-10,2 7-1,1 2-15,-2-4-4,1 0 0,-1-1 0,1 1 0,1 4 0,-1-5-3,-1-1 6,1-1-1,-1 1 1,1 0 0,-1 0-1,1 0 1,-1 0 0,1-1 0,0 0-1,-1 1 1,1-2 0,0 2 0,-1-1-1,1 0 1,0 0 0,-1 0 0,1 0-1,2 0 1,7 2 35,1-1 0,16-2 0,-16-1-104,0 1 0,13 5-1,-20-3-310,1 1 0,5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4 2912,3-9-176,4 3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1 0,0-3 0,0 1 1,10 0-1,-11 0-1,1-1 0,-2 1 0,2 0 0,-1 0 0,0 0 0,8 4-1,6 1 2,6 2 0,-15-4 0,17 4 0,-20-7-1,3 1-12,-8-2-9,-5-3-16,2 3 33,1 0-1,0 0 1,-1 0-1,1 0 0,0 0 1,-1 0-1,1 0 1,0 0-1,-1 0 0,1 1 1,0-1-1,-3 1 1,2 0-3,-54 15-8,52-15 13,0-1 0,0 0 0,0 1 0,0-1 0,-1-1 0,1 1 0,0-1 0,1 0 0,-1 0-1,0 0 1,0 0 0,0 0 0,0-1 0,-5-3 0,3 1 1,0 3-1,0-2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0 0,3 2 0,12 5-1,-2-1 0,1 0-1,0 0 1,0-1-1,27 2 1,-38-6-2,0-1 1,0 0 0,0 0 0,0-1-1,8-1 1,-13 1 1,1 1 0,0-1 0,0 1 0,0-1 0,-1 0 1,1 0-1,0 0 0,-1 0 0,1 0 0,-1 0 0,0 0 0,1-1 0,-1 1 0,0 0 1,1-2-1,-1 2 0,0-1 0,0 1 0,0-1 0,0 0 0,0-2 0,0 3 0,-1 0 1,0 0-1,1 0 0,-1 0 0,0 0 0,0-1 0,0 2 0,0-1 1,0 0-1,0-1 0,0 0 0,0 1 0,0 0 0,0 0 0,-1 0 0,0-2 1,-25-50-26,6 19-27,19 26-103,-5-4-209,0 2 1,-1-1-1,0 2 0,-10-12 1,10 14-27,-3-6-908,-2 2-1,-22-18 1,-4 1 164</inkml:trace>
  <inkml:trace contextRef="#ctx0" brushRef="#br0" timeOffset="1">180 157 3273,'-1'1'179,"1"-1"0,-1 0 0,1 0 0,-1 0 0,1 0 0,0 2 0,-1-2 0,1 1 0,-1-1 0,1 1 0,0-1 0,-1 1 0,1-1 0,0 1 0,0 0 0,-1-1 0,1 1 0,0-1 0,0 1 0,0 0 0,0-1 0,0 1 0,0-1 0,0 1 0,0 1 0,0-2 0,0 1 0,0-1 0,0 1 0,1 0 0,0 2 332,0 1 0,1-1 0,0 0 0,2 4 0,4 7 71,-3-2-43,-2-2-238,1-1-1,0 0 1,1 1 0,0-2 0,0 1-1,0 1 1,1-4 0,9 11 0,-10-11-142,8 8 157,-12-12-285,0-2-1,-1 1 0,1-1 1,0 1-1,-1-1 1,1 1-1,0-1 1,-1 1-1,1-1 1,0 1-1,0-1 0,0 0 1,-1 0-1,3 1 1,-7-19 172,3 13-172,0-3 15,-1 1 0,0 0-1,-1 1 1,1-2-1,-1 0 1,0 3-1,-1-3 1,-5-5 0,-5-8 364,-20-19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0-1,-1 2 1,4-1-1,7-8-383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12-1,-63-41-19,46 49 0,-66-66-34,32 35 22,2-2 0,1-2-1,57 42 1,-54-45 9,55 54 1,62 61 402,-97-83-291,18 18-59,14 4-37,-22-30-13,-31-25-7,214 155 97,-240-177-123,-1 2-1,21 22 1,18 14 0,-44-42-4,68 59 12,-28-27-9,-37-29-3,1 0 1,23 24-1,5 7 2,-9-10 1,-31-29-2,1 0-1,0 0 1,0 1-1,3 1 1,-5-4-2,0 0 0,1 0 0,-1 0 0,0 1 0,0-1-1,-1 0 1,1 1 0,0-1 0,0 1 0,-1 0 0,1 0 0,-1 1 0,1-1 0,-1 0 0,0 1 0,0-2 0,1 4 0,-2-5-1,0 1-1,0-1 1,0 0 0,0 1 0,0-1-1,0 1 1,0-1 0,0 0 0,-1 1 0,1-1-1,0 1 1,0-1 0,0 0 0,-1 1-1,1-1 1,0 0 0,0 1 0,-1-1-1,1 0 1,0 1 0,-1-1 0,1 0 0,0 0-1,-1 0 1,1 1 0,0-1 0,-1 0-1,1 0 1,-1 0 0,1 0 0,0 1-1,-1-1 1,1 0 0,-1 0 0,1 0 0,-1 0-1,-22 5-23,16-5 12,-1 0 9,1 1-1,-1-1 1,0 0 0,0 0-1,0-1 1,1 1 0,-1-4 0,-8 0-1,-3-2 5,1-1-1,-18-12 1,22 13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 0 0,1-1 0,-1 1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3 3409,3 10-3764,1-1 0,1-1-1,0 1 1,0-2-1,1 1 1,0 0 0,0-1-1,1-1 1,10 11-1,-2-3 43,-11-14-79,-1 1 0,0 0 0,0-1 0,0 1 0,0 0 1,-1 2-1,1-3 0,-1 2 0,3 6 0,-15-41 159,8 24-184,-2-4 27,-1 2-1,0-1 1,0 0-1,0 1 1,-13-16-1,8 13 283,-1 2 0,-1 1 0,1-1-1,-26-14 1,36 23-247,-1 0 0,0 0 0,1 0 0,-1-1 0,1 1 0,-1 0 0,1 0 0,0-1 0,0 1 0,-3-4 0,4 5-60,0 0-1,0 0 1,0 0 0,0-1-1,0 1 1,0 0 0,0 0-1,0 0 1,0-1 0,0 1 0,0 0-1,0 0 1,0 0 0,0-1-1,0 1 1,0 0 0,0 0 0,0 0-1,0-1 1,0 1 0,0 0-1,0 0 1,0 0 0,0 0-1,0-1 1,0 1 0,0 0 0,0 0-1,1 0 1,-1 0 0,0-1-1,8-4 222,12 2-55,-19 3-169,12-2 109,20-5-1,1-1-14,-31 8-96,113-18 205,-94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0 0,0 2 0,0-1 0,-3-1 0,3-2 1627,5 4 4000,6 2-4698,-4 0-1184,0 0 1,0 1-1,5 5 0,74 56 721,-55-43-464,10 7 53,59 53 1,-67-54-121,1 1 0,53 32 0,-12-11-55,37 25 53,-79-56-52,46 36 0,22 29 114,-78-65-192,-7-8 0,2 1 0,31 16 0,-26-16-15,8 5 11,-14-10-2,22 15 0,92 71 142,-124-89-169,14 9 31,0 1 0,19 17 1,1 8 43,7 6 76,90 67 0,108 73-5,-168-130-98,9 7-6,-8-1-9,-9-10-9,66 41 74,-92-61-76,-30-21-18,0 0-1,0-2 1,15 7 0,-6-5 15,-1 0 0,26 17 0,-23-12-11,30 12-1,-34-15-7,0-2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2 1,0-3-1,0 1 1,1 0 0,-1 0-1,0 0 1,2 1-1,-1 0 1,5 2-1,0 2 0,0-3 0,0 1-1,0-1 1,1 0 0,14 4 0,-7-3-1,-6 0 0,-2-1 0,2-1 0,0 0 0,0 0-1,0-1 1,0-1 0,9 0 0,1 0-12,-16 0 10,0 0 0,-1 0 0,1-1 1,0 1-1,0 0 0,-1-1 0,1 0 0,0 1 1,-1-1-1,1 0 0,0 0 0,-1-1 1,3 0-1,-4 0 2,0 0 0,0 1-1,0 0 1,-1 0 0,1 0 0,0 0-1,-1 0 1,1 0 0,-1-1 0,1 1 0,-1 0-1,1 0 1,-1-1 0,0 1 0,0 0 0,0 0-1,0-1 1,0 2 0,0-2 0,0 1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0-1,0-1 1,0 2-1,0-1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131 356 4921,'-2'-85'2366,"2"83"-2252,0 0 1,0 1-1,0-1 1,0 0-1,0 1 1,0-1 0,0-1-1,0 2 1,0-1-1,0 1 1,0-1-1,0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56,-5 103-23,6-140-83,-3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0,-4 21 0,2-16-52,4-11-39,-1-1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111 350 4921,'0'-83'2366,"0"81"-2252,0-1 1,0 2-1,0-1 1,0 0-1,0 1 1,0-1 0,0 0-1,0 1 1,0-1-1,0 1 1,0-1-1,0 1 1,0-3-1,0 2 101,0 0 100,1-1 0,-1 0-1,0 0 1,0 1 0,0-1 0,0 0 0,1-3 0,-1 4-232,0 2-1,0-1 1,0 0 0,0 0-1,0 1 1,0-1 0,0 0-1,0 0 1,0 0-1,-1 0 1,1 0 0,0 0-1,0 1 1,0-2-1,0 1 1,0 0 0,0 0-1,0 1 1,0-1-1,0 0 1,0 0 0,0 2 1,0 0 1,0 1 0,0-1 0,0 0 0,0 2 0,0-2 0,0 1 0,0-1 0,0 1 0,0 1-1,0 13 113,1-7-138,-1 0-7,0 0-1,0 1 1,0-1-1,0 15 1,0 45 56,-2 101-23,1-138-83,0 6 12,1-36-44,0 1 1,0 0-1,0-1 0,0 1 0,0 0 1,0-1-1,0 1 0,0 0 1,0-1-1,1 6 0,-1-7-38,0-1 1,0 1-1,0 0 0,0-1 0,0 1 1,0 0-1,0-1 0,0 1 1,0-1-1,0 1 0,0-1 0,1 1 1,-1-2-1089,0-7-63,0-15 369</inkml:trace>
  <inkml:trace contextRef="#ctx0" brushRef="#br0" timeOffset="1">115 131 2088,'-1'-78'1411,"1"73"-1016,0 0 0,0-1-1,0 2 1,0-5 0,0 8-249,0 0 0,0 0 1,0 1-1,0-1 0,0 0 0,1 0 1,-1 0-1,0 1 0,0-1 1,0-1-1,0 0 0,0 2 0,1-5 571,-1 4-575,0 1 0,0-1-1,0 1 1,0 0 0,0-1 0,0 1-1,0 0 1,0 0 0,0-1 0,0 1 0,0 0-1,0-1 1,0 1 0,0 0 0,0 0-1,0-1 1,0 1 0,0 0 0,1 0 0,-1 0-1,0 0 1,0 0 0,0-1 0,0 1-1,0 12 2678,-1 2-3285,-2 70 1037,2-69-454,0 2 0,-1 20 0,0-14-52,2-13-39,-1-1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43 70 6953,'0'-1'218,"0"-1"309,0 0 0,0 0 0,0 1-1,0-1 1,0 1 0,0-1 0,0-1 0,0 2-462,0 1-1,0 0 1,0 0 0,0 0 0,0 0-1,0 0 1,0 0 0,0 0 0,0-1-1,0 1 1,0 0 0,0 0 0,0 0-1,0 0 1,0 0 0,0 0 0,0 0-1,0 0 1,0 0 0,0 0 0,0 0-1,0 1 1,0-1 0,0 0 0,0 0-1,0 0 1,0 0 0,-1 1 21,1-1 1,0 1-1,0 0 1,0 0-1,0-1 1,0 1-1,0 0 0,0 0 1,0 0-1,-1 1 1,1 5 72,0-1 1,-1 1-1,1 0 0,0-1 1,0 0-1,0 8 1,0 47 237,0-33-255,0-12-72,0 99 435,0-96-408,0 1 0,-1-1 0,-1 34 0,1-40-93,1-5-35,-1 2 1,1-1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0-1,1-1 1,-1 2-207,0 0-1,0 1 1,-1-1-1,1 0 1,0 1 0,0-1-1,0 1 1,0-1-1,0 0 1,0 1-1,0-1 1,0 1 0,0-1-1,0 1 1,0-1-1,0 1 1,0-1 0,0 0-1,0 1 1,0-1-1,0 1 1,0-1 0,0 1-1,0-1 1,0 0-1,0 1 1,0-1 0,1 0-1,-1 1 1,0-1-1,0 2 1,0-2 0,0 0-1,0 0 1,0 0-1,0 0 1,0 0 0,0 1-1,0-1 1,0 0-1,0 0 1,0 0 0,0 0-1,0 1 1,0-1-1,0 0 1,0 0 0,0 0-1,0 0 1,0 0-1,0 0 1,0 0-1,0 0 1,0 0 0,0 0-1,0 0 1,0 0-1,0 0 1,0-1 0,0 1-1,0 0 1,0 0-1,0-1 1,0 17 216,-2-1 0,0 1 0,0 0 0,-1 28 0,-2 7 17,-13 144-539,17-189 3,1-5 60,0-1 0,0 1 1,0 0-1,0 0 0,0 0 1,0 0-1,0 0 1,0-1-1,0 2 0,0-1 1,0 0-1,0 0 1,0 0-1,0 0 0,0-1 1,0 2-1,0-1 0,0 0 1,0 0-1,0 0 1,0 0-1,0 1 0,0 0 1,2 7-1560</inkml:trace>
  <inkml:trace contextRef="#ctx0" brushRef="#br0" timeOffset="2">10 599 7506,'-8'82'3664,"7"-76"-1255,2 1-1249,2-7-96,1 1-271,0-9-41,2-3-176,1-5-120,2 3-176,-1 0-88,2-7-96,-2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 0-1,0 0 0,0 0 0,0-2 1,0 2-1,0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2-1,0-2 1,0 0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1 1,0-2 0,0 1 0,0 0 0,0 1 0,0-1 0,0 0 0,0-1-1,-1-4 1152,2 9 416,-1-2-1615,0 1 0,0-1 0,0 1 0,0-1 0,0 1 0,0 0 0,0-1 0,0 1 0,0-1 0,0 0 0,0 1 0,0 0 0,0 2 0,0 6 70,0-2 0,-1-1 0,1 1 0,-1 12 0,1-3-78,-1 7 6,1-16-124,-1 0 0,1 0-1,-1 11 1,0 13 34,-2 33-50,1 3-2044,1-54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1 0,0-4-1,-1 15 1,3-16-408,1-6-1074,3-9-1807,-1-3 1700</inkml:trace>
  <inkml:trace contextRef="#ctx0" brushRef="#br0" timeOffset="1">156 40 4609,'0'-3'479,"1"0"0,0 0 0,-1 0 0,3-1 0,-3 2 1,1-2-1,1-2 0,1-4 1689,-3 8-769,-2 4-725,-2 7 994,1-1-1449,-3 5 5,0-2 1,-8 17-1,7-22-135,1 7 1,1-3-1,0 0 0,-7 21 0,-1-1 63,9-21-107,-1 1-1,1 0 1,-4 18-1,4-8-96,4-20 14,0 0 0,0 1 0,0-1 0,0 0 0,-1 1 0,1-1 0,0 1 0,0-1 0,0 1 0,0 0 0,0-1 0,0 0 0,0 0 0,0 2 0,0-2 0,0 1 0,0-1 0,0 1 0,0-1 0,0 1 0,0-1 0,0 1 0,1-1 0,-1 3 0,0-3 0,0 0 0,0 0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5-865,4-9-200,5-7-16,7-8-120,3-11-23,18-2-121,0-1-96,7-4-144,-5 4-56,-4 1-304,-21 2-264,-6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4,4-32-3,-1 103 43,-1-63-28,1-36-22,0-43-11,-1 38 6,-2 201 19,3-253-26,10 124 14,-9-119-13,0-5 0,-1 31-1,-1-23 3,3 44 0,0-32-2,4 21-1,-3-35 0,0 25 0,-2 0-3,2 2 0,18 90 0,-18-118-3,-1-1 0,0 3 1,-2 31-1,0-48 4,1 0 0,-1-2 0,0 1 0,1 0 0,0-1 0,1 6 0,0-4-3,-1 0 0,1 1 1,-1 7-1,2 0-6,1 8-8,-5-3 3,0-9 15,1-5 1,2 3-1,-2-6 1,0-1-1,1 2 1,-1-2-1,0 0 1,0 0 0,0 2-1,0-2 1,1 1 0,-1 0-1,0-1 1,0 1 0,0-1-1,0 1 1,0-1 0,0 0-1,0 0 1,0 2 0,-1-1-1,1-1 1,0 1-1,0-1 1,0 1 0,-1-1-1,1 1 1,0-1 0,0 1-1,-1-1 1,1 1 0,0-1-1,-1 0 1,1 1 0,-1-1-1,1 1 1,-1-1 0,1 0-1,-1 1 1,1-1 0,-1 0-1,1 0 1,-1 0-1,0 1 1,0-1-7,1 0-1,-1 0 1,1 0-1,-1 3 1,1-3-1,-1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 0 0,0-2 1,1 1-1,12 22 0,-12-28-9,-1 1 0,1 0 0,1-1 0,7 6 0,-11-10 9,0-1 0,0 0-1,0 0 1,1 0 0,-1 0-1,1 0 1,-1-1 0,1 0 0,0 0-1,-1 0 1,1 0 0,5 0 0,-5-1-1,-1 0 1,1 0 0,-1 0 0,1-1-1,-1 1 1,1-1 0,-1 0 0,0 0 0,0 0-1,1 0 1,2-3 0,0 0-3,-1 1 1,1-1 0,-1 0 0,8-9-1,-11 11 1,-1 0-1,1 0 1,-1-2 0,1 3-1,-1-2 1,0 1-1,0-1 1,0 0 0,0 1-1,0 0 1,-1-2-1,1-2 1,0-5-237,0-19 1,-1 19 60,0-23-500,-2-90-3075,-1 68 2857</inkml:trace>
  <inkml:trace contextRef="#ctx0" brushRef="#br0" timeOffset="1">123 167 3921,'-7'-80'2351,"5"61"-502,2 19-974,-2-2-238,2 2-488,-1 0 0,1-1 0,0 1 0,-1 0 0,1 0 0,-1-1 0,1 1 0,-1 0 0,1 0 0,0-1 0,-1 1 0,1 0 0,-1 0 0,1 0 0,-1 0 0,1 0 0,-1 0 0,1 0 0,-1 0 0,1 0 0,-1 0 0,1 0 0,-1 0 0,1 0 0,-1 0 0,1 1 0,-1-1 0,1 0 0,-1 0 0,1 0 0,-1 1 0,-14 17 643,4-4-507,-1-2-121,7-6-69,-1-1 0,1 1 0,1 1 1,-1 0-1,1 0 0,0 0 0,-3 9 1,-12 35 1082,19-51-1171,0 0-1,0 0 0,0 0 1,0 0-1,0 1 0,0-1 0,0 0 1,1 0-1,-1 0 0,0 0 1,0 2-1,0-2 0,0 0 1,0 0-1,0 0 0,0 0 0,1 0 1,-1 0-1,0 0 0,0 0 1,0 0-1,0 0 0,0 0 0,1 0 1,-1 0-1,0 0 0,0 0 1,0 0-1,0 0 0,1 0 1,-1 0-1,0 0 0,0 0 0,0 0 1,1 0-1,-1 0 0,0 0 1,0 0-1,0 0 0,0 0 0,1 0 1,-1 0-1,0 0 0,0 0 1,0 0-1,0 0 0,1 0 0,-1 0 1,0 0-1,12-5-23,-4-4 45,0 2 0,-1-2 0,0-1 0,0 2 1,8-14-1,-5 6 59,-7 10 18,0 0-1,1-1 1,-2 0 0,1 1-1,-1-1 1,0 1 0,1-10 0,1 1 193,-4 15-251,0-2-1,0 1 1,0 0-1,1 0 1,-1 0 0,0 0-1,1 0 1,-1 0-1,1 0 1,-1 0 0,1 0-1,-1 1 1,1-3-1,0 3 1,-1-1 0,1 0-1,0 0 1,0 1-1,-1-1 1,1 1 0,0-1-1,0 0 1,1 0-1,-1 2 8,0-1 0,0 0 0,0 0 0,0 0 0,0 1 0,0-1 0,0 0 0,0 1 0,0-1 0,0 1 0,0-1 0,0 1 0,-1 0 0,1-1 0,0 1 0,0 2 0,-1-3 0,1 0 0,0 1 0,-1 0 0,1 0 0,-1 0 0,1 1 0,3 4-4,-1-3 0,1 2-1,0 0 1,0-1 0,0 0 0,1 0 0,5 4-1,5 1-23,18 7-1,-2 1 19,-21-11-41,-1 0 0,0 0 0,-1 2 0,0-1 0,0 0 0,0 0 0,-1 2 0,0 1 0,10 15 0,-14-20-212,0 0-1,0-1 1,6 6 0,-8-8 305,1 0 1,-1 0-1,1-1 1,0 0-1,-1 0 1,1 1-1,0-2 1,0 1-1,-1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24 36,-71-136-22,11-7 28,-63-101-6,35 68 205,16 25 80,-90-154-349,72 100 60,-52-74-58,-1 0 1,30 55-1,-49-77-4,0-1-1,0 2 1,0 0-1,-1-2 1,1 11 0,6 21 6,0-16-7,1-2-1,20 36 0,-2-6-1,-1-5 5,2 0 0,53 62 1,-13-16-2,-18-29 6,7 8 2,-48-55-19,19 23-28,-29-38 31,1-1 0,-1 1-1,0 0 1,1-1 0,-1 1 0,1 0-1,-1-1 1,0 1 0,0 1-1,1-2 1,-1 1 0,0 0 0,0-1-1,0 1 1,0 0 0,0 0 0,0-1-1,0 0 1,0 2 0,0-2-1,0 2 1,-16 3-246,10-3 232,-1 0-1,0-1 1,-1 1 0,1-2 0,0 1 0,0-1-1,0 0 1,0 0 0,-9-2 0,10 0 8,-1 0 1,1 0-1,0 0 1,0-1-1,0-1 1,0 2-1,0-3 0,1 2 1,-1-1-1,-5-6 1,-7-5-4,-8-1 5,-4-4-44,51 47-208,51 55 224,-60-68 24,0-2-1,26 20 1,-31-28 0,-1 0 1,1 0-1,0 0 1,0-1-1,0 1 1,0-2-1,0 1 1,15 2-1,-20-5 7,1 0 0,-1 0 0,0 0 0,1 0 0,-1 0 0,0 0 0,1-1 0,-1 1 0,0-1 0,1 1 0,-1-1 0,0 0 0,0 0 0,0 0 0,1 0 0,-1 0 0,-1-1 0,4-2 0,-3 1 0,1 0 0,-1 0 0,0 0 0,1 0 1,-1 0-1,-1-2 0,1 2 0,-1 0 0,1-2 0,1-3 0,-1-6-30,1 0-1,-2 1 1,0-2-1,0 2 1,-2-19 0,0 24-293,0 0 0,0 0 0,-1-1 1,0 1-1,-1-1 0,0 2 1,-6-15-1,-1 4-2040,-22-29-1,4 7 720</inkml:trace>
  <inkml:trace contextRef="#ctx0" brushRef="#br0" timeOffset="1005.59">90 1 3689,'-62'69'2019,"60"-67"-1805,0 1 0,0 0 0,0 0 0,0 0 1,0 0-1,1 1 0,-2 4 0,2-6-66,1 0 0,0 0-1,-1 1 1,1 0 0,0-1 0,1 4-1,-1 2 152,-5 93 2454,0 19-1657,6-91-923,5 32 0,-3-50-180,-3-11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1,-97-55-118,0-3 0,0 2 0,1-2 0,-1 0 1,1 1-1,0-2 0,1-1 0,17 3 0,-25-4-223,1-1-1,-1 1 1,1 0 0,-1 0-1,1 0 1,-1 0 0,5 2-1,11 10-492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92"/>
  <sheetViews>
    <sheetView tabSelected="1" topLeftCell="A169" zoomScale="85" zoomScaleNormal="85" workbookViewId="0">
      <selection activeCell="J166" sqref="J166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31.42578125" style="2" customWidth="1"/>
    <col min="6" max="6" width="34.85546875" style="2" customWidth="1"/>
    <col min="7" max="7" width="31.285156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 t="s">
        <v>351</v>
      </c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267</v>
      </c>
      <c r="K6" s="3"/>
    </row>
    <row r="7" spans="1:65" x14ac:dyDescent="0.25">
      <c r="B7" s="90" t="s">
        <v>6</v>
      </c>
      <c r="C7" s="6">
        <v>1.278</v>
      </c>
      <c r="D7" s="6">
        <v>1.8919999999999999</v>
      </c>
      <c r="E7" s="6">
        <v>1.333</v>
      </c>
      <c r="F7" s="10">
        <v>1.8939999999999999</v>
      </c>
      <c r="G7" s="96">
        <v>8.43</v>
      </c>
      <c r="H7" s="6">
        <v>1.3055000000000001</v>
      </c>
      <c r="I7" s="93">
        <v>1.893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268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272</v>
      </c>
      <c r="C18" s="86" t="s">
        <v>279</v>
      </c>
      <c r="D18" s="89" t="s">
        <v>18</v>
      </c>
      <c r="F18" s="109" t="s">
        <v>46</v>
      </c>
      <c r="G18" s="101">
        <v>2.5</v>
      </c>
      <c r="H18" s="342" t="s">
        <v>337</v>
      </c>
    </row>
    <row r="19" spans="1:65" ht="15.75" thickBot="1" x14ac:dyDescent="0.3">
      <c r="B19" s="99">
        <v>0.60499999999999998</v>
      </c>
      <c r="C19" s="6">
        <v>0.05</v>
      </c>
      <c r="D19" s="76">
        <v>8.6</v>
      </c>
      <c r="F19" s="113" t="s">
        <v>20</v>
      </c>
      <c r="G19" s="76">
        <v>20.776</v>
      </c>
    </row>
    <row r="20" spans="1:65" ht="15.75" thickBot="1" x14ac:dyDescent="0.3">
      <c r="B20" s="111" t="s">
        <v>273</v>
      </c>
      <c r="C20" s="72" t="s">
        <v>280</v>
      </c>
      <c r="D20" s="112" t="s">
        <v>19</v>
      </c>
      <c r="F20" s="110" t="s">
        <v>21</v>
      </c>
      <c r="G20" s="79">
        <v>-21.4</v>
      </c>
    </row>
    <row r="21" spans="1:65" ht="15.75" thickBot="1" x14ac:dyDescent="0.3">
      <c r="B21" s="100">
        <v>0.56499999999999995</v>
      </c>
      <c r="C21" s="77">
        <v>0.38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214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6" t="s">
        <v>263</v>
      </c>
      <c r="H32" s="247" t="s">
        <v>45</v>
      </c>
      <c r="I32" s="248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203</v>
      </c>
      <c r="I33" s="76" t="s">
        <v>204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207</v>
      </c>
      <c r="I34" s="79" t="s">
        <v>208</v>
      </c>
    </row>
    <row r="35" spans="1:18" ht="15.75" thickTop="1" x14ac:dyDescent="0.25">
      <c r="A35" s="3"/>
      <c r="H35" s="7" t="s">
        <v>48</v>
      </c>
      <c r="I35" s="7" t="s">
        <v>264</v>
      </c>
    </row>
    <row r="36" spans="1:18" ht="15.75" thickBot="1" x14ac:dyDescent="0.3">
      <c r="H36" s="3"/>
    </row>
    <row r="37" spans="1:18" ht="16.5" thickTop="1" thickBot="1" x14ac:dyDescent="0.3">
      <c r="B37" s="118" t="s">
        <v>78</v>
      </c>
      <c r="C37" s="86" t="s">
        <v>48</v>
      </c>
      <c r="D37" s="86" t="s">
        <v>47</v>
      </c>
      <c r="E37" s="89" t="s">
        <v>223</v>
      </c>
      <c r="H37" s="3"/>
    </row>
    <row r="38" spans="1:18" x14ac:dyDescent="0.25">
      <c r="B38" s="114" t="s">
        <v>224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222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225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226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261</v>
      </c>
      <c r="F42" s="3"/>
    </row>
    <row r="43" spans="1:18" ht="15.75" thickBot="1" x14ac:dyDescent="0.3">
      <c r="B43" s="12" t="s">
        <v>244</v>
      </c>
      <c r="C43" s="265"/>
      <c r="D43" s="265"/>
      <c r="E43" s="265"/>
      <c r="F43" s="277" t="s">
        <v>262</v>
      </c>
      <c r="G43" s="267"/>
      <c r="H43" s="6"/>
      <c r="K43" s="18"/>
      <c r="L43" s="18"/>
      <c r="M43" s="7" t="s">
        <v>45</v>
      </c>
      <c r="N43" s="18" t="s">
        <v>44</v>
      </c>
      <c r="O43" s="6"/>
      <c r="P43" s="6" t="s">
        <v>249</v>
      </c>
      <c r="Q43" s="6" t="s">
        <v>250</v>
      </c>
      <c r="R43" s="7" t="s">
        <v>251</v>
      </c>
    </row>
    <row r="44" spans="1:18" ht="16.5" thickTop="1" thickBot="1" x14ac:dyDescent="0.3">
      <c r="B44" s="85" t="s">
        <v>29</v>
      </c>
      <c r="C44" s="264" t="s">
        <v>38</v>
      </c>
      <c r="D44" s="153" t="s">
        <v>237</v>
      </c>
      <c r="E44" s="153" t="s">
        <v>238</v>
      </c>
      <c r="F44" s="164" t="s">
        <v>49</v>
      </c>
      <c r="G44" s="268" t="s">
        <v>50</v>
      </c>
      <c r="I44" s="7"/>
      <c r="K44" s="18"/>
      <c r="L44" s="7" t="s">
        <v>256</v>
      </c>
      <c r="M44" s="7"/>
      <c r="N44" s="18"/>
      <c r="O44" s="7" t="s">
        <v>258</v>
      </c>
      <c r="P44" s="6"/>
      <c r="Q44" s="6"/>
      <c r="R44" s="7"/>
    </row>
    <row r="45" spans="1:18" ht="15.75" thickBot="1" x14ac:dyDescent="0.3">
      <c r="B45" s="273" t="s">
        <v>239</v>
      </c>
      <c r="C45" s="260">
        <v>2</v>
      </c>
      <c r="D45" s="261">
        <v>2.0000000000000001E-10</v>
      </c>
      <c r="E45" s="260">
        <v>55</v>
      </c>
      <c r="F45" s="276">
        <v>120</v>
      </c>
      <c r="G45" s="263">
        <f>F45*(C38*COS(2*(E45-C39)*PI()/180)^2+C40)/(E38*(COS(2*(E45-E39)*PI()/180)^2) +E40)</f>
        <v>72.107533430297053</v>
      </c>
      <c r="I45" s="7"/>
      <c r="K45" s="18"/>
      <c r="L45" s="7" t="s">
        <v>257</v>
      </c>
      <c r="M45" s="7"/>
      <c r="N45" s="18"/>
      <c r="O45" s="7" t="s">
        <v>259</v>
      </c>
      <c r="P45" s="6"/>
      <c r="Q45" s="6"/>
      <c r="R45" s="7"/>
    </row>
    <row r="46" spans="1:18" ht="16.5" thickTop="1" thickBot="1" x14ac:dyDescent="0.3">
      <c r="B46" s="3"/>
      <c r="C46" s="3" t="s">
        <v>245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59" t="s">
        <v>100</v>
      </c>
      <c r="C47" s="254" t="s">
        <v>195</v>
      </c>
      <c r="D47" s="254" t="s">
        <v>196</v>
      </c>
      <c r="E47" s="254" t="s">
        <v>197</v>
      </c>
      <c r="F47" s="254" t="s">
        <v>198</v>
      </c>
      <c r="G47" s="254" t="s">
        <v>199</v>
      </c>
      <c r="H47" s="254" t="s">
        <v>200</v>
      </c>
      <c r="I47" s="255" t="s">
        <v>265</v>
      </c>
      <c r="J47" s="256" t="s">
        <v>266</v>
      </c>
      <c r="K47" s="18"/>
      <c r="L47" s="7" t="s">
        <v>254</v>
      </c>
      <c r="M47" s="18"/>
      <c r="N47" s="18"/>
      <c r="O47" s="18" t="s">
        <v>253</v>
      </c>
      <c r="P47" s="6"/>
      <c r="Q47" s="6"/>
      <c r="R47" s="7"/>
    </row>
    <row r="48" spans="1:18" ht="15.75" thickBot="1" x14ac:dyDescent="0.3">
      <c r="A48" s="3"/>
      <c r="B48" s="269" t="s">
        <v>99</v>
      </c>
      <c r="C48" s="270">
        <v>7.1257000000000001</v>
      </c>
      <c r="D48" s="270">
        <v>7.2892999999999999</v>
      </c>
      <c r="E48" s="270">
        <v>5.9291</v>
      </c>
      <c r="F48" s="270">
        <v>6.1681999999999997</v>
      </c>
      <c r="G48" s="270">
        <v>7.2074999999999996</v>
      </c>
      <c r="H48" s="270">
        <v>6.0486500000000003</v>
      </c>
      <c r="I48" s="271">
        <f>ABS(4.166/(C48-D48))</f>
        <v>25.464547677261656</v>
      </c>
      <c r="J48" s="272">
        <f>ABS(4.166/(F48-E48))</f>
        <v>17.423672103722318</v>
      </c>
      <c r="K48" s="18"/>
      <c r="L48" s="7" t="s">
        <v>255</v>
      </c>
      <c r="M48" s="18"/>
      <c r="N48" s="18"/>
      <c r="O48" s="18" t="s">
        <v>252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247</v>
      </c>
      <c r="M49" s="18"/>
      <c r="N49" s="18"/>
      <c r="O49" s="18" t="s">
        <v>248</v>
      </c>
      <c r="P49" s="6"/>
      <c r="Q49" s="6"/>
      <c r="R49" s="7"/>
    </row>
    <row r="50" spans="2:18" ht="16.5" thickTop="1" thickBot="1" x14ac:dyDescent="0.3">
      <c r="B50" s="253" t="s">
        <v>209</v>
      </c>
      <c r="C50" s="254" t="s">
        <v>210</v>
      </c>
      <c r="D50" s="254" t="s">
        <v>211</v>
      </c>
      <c r="E50" s="255" t="s">
        <v>212</v>
      </c>
      <c r="F50" s="255" t="s">
        <v>213</v>
      </c>
      <c r="G50" s="255" t="s">
        <v>201</v>
      </c>
      <c r="H50" s="257" t="s">
        <v>202</v>
      </c>
      <c r="I50" s="255" t="s">
        <v>242</v>
      </c>
      <c r="J50" s="256" t="s">
        <v>243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70">
        <v>2.5000000000000001E-3</v>
      </c>
      <c r="F51" s="252">
        <v>0.01</v>
      </c>
      <c r="G51" s="345">
        <v>6</v>
      </c>
      <c r="H51" s="258">
        <v>1</v>
      </c>
      <c r="I51" s="169">
        <f>(F53-C51)*I48</f>
        <v>0.38196821515891671</v>
      </c>
      <c r="J51" s="170">
        <f>(G53-D51)*J48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F52" s="250" t="s">
        <v>233</v>
      </c>
      <c r="G52" s="344" t="s">
        <v>234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F53" s="249">
        <f>C51+E51*G51</f>
        <v>7.2549999999999999</v>
      </c>
      <c r="G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346" t="s">
        <v>339</v>
      </c>
      <c r="C54" s="255" t="s">
        <v>341</v>
      </c>
      <c r="D54" s="256" t="s">
        <v>340</v>
      </c>
      <c r="E54" s="6"/>
      <c r="F54" s="6"/>
      <c r="K54" s="18"/>
      <c r="M54" s="18"/>
      <c r="N54" s="18"/>
      <c r="O54" s="6"/>
      <c r="P54" s="6"/>
      <c r="Q54" s="6"/>
      <c r="R54" s="7"/>
    </row>
    <row r="55" spans="2:18" ht="15.75" thickBot="1" x14ac:dyDescent="0.3">
      <c r="B55" s="347" t="s">
        <v>239</v>
      </c>
      <c r="C55" s="169">
        <v>7.29</v>
      </c>
      <c r="D55" s="170">
        <v>6.12</v>
      </c>
      <c r="E55" s="6"/>
      <c r="F55" s="6"/>
      <c r="K55" s="18"/>
      <c r="M55" s="18"/>
      <c r="N55" s="18"/>
      <c r="O55" s="6"/>
      <c r="P55" s="6"/>
      <c r="Q55" s="6"/>
      <c r="R55" s="7"/>
    </row>
    <row r="56" spans="2:18" ht="15.75" thickTop="1" x14ac:dyDescent="0.25">
      <c r="E56" s="6"/>
      <c r="F56" s="6"/>
      <c r="K56" s="18"/>
      <c r="M56" s="18"/>
      <c r="N56" s="18"/>
      <c r="O56" s="6"/>
      <c r="P56" s="6"/>
      <c r="Q56" s="6"/>
      <c r="R56" s="7"/>
    </row>
    <row r="57" spans="2:18" ht="15.75" thickBot="1" x14ac:dyDescent="0.3">
      <c r="B57" s="12" t="s">
        <v>98</v>
      </c>
      <c r="C57" s="265"/>
      <c r="D57" s="265"/>
      <c r="E57" s="265"/>
      <c r="F57" s="266"/>
      <c r="G57" s="267"/>
      <c r="H57" s="6"/>
      <c r="K57" s="18"/>
      <c r="L57" s="7"/>
      <c r="M57" s="18"/>
      <c r="N57" s="18"/>
      <c r="O57" s="6"/>
      <c r="P57" s="6"/>
      <c r="Q57" s="6"/>
      <c r="R57" s="7"/>
    </row>
    <row r="58" spans="2:18" ht="16.5" thickTop="1" thickBot="1" x14ac:dyDescent="0.3">
      <c r="B58" s="85" t="s">
        <v>29</v>
      </c>
      <c r="C58" s="264" t="s">
        <v>38</v>
      </c>
      <c r="D58" s="153" t="s">
        <v>237</v>
      </c>
      <c r="E58" s="153" t="s">
        <v>238</v>
      </c>
      <c r="F58" s="164" t="s">
        <v>49</v>
      </c>
      <c r="G58" s="268" t="s">
        <v>50</v>
      </c>
      <c r="I58" s="7"/>
      <c r="K58" s="18"/>
      <c r="L58" s="18"/>
      <c r="M58" s="18"/>
      <c r="N58" s="18"/>
      <c r="O58" s="6"/>
      <c r="P58" s="6"/>
      <c r="Q58" s="6"/>
    </row>
    <row r="59" spans="2:18" ht="15.75" thickBot="1" x14ac:dyDescent="0.3">
      <c r="B59" s="273" t="s">
        <v>239</v>
      </c>
      <c r="C59" s="260">
        <v>2</v>
      </c>
      <c r="D59" s="261">
        <v>2.0000000000000001E-10</v>
      </c>
      <c r="E59" s="260">
        <v>100</v>
      </c>
      <c r="F59" s="262">
        <v>60</v>
      </c>
      <c r="G59" s="263">
        <f>F59*(D38*COS(2*(E59-D39)*PI()/180)^2+D40)/(E38*(COS(2*(E59-E39)*PI()/180)^2) +E40)</f>
        <v>62.982401191385954</v>
      </c>
      <c r="I59" s="7"/>
      <c r="K59" s="18"/>
      <c r="L59" s="18"/>
      <c r="M59" s="18"/>
      <c r="N59" s="18"/>
      <c r="O59" s="6"/>
      <c r="P59" s="6"/>
      <c r="Q59" s="6"/>
    </row>
    <row r="60" spans="2:18" ht="16.5" thickTop="1" thickBot="1" x14ac:dyDescent="0.3">
      <c r="B60" s="3"/>
      <c r="C60" s="3" t="s">
        <v>245</v>
      </c>
      <c r="D60" s="6"/>
      <c r="E60" s="6"/>
      <c r="F60" s="3"/>
      <c r="G60" s="3"/>
      <c r="I60" s="3"/>
      <c r="J60" s="3"/>
      <c r="K60" s="18"/>
      <c r="L60" s="2" t="s">
        <v>271</v>
      </c>
      <c r="Q60" s="6"/>
    </row>
    <row r="61" spans="2:18" ht="16.5" thickTop="1" thickBot="1" x14ac:dyDescent="0.3">
      <c r="B61" s="259" t="s">
        <v>100</v>
      </c>
      <c r="C61" s="254" t="s">
        <v>195</v>
      </c>
      <c r="D61" s="254" t="s">
        <v>196</v>
      </c>
      <c r="E61" s="254" t="s">
        <v>197</v>
      </c>
      <c r="F61" s="254" t="s">
        <v>198</v>
      </c>
      <c r="G61" s="254" t="s">
        <v>199</v>
      </c>
      <c r="H61" s="254" t="s">
        <v>200</v>
      </c>
      <c r="I61" s="255" t="s">
        <v>240</v>
      </c>
      <c r="J61" s="256" t="s">
        <v>241</v>
      </c>
      <c r="K61" s="18"/>
      <c r="L61" s="7" t="s">
        <v>269</v>
      </c>
      <c r="M61" s="7" t="s">
        <v>270</v>
      </c>
      <c r="N61" s="7" t="s">
        <v>270</v>
      </c>
      <c r="Q61" s="6"/>
    </row>
    <row r="62" spans="2:18" ht="15.75" thickBot="1" x14ac:dyDescent="0.3">
      <c r="B62" s="269" t="s">
        <v>98</v>
      </c>
      <c r="C62" s="270">
        <v>7.0622699999999998</v>
      </c>
      <c r="D62" s="270">
        <v>7.43187</v>
      </c>
      <c r="E62" s="270">
        <v>5.8754</v>
      </c>
      <c r="F62" s="270">
        <v>6.2661199999999999</v>
      </c>
      <c r="G62" s="270">
        <f>AVERAGE(C62:D62)</f>
        <v>7.2470699999999999</v>
      </c>
      <c r="H62" s="270">
        <f>AVERAGE(E62:F62)</f>
        <v>6.0707599999999999</v>
      </c>
      <c r="I62" s="271">
        <f>ABS(4.166/(C62-D62))</f>
        <v>11.271645021645018</v>
      </c>
      <c r="J62" s="272">
        <f>ABS(4.166/(F62-E62))</f>
        <v>10.662366912366915</v>
      </c>
      <c r="K62" s="18"/>
      <c r="L62" s="7">
        <f>(F62-E62)/3 + E62</f>
        <v>6.0056399999999996</v>
      </c>
      <c r="M62" s="7">
        <v>7.3479999999999999</v>
      </c>
      <c r="N62" s="7">
        <v>6.9938000000000002</v>
      </c>
      <c r="O62" s="2">
        <f>AVERAGE(M62:N62)</f>
        <v>7.1708999999999996</v>
      </c>
      <c r="Q62" s="6"/>
    </row>
    <row r="63" spans="2:18" ht="16.5" thickTop="1" thickBot="1" x14ac:dyDescent="0.3">
      <c r="I63" s="3"/>
      <c r="J63" s="3"/>
      <c r="K63" s="18"/>
      <c r="L63" s="18"/>
      <c r="M63" s="18"/>
      <c r="N63" s="18"/>
      <c r="O63" s="6"/>
      <c r="P63" s="6"/>
      <c r="Q63" s="6"/>
    </row>
    <row r="64" spans="2:18" ht="16.5" thickTop="1" thickBot="1" x14ac:dyDescent="0.3">
      <c r="B64" s="253" t="s">
        <v>209</v>
      </c>
      <c r="C64" s="254" t="s">
        <v>210</v>
      </c>
      <c r="D64" s="254" t="s">
        <v>211</v>
      </c>
      <c r="E64" s="255" t="s">
        <v>212</v>
      </c>
      <c r="F64" s="255" t="s">
        <v>213</v>
      </c>
      <c r="G64" s="255" t="s">
        <v>201</v>
      </c>
      <c r="H64" s="257" t="s">
        <v>202</v>
      </c>
      <c r="I64" s="255" t="s">
        <v>242</v>
      </c>
      <c r="J64" s="256" t="s">
        <v>243</v>
      </c>
      <c r="K64" s="18"/>
      <c r="L64" s="18"/>
      <c r="M64" s="18"/>
      <c r="N64" s="18"/>
      <c r="O64" s="6"/>
      <c r="P64" s="6"/>
      <c r="Q64" s="6"/>
    </row>
    <row r="65" spans="1:65" ht="15.75" thickBot="1" x14ac:dyDescent="0.3">
      <c r="B65" s="168">
        <v>60</v>
      </c>
      <c r="C65" s="146">
        <v>7.24</v>
      </c>
      <c r="D65" s="146">
        <v>6.0056399999999996</v>
      </c>
      <c r="E65" s="270">
        <v>5.0000000000000001E-3</v>
      </c>
      <c r="F65" s="252">
        <v>0.02</v>
      </c>
      <c r="G65" s="345">
        <v>6</v>
      </c>
      <c r="H65" s="258">
        <v>1</v>
      </c>
      <c r="I65" s="169" t="s">
        <v>276</v>
      </c>
      <c r="J65" s="170">
        <f>(G67-D65)*J62</f>
        <v>0.21324733824733375</v>
      </c>
      <c r="K65" s="18" t="e">
        <f>(7*J65 + I65)/60</f>
        <v>#VALUE!</v>
      </c>
      <c r="L65" s="18"/>
      <c r="M65" s="18"/>
      <c r="N65" s="18"/>
      <c r="O65" s="6"/>
      <c r="P65" s="6"/>
      <c r="Q65" s="6"/>
    </row>
    <row r="66" spans="1:65" ht="16.5" thickTop="1" thickBot="1" x14ac:dyDescent="0.3">
      <c r="F66" s="250" t="s">
        <v>233</v>
      </c>
      <c r="G66" s="344" t="s">
        <v>234</v>
      </c>
      <c r="I66" s="7"/>
      <c r="J66" s="7"/>
      <c r="K66" s="18"/>
      <c r="L66" s="18"/>
      <c r="M66" s="18"/>
      <c r="N66" s="18"/>
      <c r="O66" s="6"/>
      <c r="P66" s="6"/>
      <c r="Q66" s="6"/>
    </row>
    <row r="67" spans="1:65" ht="15.75" thickBot="1" x14ac:dyDescent="0.3">
      <c r="F67" s="249">
        <f>C65+E65*G65</f>
        <v>7.2700000000000005</v>
      </c>
      <c r="G67" s="170">
        <f>D65+F65*H65</f>
        <v>6.0256399999999992</v>
      </c>
      <c r="K67" s="18"/>
      <c r="L67" s="18"/>
      <c r="M67" s="18"/>
      <c r="N67" s="18"/>
      <c r="O67" s="6"/>
      <c r="P67" s="6"/>
      <c r="Q67" s="6"/>
    </row>
    <row r="68" spans="1:65" ht="16.5" thickTop="1" thickBot="1" x14ac:dyDescent="0.3">
      <c r="B68" s="346" t="s">
        <v>339</v>
      </c>
      <c r="C68" s="255" t="s">
        <v>341</v>
      </c>
      <c r="D68" s="256" t="s">
        <v>340</v>
      </c>
      <c r="E68" s="6"/>
      <c r="F68" s="6"/>
      <c r="K68" s="18"/>
      <c r="L68" s="18"/>
      <c r="M68" s="18"/>
      <c r="N68" s="18"/>
      <c r="O68" s="6"/>
      <c r="P68" s="6"/>
      <c r="Q68" s="6"/>
    </row>
    <row r="69" spans="1:65" ht="15.75" thickBot="1" x14ac:dyDescent="0.3">
      <c r="B69" s="347" t="s">
        <v>239</v>
      </c>
      <c r="C69" s="169">
        <v>7.19</v>
      </c>
      <c r="D69" s="170">
        <v>6.1</v>
      </c>
      <c r="E69" s="6"/>
      <c r="F69" s="6"/>
      <c r="G69" s="348"/>
      <c r="K69" s="18"/>
      <c r="L69" s="18"/>
      <c r="M69" s="18"/>
      <c r="N69" s="18"/>
      <c r="O69" s="6"/>
      <c r="P69" s="6"/>
      <c r="Q69" s="6"/>
    </row>
    <row r="70" spans="1:65" ht="15.75" thickTop="1" x14ac:dyDescent="0.25">
      <c r="E70" s="6"/>
      <c r="F70" s="6"/>
      <c r="K70" s="18"/>
      <c r="L70" s="18"/>
      <c r="M70" s="18"/>
      <c r="N70" s="18"/>
      <c r="O70" s="6"/>
      <c r="P70" s="6"/>
      <c r="Q70" s="6"/>
    </row>
    <row r="71" spans="1:65" ht="15.75" thickBot="1" x14ac:dyDescent="0.3">
      <c r="E71" s="6"/>
      <c r="F71" s="6"/>
      <c r="K71" s="18"/>
      <c r="L71" s="18"/>
      <c r="M71" s="18"/>
      <c r="N71" s="18"/>
      <c r="O71" s="6"/>
      <c r="P71" s="6"/>
      <c r="Q71" s="6"/>
    </row>
    <row r="72" spans="1:65" s="1" customFormat="1" ht="16.5" thickBot="1" x14ac:dyDescent="0.3">
      <c r="A72" s="69"/>
      <c r="B72" s="71" t="s">
        <v>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</row>
    <row r="73" spans="1:65" s="3" customFormat="1" ht="16.5" thickBot="1" x14ac:dyDescent="0.3">
      <c r="B73" s="228"/>
      <c r="F73" s="230"/>
      <c r="G73" s="230"/>
    </row>
    <row r="74" spans="1:65" s="3" customFormat="1" ht="16.5" thickTop="1" thickBot="1" x14ac:dyDescent="0.3">
      <c r="B74" s="118" t="s">
        <v>227</v>
      </c>
      <c r="C74" s="231" t="s">
        <v>32</v>
      </c>
      <c r="D74" s="232" t="s">
        <v>229</v>
      </c>
      <c r="E74" s="233" t="s">
        <v>36</v>
      </c>
      <c r="F74" s="274" t="s">
        <v>246</v>
      </c>
      <c r="G74" s="234" t="s">
        <v>37</v>
      </c>
      <c r="H74" s="89" t="s">
        <v>342</v>
      </c>
    </row>
    <row r="75" spans="1:65" s="3" customFormat="1" x14ac:dyDescent="0.25">
      <c r="B75" s="113" t="s">
        <v>230</v>
      </c>
      <c r="C75" s="6"/>
      <c r="D75" s="6"/>
      <c r="E75" s="6"/>
      <c r="F75" s="6"/>
      <c r="G75" s="229"/>
      <c r="H75" s="76"/>
    </row>
    <row r="76" spans="1:65" s="3" customFormat="1" x14ac:dyDescent="0.25">
      <c r="B76" s="113" t="s">
        <v>228</v>
      </c>
      <c r="C76" s="6"/>
      <c r="D76" s="6"/>
      <c r="E76" s="6"/>
      <c r="F76" s="6"/>
      <c r="G76" s="6"/>
      <c r="H76" s="76"/>
    </row>
    <row r="77" spans="1:65" s="3" customFormat="1" ht="15.75" thickBot="1" x14ac:dyDescent="0.3">
      <c r="B77" s="110" t="s">
        <v>31</v>
      </c>
      <c r="C77" s="77" t="s">
        <v>350</v>
      </c>
      <c r="D77" s="77" t="s">
        <v>350</v>
      </c>
      <c r="E77" s="77">
        <v>147</v>
      </c>
      <c r="F77" s="77">
        <f>F76*E77</f>
        <v>0</v>
      </c>
      <c r="G77" s="77" t="s">
        <v>350</v>
      </c>
      <c r="H77" s="79" t="s">
        <v>350</v>
      </c>
    </row>
    <row r="78" spans="1:65" s="3" customFormat="1" ht="16.5" thickTop="1" x14ac:dyDescent="0.25">
      <c r="B78" s="288"/>
      <c r="C78" s="287"/>
      <c r="D78" s="287"/>
      <c r="E78" s="287"/>
      <c r="F78" s="6"/>
      <c r="G78" s="6"/>
      <c r="H78" s="6"/>
    </row>
    <row r="79" spans="1:65" s="3" customFormat="1" ht="16.5" thickBot="1" x14ac:dyDescent="0.3">
      <c r="B79" s="289"/>
      <c r="C79" s="6"/>
      <c r="D79" s="6"/>
      <c r="E79" s="6"/>
      <c r="F79" s="6"/>
      <c r="G79" s="6"/>
      <c r="H79" s="6"/>
    </row>
    <row r="80" spans="1:65" s="3" customFormat="1" ht="17.25" thickTop="1" thickBot="1" x14ac:dyDescent="0.3">
      <c r="A80" s="174"/>
      <c r="B80" s="282" t="s">
        <v>281</v>
      </c>
      <c r="C80" s="284" t="s">
        <v>282</v>
      </c>
      <c r="D80" s="285" t="s">
        <v>283</v>
      </c>
      <c r="E80" s="286" t="s">
        <v>284</v>
      </c>
      <c r="F80" s="6"/>
      <c r="G80" s="6"/>
      <c r="H80" s="6"/>
    </row>
    <row r="81" spans="1:65" s="3" customFormat="1" ht="16.5" thickBot="1" x14ac:dyDescent="0.3">
      <c r="A81" s="174"/>
      <c r="B81" s="283"/>
      <c r="C81" s="154">
        <v>473.61224900000002</v>
      </c>
      <c r="D81" s="281">
        <v>473.61222800000002</v>
      </c>
      <c r="E81" s="280"/>
      <c r="F81" s="6"/>
      <c r="G81" s="6"/>
      <c r="H81" s="6"/>
    </row>
    <row r="82" spans="1:65" s="3" customFormat="1" ht="16.5" thickTop="1" x14ac:dyDescent="0.25">
      <c r="B82" s="228"/>
      <c r="C82" s="6"/>
      <c r="D82" s="6"/>
      <c r="E82" s="6"/>
      <c r="F82" s="6"/>
      <c r="G82" s="6"/>
      <c r="H82" s="6"/>
    </row>
    <row r="83" spans="1:65" ht="27" thickBot="1" x14ac:dyDescent="0.45">
      <c r="B83" s="227" t="s">
        <v>63</v>
      </c>
      <c r="E83" s="343"/>
    </row>
    <row r="84" spans="1:65" ht="16.5" thickTop="1" thickBot="1" x14ac:dyDescent="0.3">
      <c r="A84" s="7"/>
      <c r="B84" s="118" t="s">
        <v>30</v>
      </c>
      <c r="C84" s="86" t="s">
        <v>31</v>
      </c>
      <c r="D84" s="86" t="s">
        <v>347</v>
      </c>
      <c r="E84" s="86" t="s">
        <v>346</v>
      </c>
      <c r="F84" s="89" t="s">
        <v>349</v>
      </c>
      <c r="O84" s="5"/>
      <c r="U84" s="5"/>
      <c r="V84" s="5"/>
    </row>
    <row r="85" spans="1:65" x14ac:dyDescent="0.25">
      <c r="B85" s="235" t="s">
        <v>32</v>
      </c>
      <c r="C85" s="6">
        <v>53</v>
      </c>
      <c r="D85" s="6">
        <v>607.42598999999996</v>
      </c>
      <c r="E85" s="6">
        <v>607.42602999999997</v>
      </c>
      <c r="F85" s="76">
        <f>IFERROR(D85+0.0002, "-")</f>
        <v>607.42618999999991</v>
      </c>
    </row>
    <row r="86" spans="1:65" x14ac:dyDescent="0.25">
      <c r="B86" s="238" t="s">
        <v>33</v>
      </c>
      <c r="C86" s="6"/>
      <c r="D86" s="6" t="s">
        <v>17</v>
      </c>
      <c r="E86" s="6" t="s">
        <v>17</v>
      </c>
      <c r="F86" s="76" t="str">
        <f>IFERROR(D86+0.0002, "-")</f>
        <v>-</v>
      </c>
    </row>
    <row r="87" spans="1:65" x14ac:dyDescent="0.25">
      <c r="B87" s="236" t="s">
        <v>34</v>
      </c>
      <c r="C87" s="6">
        <v>450</v>
      </c>
      <c r="D87" s="6">
        <v>461.31209000000001</v>
      </c>
      <c r="E87" s="6">
        <v>461.31211000000002</v>
      </c>
      <c r="F87" s="76">
        <f>IFERROR(D87+0.0002, "-")</f>
        <v>461.31229000000002</v>
      </c>
    </row>
    <row r="88" spans="1:65" x14ac:dyDescent="0.25">
      <c r="B88" s="237" t="s">
        <v>35</v>
      </c>
      <c r="C88" s="6"/>
      <c r="D88" s="6" t="s">
        <v>17</v>
      </c>
      <c r="E88" s="6" t="s">
        <v>17</v>
      </c>
      <c r="F88" s="76" t="str">
        <f>IFERROR(D88+0.0002, "-")</f>
        <v>-</v>
      </c>
      <c r="G88" s="7"/>
      <c r="H88" s="7"/>
      <c r="I88" s="7"/>
    </row>
    <row r="89" spans="1:65" x14ac:dyDescent="0.25">
      <c r="B89" s="239" t="s">
        <v>36</v>
      </c>
      <c r="C89" s="6">
        <v>340</v>
      </c>
      <c r="D89" s="6">
        <v>541.43304999999998</v>
      </c>
      <c r="E89" s="6">
        <v>541.43304799999999</v>
      </c>
      <c r="F89" s="76">
        <f>IFERROR(D89, "-")</f>
        <v>541.43304999999998</v>
      </c>
      <c r="G89" s="7"/>
      <c r="H89" s="7"/>
      <c r="I89" s="7"/>
    </row>
    <row r="90" spans="1:65" x14ac:dyDescent="0.25">
      <c r="B90" s="239" t="s">
        <v>235</v>
      </c>
      <c r="C90" s="6"/>
      <c r="D90" s="6">
        <f>D89</f>
        <v>541.43304999999998</v>
      </c>
      <c r="E90" s="6">
        <f>E89</f>
        <v>541.43304799999999</v>
      </c>
      <c r="F90" s="76"/>
      <c r="G90" s="7"/>
      <c r="H90" s="7"/>
      <c r="I90" s="7"/>
    </row>
    <row r="91" spans="1:65" ht="15.75" thickBot="1" x14ac:dyDescent="0.3">
      <c r="B91" s="240" t="s">
        <v>37</v>
      </c>
      <c r="C91" s="77">
        <v>370</v>
      </c>
      <c r="D91" s="77" t="s">
        <v>17</v>
      </c>
      <c r="E91" s="77" t="s">
        <v>17</v>
      </c>
      <c r="F91" s="79" t="str">
        <f>IFERROR(D91+0.0002, "-")</f>
        <v>-</v>
      </c>
      <c r="G91" s="7"/>
      <c r="H91" s="7"/>
      <c r="I91" s="7"/>
    </row>
    <row r="92" spans="1:65" ht="15.75" thickTop="1" x14ac:dyDescent="0.25">
      <c r="C92" s="6"/>
      <c r="F92" s="105" t="s">
        <v>338</v>
      </c>
      <c r="G92" s="7"/>
      <c r="H92" s="7"/>
      <c r="I92" s="7"/>
    </row>
    <row r="93" spans="1:65" ht="15.75" thickBot="1" x14ac:dyDescent="0.3">
      <c r="A93" s="3"/>
      <c r="B93" s="2" t="s">
        <v>77</v>
      </c>
      <c r="C93" s="3"/>
      <c r="D93" s="3"/>
      <c r="F93" s="102"/>
      <c r="G93" s="7"/>
      <c r="H93" s="7"/>
      <c r="I93" s="7"/>
    </row>
    <row r="94" spans="1:65" ht="15.75" thickTop="1" x14ac:dyDescent="0.25">
      <c r="A94" s="106"/>
      <c r="B94" s="106"/>
      <c r="C94" s="106"/>
      <c r="D94" s="106"/>
      <c r="E94" s="107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</row>
    <row r="95" spans="1:65" ht="27" thickBot="1" x14ac:dyDescent="0.45">
      <c r="A95" s="3"/>
      <c r="B95" s="227" t="s">
        <v>60</v>
      </c>
      <c r="D95" s="158"/>
      <c r="F95" s="158"/>
      <c r="G95" s="3"/>
    </row>
    <row r="96" spans="1:65" ht="16.5" thickTop="1" thickBot="1" x14ac:dyDescent="0.3">
      <c r="A96" s="8"/>
      <c r="B96" s="118" t="s">
        <v>30</v>
      </c>
      <c r="C96" s="86" t="s">
        <v>31</v>
      </c>
      <c r="D96" s="153" t="s">
        <v>193</v>
      </c>
      <c r="E96" s="86" t="s">
        <v>343</v>
      </c>
      <c r="F96" s="86" t="s">
        <v>344</v>
      </c>
      <c r="G96" s="86" t="s">
        <v>345</v>
      </c>
      <c r="H96" s="86" t="s">
        <v>73</v>
      </c>
      <c r="I96" s="89" t="s">
        <v>72</v>
      </c>
    </row>
    <row r="97" spans="1:19" x14ac:dyDescent="0.25">
      <c r="A97" s="3"/>
      <c r="B97" s="235" t="s">
        <v>32</v>
      </c>
      <c r="C97" s="6">
        <v>51</v>
      </c>
      <c r="D97" s="7">
        <v>1.833</v>
      </c>
      <c r="E97" s="6">
        <f>E85 + 0.001*D97</f>
        <v>607.427863</v>
      </c>
      <c r="F97" s="6">
        <v>607.42790000000002</v>
      </c>
      <c r="G97" s="6">
        <v>607.42790000000002</v>
      </c>
      <c r="H97" s="6">
        <v>200</v>
      </c>
      <c r="I97" s="76">
        <f t="shared" ref="I97:I102" si="2">IFERROR(E97+0.000001*H97, "-")</f>
        <v>607.42806299999995</v>
      </c>
    </row>
    <row r="98" spans="1:19" x14ac:dyDescent="0.25">
      <c r="A98" s="3"/>
      <c r="B98" s="238" t="s">
        <v>33</v>
      </c>
      <c r="C98" s="6"/>
      <c r="D98" s="7"/>
      <c r="E98" s="6" t="s">
        <v>17</v>
      </c>
      <c r="F98" s="6" t="s">
        <v>17</v>
      </c>
      <c r="G98" s="6" t="s">
        <v>17</v>
      </c>
      <c r="H98" s="6" t="s">
        <v>17</v>
      </c>
      <c r="I98" s="76" t="str">
        <f t="shared" si="2"/>
        <v>-</v>
      </c>
    </row>
    <row r="99" spans="1:19" x14ac:dyDescent="0.25">
      <c r="A99" s="3"/>
      <c r="B99" s="236" t="s">
        <v>34</v>
      </c>
      <c r="C99" s="6">
        <v>370</v>
      </c>
      <c r="D99" s="7">
        <v>0.10675</v>
      </c>
      <c r="E99" s="6">
        <f>E87 +0.001*D99</f>
        <v>461.31221675</v>
      </c>
      <c r="F99" s="6">
        <v>461.31220999999999</v>
      </c>
      <c r="G99" s="6">
        <v>461.31220999999999</v>
      </c>
      <c r="H99" s="6">
        <v>-200</v>
      </c>
      <c r="I99" s="76">
        <f t="shared" si="2"/>
        <v>461.31201675</v>
      </c>
    </row>
    <row r="100" spans="1:19" x14ac:dyDescent="0.25">
      <c r="A100" s="3"/>
      <c r="B100" s="237" t="s">
        <v>35</v>
      </c>
      <c r="C100" s="6"/>
      <c r="D100" s="7"/>
      <c r="E100" s="6" t="s">
        <v>17</v>
      </c>
      <c r="F100" s="6" t="s">
        <v>17</v>
      </c>
      <c r="G100" s="6" t="s">
        <v>17</v>
      </c>
      <c r="H100" s="6" t="s">
        <v>17</v>
      </c>
      <c r="I100" s="76" t="str">
        <f t="shared" si="2"/>
        <v>-</v>
      </c>
      <c r="K100" s="3"/>
    </row>
    <row r="101" spans="1:19" x14ac:dyDescent="0.25">
      <c r="A101" s="3"/>
      <c r="B101" s="239" t="s">
        <v>36</v>
      </c>
      <c r="C101" s="6">
        <v>4</v>
      </c>
      <c r="D101" s="7">
        <v>0.27400000000000002</v>
      </c>
      <c r="E101" s="6">
        <f>E89 + 0.001*D101</f>
        <v>541.43332199999998</v>
      </c>
      <c r="F101" s="6">
        <v>541.43332099999998</v>
      </c>
      <c r="G101" s="6">
        <v>541.43321000000003</v>
      </c>
      <c r="H101" s="6" t="s">
        <v>17</v>
      </c>
      <c r="I101" s="76" t="str">
        <f t="shared" si="2"/>
        <v>-</v>
      </c>
    </row>
    <row r="102" spans="1:19" ht="15.75" thickBot="1" x14ac:dyDescent="0.3">
      <c r="A102" s="3"/>
      <c r="B102" s="240" t="s">
        <v>37</v>
      </c>
      <c r="C102" s="77"/>
      <c r="D102" s="7"/>
      <c r="E102" s="77" t="s">
        <v>17</v>
      </c>
      <c r="F102" s="77"/>
      <c r="G102" s="77"/>
      <c r="H102" s="77" t="s">
        <v>17</v>
      </c>
      <c r="I102" s="79" t="str">
        <f t="shared" si="2"/>
        <v>-</v>
      </c>
    </row>
    <row r="103" spans="1:19" ht="16.5" thickTop="1" thickBot="1" x14ac:dyDescent="0.3">
      <c r="A103" s="3"/>
      <c r="B103" s="11"/>
      <c r="C103" s="152"/>
      <c r="D103" s="152"/>
      <c r="E103" s="152"/>
      <c r="F103" s="6"/>
      <c r="G103" s="3"/>
    </row>
    <row r="104" spans="1:19" ht="16.5" thickTop="1" thickBot="1" x14ac:dyDescent="0.3">
      <c r="A104" s="4"/>
      <c r="B104" s="118" t="s">
        <v>30</v>
      </c>
      <c r="C104" s="156" t="s">
        <v>186</v>
      </c>
      <c r="D104" s="86" t="s">
        <v>42</v>
      </c>
      <c r="E104" s="153" t="s">
        <v>182</v>
      </c>
      <c r="F104" s="86" t="s">
        <v>75</v>
      </c>
      <c r="G104" s="86" t="s">
        <v>74</v>
      </c>
      <c r="H104" s="86" t="s">
        <v>71</v>
      </c>
      <c r="I104" s="86" t="s">
        <v>277</v>
      </c>
      <c r="J104" s="89" t="s">
        <v>43</v>
      </c>
    </row>
    <row r="105" spans="1:19" x14ac:dyDescent="0.25">
      <c r="A105" s="4"/>
      <c r="B105" s="235"/>
      <c r="C105" s="7" t="s">
        <v>82</v>
      </c>
      <c r="D105" s="7">
        <v>4.0190000000000001</v>
      </c>
      <c r="E105" s="7" t="s">
        <v>84</v>
      </c>
      <c r="F105" s="7">
        <f>IFERROR($G$97 + 0.001*D105, "-")</f>
        <v>607.43191899999999</v>
      </c>
      <c r="G105" s="7">
        <f>IFERROR($G$97- 0.001*D105, "-")</f>
        <v>607.42388100000005</v>
      </c>
      <c r="H105" s="7">
        <v>8</v>
      </c>
      <c r="I105" s="229">
        <v>-38.799999999999997</v>
      </c>
      <c r="J105" s="76">
        <f>I105+'Isotope-Sw'!F38</f>
        <v>14.270000000000003</v>
      </c>
    </row>
    <row r="106" spans="1:19" x14ac:dyDescent="0.25">
      <c r="A106" s="4"/>
      <c r="B106" s="238" t="s">
        <v>32</v>
      </c>
      <c r="C106" s="7"/>
      <c r="D106" s="7"/>
      <c r="E106" s="7"/>
      <c r="F106" s="7"/>
      <c r="G106" s="7"/>
      <c r="H106" s="7"/>
      <c r="I106" s="7"/>
      <c r="J106" s="76"/>
    </row>
    <row r="107" spans="1:19" x14ac:dyDescent="0.25">
      <c r="A107" s="4"/>
      <c r="B107" s="238"/>
      <c r="C107" s="157"/>
      <c r="D107" s="14" t="s">
        <v>17</v>
      </c>
      <c r="E107" s="107"/>
      <c r="F107" s="14" t="str">
        <f>IFERROR($G$97 + 0.001*D107, "-")</f>
        <v>-</v>
      </c>
      <c r="G107" s="14" t="str">
        <f>IFERROR($G$97- 0.001*D107, "-")</f>
        <v>-</v>
      </c>
      <c r="H107" s="14"/>
      <c r="I107" s="14"/>
      <c r="J107" s="103"/>
    </row>
    <row r="108" spans="1:19" x14ac:dyDescent="0.25">
      <c r="A108" s="4"/>
      <c r="B108" s="238"/>
      <c r="C108" s="7"/>
      <c r="D108" s="6" t="s">
        <v>17</v>
      </c>
      <c r="E108" s="7"/>
      <c r="F108" s="6" t="str">
        <f>IFERROR($G$97 + 0.001*D108, "-")</f>
        <v>-</v>
      </c>
      <c r="G108" s="6" t="str">
        <f>IFERROR($G$97- 0.001*D108, "-")</f>
        <v>-</v>
      </c>
      <c r="H108" s="6"/>
      <c r="I108" s="278"/>
      <c r="J108" s="76"/>
    </row>
    <row r="109" spans="1:19" x14ac:dyDescent="0.25">
      <c r="A109" s="4"/>
      <c r="B109" s="238" t="s">
        <v>33</v>
      </c>
      <c r="C109" s="7"/>
      <c r="D109" s="6" t="s">
        <v>17</v>
      </c>
      <c r="E109" s="7"/>
      <c r="F109" s="6" t="str">
        <f>IFERROR($G$97 + 0.001*D109, "-")</f>
        <v>-</v>
      </c>
      <c r="G109" s="6" t="str">
        <f>IFERROR($G$97- 0.001*D109, "-")</f>
        <v>-</v>
      </c>
      <c r="H109" s="6"/>
      <c r="I109" s="6"/>
      <c r="J109" s="76"/>
      <c r="O109" s="6"/>
      <c r="P109" s="6"/>
      <c r="Q109" s="6"/>
      <c r="R109" s="3"/>
      <c r="S109" s="6"/>
    </row>
    <row r="110" spans="1:19" x14ac:dyDescent="0.25">
      <c r="A110" s="4"/>
      <c r="B110" s="241"/>
      <c r="C110" s="157"/>
      <c r="D110" s="14" t="s">
        <v>17</v>
      </c>
      <c r="E110" s="107"/>
      <c r="F110" s="14" t="str">
        <f>IFERROR($G$97 + 0.001*D110, "-")</f>
        <v>-</v>
      </c>
      <c r="G110" s="14" t="str">
        <f>IFERROR($G$97- 0.001*D110, "-")</f>
        <v>-</v>
      </c>
      <c r="H110" s="14"/>
      <c r="I110" s="14"/>
      <c r="J110" s="103"/>
      <c r="L110" s="3"/>
      <c r="M110" s="3"/>
      <c r="N110" s="3"/>
      <c r="O110" s="6"/>
      <c r="P110" s="6"/>
      <c r="Q110" s="6"/>
      <c r="R110" s="3"/>
      <c r="S110" s="6"/>
    </row>
    <row r="111" spans="1:19" x14ac:dyDescent="0.25">
      <c r="A111" s="4"/>
      <c r="B111" s="236"/>
      <c r="C111" s="7" t="s">
        <v>83</v>
      </c>
      <c r="D111" s="6">
        <v>0.314</v>
      </c>
      <c r="E111" s="7" t="s">
        <v>158</v>
      </c>
      <c r="F111" s="6">
        <f>IFERROR($G$99 + 0.001*D111, "-")</f>
        <v>461.312524</v>
      </c>
      <c r="G111" s="6">
        <f>IFERROR($G$99- 0.001*D111, "-")</f>
        <v>461.31189599999999</v>
      </c>
      <c r="H111" s="6">
        <v>10</v>
      </c>
      <c r="I111" s="6">
        <v>-38.5</v>
      </c>
      <c r="J111" s="76" t="s">
        <v>352</v>
      </c>
      <c r="L111" s="3"/>
      <c r="M111" s="3"/>
      <c r="N111" s="3"/>
      <c r="O111" s="6"/>
      <c r="P111" s="6"/>
      <c r="Q111" s="6"/>
      <c r="R111" s="3"/>
      <c r="S111" s="6"/>
    </row>
    <row r="112" spans="1:19" x14ac:dyDescent="0.25">
      <c r="A112" s="4"/>
      <c r="B112" s="236" t="s">
        <v>34</v>
      </c>
      <c r="C112" s="7"/>
      <c r="D112" s="6">
        <v>0.47</v>
      </c>
      <c r="E112" s="7" t="s">
        <v>159</v>
      </c>
      <c r="F112" s="6">
        <f>IFERROR($G$99 + 0.001*D112, "-")</f>
        <v>461.31268</v>
      </c>
      <c r="G112" s="6">
        <f>IFERROR($G$99- 0.001*D112, "-")</f>
        <v>461.31173999999999</v>
      </c>
      <c r="H112" s="6">
        <v>10</v>
      </c>
      <c r="I112" s="6">
        <v>-32.4</v>
      </c>
      <c r="J112" s="76" t="s">
        <v>352</v>
      </c>
      <c r="L112" s="3"/>
      <c r="M112" s="3"/>
      <c r="N112" s="3"/>
      <c r="O112" s="6"/>
      <c r="P112" s="6"/>
      <c r="Q112" s="6"/>
      <c r="R112" s="3"/>
      <c r="S112" s="6"/>
    </row>
    <row r="113" spans="1:65" x14ac:dyDescent="0.25">
      <c r="B113" s="243"/>
      <c r="C113" s="7"/>
      <c r="D113" s="6">
        <v>0.874</v>
      </c>
      <c r="E113" s="7" t="s">
        <v>160</v>
      </c>
      <c r="F113" s="6">
        <f>IFERROR($G$99 + 0.001*D113, "-")</f>
        <v>461.313084</v>
      </c>
      <c r="G113" s="6">
        <f>IFERROR($G$99- 0.001*D113, "-")</f>
        <v>461.31133599999998</v>
      </c>
      <c r="H113" s="6">
        <v>10</v>
      </c>
      <c r="I113" s="6">
        <v>-19</v>
      </c>
      <c r="J113" s="76" t="s">
        <v>352</v>
      </c>
      <c r="L113" s="3"/>
      <c r="M113" s="3"/>
      <c r="N113" s="3"/>
      <c r="O113" s="6"/>
      <c r="P113" s="6"/>
      <c r="Q113" s="6"/>
      <c r="R113" s="3"/>
      <c r="S113" s="6"/>
    </row>
    <row r="114" spans="1:65" x14ac:dyDescent="0.25">
      <c r="B114" s="243"/>
      <c r="C114" s="157"/>
      <c r="D114" s="14" t="s">
        <v>17</v>
      </c>
      <c r="E114" s="107"/>
      <c r="F114" s="14" t="str">
        <f>IFERROR($G$99 + 0.001*D114, "-")</f>
        <v>-</v>
      </c>
      <c r="G114" s="14" t="str">
        <f>IFERROR($G$99- 0.001*D114, "-")</f>
        <v>-</v>
      </c>
      <c r="H114" s="14"/>
      <c r="I114" s="14"/>
      <c r="J114" s="103"/>
      <c r="L114" s="3"/>
      <c r="M114" s="3"/>
      <c r="N114" s="3"/>
      <c r="O114" s="6"/>
      <c r="P114" s="6"/>
      <c r="Q114" s="6"/>
      <c r="R114" s="3"/>
      <c r="S114" s="6"/>
    </row>
    <row r="115" spans="1:65" x14ac:dyDescent="0.25">
      <c r="B115" s="237"/>
      <c r="C115" s="7"/>
      <c r="D115" s="6" t="s">
        <v>17</v>
      </c>
      <c r="E115" s="7"/>
      <c r="F115" s="6" t="str">
        <f>IFERROR($G$100 + 0.001*D115, "-")</f>
        <v>-</v>
      </c>
      <c r="G115" s="6" t="str">
        <f>IFERROR($G$100- 0.001*D115, "-")</f>
        <v>-</v>
      </c>
      <c r="H115" s="6"/>
      <c r="I115" s="6"/>
      <c r="J115" s="76"/>
      <c r="L115" s="3"/>
      <c r="M115" s="3"/>
      <c r="N115" s="3"/>
      <c r="O115" s="6"/>
      <c r="P115" s="6"/>
      <c r="Q115" s="6"/>
      <c r="R115" s="3"/>
      <c r="S115" s="6"/>
    </row>
    <row r="116" spans="1:65" x14ac:dyDescent="0.25">
      <c r="B116" s="237" t="s">
        <v>35</v>
      </c>
      <c r="C116" s="7"/>
      <c r="D116" s="6" t="s">
        <v>17</v>
      </c>
      <c r="E116" s="7"/>
      <c r="F116" s="6" t="str">
        <f>IFERROR($G$100 + 0.001*D116, "-")</f>
        <v>-</v>
      </c>
      <c r="G116" s="6" t="str">
        <f>IFERROR($G$100- 0.001*D116, "-")</f>
        <v>-</v>
      </c>
      <c r="H116" s="6"/>
      <c r="I116" s="6"/>
      <c r="J116" s="76"/>
      <c r="L116" s="3"/>
      <c r="M116" s="3"/>
      <c r="N116" s="3"/>
      <c r="O116" s="6"/>
      <c r="P116" s="6"/>
      <c r="Q116" s="6"/>
      <c r="R116" s="3"/>
      <c r="S116" s="6"/>
    </row>
    <row r="117" spans="1:65" ht="15.75" thickBot="1" x14ac:dyDescent="0.3">
      <c r="B117" s="245"/>
      <c r="C117" s="154"/>
      <c r="D117" s="77" t="s">
        <v>17</v>
      </c>
      <c r="E117" s="77"/>
      <c r="F117" s="77" t="str">
        <f>IFERROR($G$100 + 0.001*D117, "-")</f>
        <v>-</v>
      </c>
      <c r="G117" s="77" t="str">
        <f>IFERROR($G$100- 0.001*D117, "-")</f>
        <v>-</v>
      </c>
      <c r="H117" s="77"/>
      <c r="I117" s="77"/>
      <c r="J117" s="79"/>
      <c r="L117" s="3"/>
      <c r="M117" s="3"/>
      <c r="N117" s="3"/>
      <c r="O117" s="6"/>
      <c r="P117" s="6"/>
      <c r="Q117" s="6"/>
      <c r="R117" s="3"/>
      <c r="S117" s="6"/>
    </row>
    <row r="118" spans="1:65" ht="16.5" thickTop="1" thickBot="1" x14ac:dyDescent="0.3">
      <c r="B118" s="3"/>
      <c r="C118" s="6"/>
      <c r="E118" s="6"/>
      <c r="F118" s="116" t="s">
        <v>338</v>
      </c>
      <c r="G118" s="3"/>
      <c r="H118" s="6"/>
      <c r="L118" s="3"/>
      <c r="M118" s="3"/>
      <c r="N118" s="3"/>
      <c r="O118" s="6"/>
      <c r="P118" s="6"/>
      <c r="Q118" s="6"/>
      <c r="R118" s="3"/>
      <c r="S118" s="6"/>
    </row>
    <row r="119" spans="1:65" ht="15.75" thickBot="1" x14ac:dyDescent="0.3">
      <c r="B119" s="2" t="s">
        <v>77</v>
      </c>
      <c r="C119" s="6"/>
      <c r="E119" s="6"/>
      <c r="F119" s="115"/>
      <c r="G119" s="3"/>
      <c r="H119" s="6"/>
      <c r="L119" s="3"/>
      <c r="M119" s="3"/>
      <c r="N119" s="3"/>
      <c r="O119" s="6"/>
      <c r="P119" s="6"/>
      <c r="Q119" s="6"/>
      <c r="R119" s="3"/>
      <c r="S119" s="6"/>
    </row>
    <row r="120" spans="1:65" ht="15.75" thickTop="1" x14ac:dyDescent="0.25">
      <c r="A120" s="106"/>
      <c r="B120" s="106"/>
      <c r="C120" s="107"/>
      <c r="D120" s="107"/>
      <c r="E120" s="107"/>
      <c r="F120" s="106"/>
      <c r="G120" s="107"/>
      <c r="H120" s="106"/>
      <c r="I120" s="106"/>
      <c r="J120" s="106"/>
      <c r="K120" s="106"/>
      <c r="L120" s="106"/>
      <c r="M120" s="106"/>
      <c r="N120" s="106"/>
      <c r="O120" s="107"/>
      <c r="P120" s="107"/>
      <c r="Q120" s="107"/>
      <c r="R120" s="106"/>
      <c r="S120" s="107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</row>
    <row r="121" spans="1:65" ht="27" thickBot="1" x14ac:dyDescent="0.45">
      <c r="B121" s="227" t="s">
        <v>47</v>
      </c>
      <c r="D121" s="158"/>
      <c r="F121" s="158"/>
    </row>
    <row r="122" spans="1:65" ht="16.5" thickTop="1" thickBot="1" x14ac:dyDescent="0.3">
      <c r="A122" s="12"/>
      <c r="B122" s="118" t="s">
        <v>30</v>
      </c>
      <c r="C122" s="86" t="s">
        <v>31</v>
      </c>
      <c r="D122" s="86" t="s">
        <v>193</v>
      </c>
      <c r="E122" s="86" t="s">
        <v>348</v>
      </c>
      <c r="F122" s="86" t="s">
        <v>344</v>
      </c>
      <c r="G122" s="86" t="s">
        <v>345</v>
      </c>
      <c r="H122" s="86" t="s">
        <v>73</v>
      </c>
      <c r="I122" s="104" t="s">
        <v>72</v>
      </c>
    </row>
    <row r="123" spans="1:65" x14ac:dyDescent="0.25">
      <c r="B123" s="235" t="s">
        <v>32</v>
      </c>
      <c r="C123" s="6"/>
      <c r="D123" s="7">
        <v>0</v>
      </c>
      <c r="E123" s="6">
        <f>D85+0.001*D123</f>
        <v>607.42598999999996</v>
      </c>
      <c r="G123" s="6">
        <v>607.42597000000001</v>
      </c>
      <c r="H123" s="6">
        <v>200</v>
      </c>
      <c r="I123" s="76">
        <f>IFERROR(G123+0.000001*H123, "-")</f>
        <v>607.42616999999996</v>
      </c>
    </row>
    <row r="124" spans="1:65" x14ac:dyDescent="0.25">
      <c r="B124" s="238" t="s">
        <v>33</v>
      </c>
      <c r="C124" s="6"/>
      <c r="D124" s="7"/>
      <c r="E124" s="6" t="s">
        <v>17</v>
      </c>
      <c r="G124" s="6" t="s">
        <v>17</v>
      </c>
      <c r="H124" s="6" t="s">
        <v>17</v>
      </c>
      <c r="I124" s="76" t="str">
        <f t="shared" ref="I124:I128" si="3">IFERROR(G124+0.000001*H124, "-")</f>
        <v>-</v>
      </c>
    </row>
    <row r="125" spans="1:65" x14ac:dyDescent="0.25">
      <c r="B125" s="236" t="s">
        <v>34</v>
      </c>
      <c r="C125" s="6"/>
      <c r="D125" s="7">
        <v>0.5</v>
      </c>
      <c r="E125" s="6">
        <f>D87+0.001*D125</f>
        <v>461.31259</v>
      </c>
      <c r="G125" s="6">
        <v>461.31204000000002</v>
      </c>
      <c r="H125" s="6">
        <v>200</v>
      </c>
      <c r="I125" s="76">
        <f t="shared" si="3"/>
        <v>461.31224000000003</v>
      </c>
    </row>
    <row r="126" spans="1:65" x14ac:dyDescent="0.25">
      <c r="B126" s="237" t="s">
        <v>35</v>
      </c>
      <c r="C126" s="6"/>
      <c r="D126" s="7"/>
      <c r="E126" s="6" t="s">
        <v>17</v>
      </c>
      <c r="G126" s="6" t="s">
        <v>17</v>
      </c>
      <c r="H126" s="6" t="s">
        <v>17</v>
      </c>
      <c r="I126" s="76" t="str">
        <f t="shared" si="3"/>
        <v>-</v>
      </c>
    </row>
    <row r="127" spans="1:65" x14ac:dyDescent="0.25">
      <c r="B127" s="239" t="s">
        <v>36</v>
      </c>
      <c r="C127" s="6"/>
      <c r="D127" s="7">
        <v>0.38650000000000001</v>
      </c>
      <c r="E127" s="6">
        <f>D89+0.001*D127</f>
        <v>541.43343649999997</v>
      </c>
      <c r="G127" s="6" t="s">
        <v>17</v>
      </c>
      <c r="H127" s="6" t="s">
        <v>17</v>
      </c>
      <c r="I127" s="76" t="str">
        <f t="shared" si="3"/>
        <v>-</v>
      </c>
    </row>
    <row r="128" spans="1:65" ht="15.75" thickBot="1" x14ac:dyDescent="0.3">
      <c r="B128" s="240" t="s">
        <v>37</v>
      </c>
      <c r="C128" s="77"/>
      <c r="D128" s="7"/>
      <c r="E128" s="77" t="s">
        <v>17</v>
      </c>
      <c r="F128" s="343"/>
      <c r="G128" s="77" t="s">
        <v>17</v>
      </c>
      <c r="H128" s="77" t="s">
        <v>17</v>
      </c>
      <c r="I128" s="79" t="str">
        <f t="shared" si="3"/>
        <v>-</v>
      </c>
    </row>
    <row r="129" spans="2:9" ht="16.5" thickTop="1" thickBot="1" x14ac:dyDescent="0.3">
      <c r="B129" s="11"/>
      <c r="C129" s="152"/>
      <c r="D129" s="152"/>
      <c r="E129" s="6"/>
      <c r="F129" s="6"/>
      <c r="G129" s="3"/>
    </row>
    <row r="130" spans="2:9" ht="16.5" thickTop="1" thickBot="1" x14ac:dyDescent="0.3">
      <c r="B130" s="118" t="s">
        <v>30</v>
      </c>
      <c r="C130" s="156" t="s">
        <v>186</v>
      </c>
      <c r="D130" s="86" t="s">
        <v>42</v>
      </c>
      <c r="E130" s="86" t="s">
        <v>183</v>
      </c>
      <c r="F130" s="86" t="s">
        <v>75</v>
      </c>
      <c r="G130" s="86" t="s">
        <v>74</v>
      </c>
      <c r="H130" s="86" t="s">
        <v>76</v>
      </c>
      <c r="I130" s="89" t="s">
        <v>43</v>
      </c>
    </row>
    <row r="131" spans="2:9" x14ac:dyDescent="0.25">
      <c r="B131" s="242"/>
      <c r="C131" s="7"/>
      <c r="D131" s="6">
        <v>4.2342500000000003</v>
      </c>
      <c r="E131" s="7" t="s">
        <v>86</v>
      </c>
      <c r="F131" s="6">
        <f t="shared" ref="F131:F137" si="4">IFERROR($G$123 + 0.001*D131, "-")</f>
        <v>607.43020424999997</v>
      </c>
      <c r="G131" s="6">
        <f t="shared" ref="G131:G137" si="5">IFERROR($G$123- 0.001*D131, "-")</f>
        <v>607.42173575000004</v>
      </c>
      <c r="H131" s="6">
        <v>14</v>
      </c>
      <c r="I131" s="76">
        <f>-7.2 + 20</f>
        <v>12.8</v>
      </c>
    </row>
    <row r="132" spans="2:9" x14ac:dyDescent="0.25">
      <c r="B132" s="238" t="s">
        <v>32</v>
      </c>
      <c r="C132" s="7"/>
      <c r="D132" s="7">
        <v>7.53</v>
      </c>
      <c r="E132" s="7" t="s">
        <v>150</v>
      </c>
      <c r="F132" s="6">
        <f t="shared" si="4"/>
        <v>607.43349999999998</v>
      </c>
      <c r="G132" s="6">
        <f t="shared" si="5"/>
        <v>607.41844000000003</v>
      </c>
      <c r="H132" s="6">
        <v>13</v>
      </c>
      <c r="I132" s="76">
        <f>-6.7+20</f>
        <v>13.3</v>
      </c>
    </row>
    <row r="133" spans="2:9" x14ac:dyDescent="0.25">
      <c r="B133" s="241"/>
      <c r="C133" s="157"/>
      <c r="D133" s="14" t="s">
        <v>17</v>
      </c>
      <c r="E133" s="14"/>
      <c r="F133" s="14" t="str">
        <f t="shared" si="4"/>
        <v>-</v>
      </c>
      <c r="G133" s="14" t="str">
        <f t="shared" si="5"/>
        <v>-</v>
      </c>
      <c r="H133" s="14"/>
      <c r="I133" s="103"/>
    </row>
    <row r="134" spans="2:9" x14ac:dyDescent="0.25">
      <c r="B134" s="238" t="s">
        <v>187</v>
      </c>
      <c r="C134" s="6"/>
      <c r="D134" s="6">
        <v>2.3944999999999999</v>
      </c>
      <c r="E134" s="7" t="s">
        <v>85</v>
      </c>
      <c r="F134" s="6">
        <f t="shared" si="4"/>
        <v>607.42836450000004</v>
      </c>
      <c r="G134" s="6">
        <f t="shared" si="5"/>
        <v>607.42357549999997</v>
      </c>
      <c r="H134" s="6">
        <v>24</v>
      </c>
      <c r="I134" s="76">
        <f>-6.8+20</f>
        <v>13.2</v>
      </c>
    </row>
    <row r="135" spans="2:9" x14ac:dyDescent="0.25">
      <c r="B135" s="238"/>
      <c r="C135" s="155"/>
      <c r="D135" s="107" t="s">
        <v>17</v>
      </c>
      <c r="E135" s="107"/>
      <c r="F135" s="107" t="str">
        <f t="shared" si="4"/>
        <v>-</v>
      </c>
      <c r="G135" s="107" t="str">
        <f t="shared" si="5"/>
        <v>-</v>
      </c>
      <c r="H135" s="107"/>
      <c r="I135" s="95"/>
    </row>
    <row r="136" spans="2:9" x14ac:dyDescent="0.25">
      <c r="B136" s="238" t="s">
        <v>33</v>
      </c>
      <c r="C136" s="7"/>
      <c r="D136" s="6">
        <v>4.2343599999999997</v>
      </c>
      <c r="E136" s="7" t="s">
        <v>86</v>
      </c>
      <c r="F136" s="6">
        <f t="shared" si="4"/>
        <v>607.43020436000006</v>
      </c>
      <c r="G136" s="6">
        <f t="shared" si="5"/>
        <v>607.42173563999995</v>
      </c>
      <c r="H136" s="6">
        <f>H131</f>
        <v>14</v>
      </c>
      <c r="I136" s="76">
        <f>I131</f>
        <v>12.8</v>
      </c>
    </row>
    <row r="137" spans="2:9" x14ac:dyDescent="0.25">
      <c r="B137" s="241"/>
      <c r="C137" s="157"/>
      <c r="D137" s="14" t="s">
        <v>17</v>
      </c>
      <c r="E137" s="14"/>
      <c r="F137" s="14" t="str">
        <f t="shared" si="4"/>
        <v>-</v>
      </c>
      <c r="G137" s="14" t="str">
        <f t="shared" si="5"/>
        <v>-</v>
      </c>
      <c r="H137" s="14"/>
      <c r="I137" s="103"/>
    </row>
    <row r="138" spans="2:9" x14ac:dyDescent="0.25">
      <c r="B138" s="243"/>
      <c r="C138" s="7" t="s">
        <v>84</v>
      </c>
      <c r="D138" s="6">
        <v>0.41060000000000002</v>
      </c>
      <c r="E138" s="7" t="s">
        <v>54</v>
      </c>
      <c r="F138" s="6">
        <f>IFERROR($G$125 + 0.001*D138, "-")</f>
        <v>461.31245060000003</v>
      </c>
      <c r="G138" s="6">
        <f>IFERROR($G$125- 0.001*D138, "-")</f>
        <v>461.31162940000002</v>
      </c>
      <c r="H138" s="6">
        <v>13</v>
      </c>
      <c r="I138" s="76">
        <f>-7 +20</f>
        <v>13</v>
      </c>
    </row>
    <row r="139" spans="2:9" x14ac:dyDescent="0.25">
      <c r="B139" s="236" t="s">
        <v>34</v>
      </c>
      <c r="C139" s="7"/>
      <c r="D139" s="6">
        <v>1.3474999999999999</v>
      </c>
      <c r="E139" s="7" t="s">
        <v>156</v>
      </c>
      <c r="F139" s="6">
        <f>IFERROR($G$125 + 0.001*D139, "-")</f>
        <v>461.31338750000003</v>
      </c>
      <c r="G139" s="6">
        <f>IFERROR($G$125- 0.001*D139, "-")</f>
        <v>461.31069250000002</v>
      </c>
      <c r="H139" s="6">
        <v>14</v>
      </c>
      <c r="I139" s="76">
        <f>-6.7+20</f>
        <v>13.3</v>
      </c>
    </row>
    <row r="140" spans="2:9" x14ac:dyDescent="0.25">
      <c r="B140" s="236"/>
      <c r="C140" s="155"/>
      <c r="D140" s="107" t="s">
        <v>17</v>
      </c>
      <c r="E140" s="107"/>
      <c r="F140" s="107" t="str">
        <f>IFERROR($G$125 + 0.001*D140, "-")</f>
        <v>-</v>
      </c>
      <c r="G140" s="107" t="str">
        <f>IFERROR($G$123- 0.001*D140, "-")</f>
        <v>-</v>
      </c>
      <c r="H140" s="107"/>
      <c r="I140" s="95"/>
    </row>
    <row r="141" spans="2:9" x14ac:dyDescent="0.25">
      <c r="B141" s="236" t="s">
        <v>194</v>
      </c>
      <c r="C141" s="7" t="s">
        <v>221</v>
      </c>
      <c r="D141" s="6">
        <v>0.49225000000000002</v>
      </c>
      <c r="E141" s="7" t="s">
        <v>157</v>
      </c>
      <c r="F141" s="6">
        <f>IFERROR($G$125 + 0.001*D141, "-")</f>
        <v>461.31253225</v>
      </c>
      <c r="G141" s="6">
        <f>IFERROR($G$125- 0.001*D141, "-")</f>
        <v>461.31154775000005</v>
      </c>
      <c r="H141" s="6">
        <v>18.5</v>
      </c>
      <c r="I141" s="76">
        <f>-6.7+20</f>
        <v>13.3</v>
      </c>
    </row>
    <row r="142" spans="2:9" x14ac:dyDescent="0.25">
      <c r="B142" s="243"/>
      <c r="C142" s="155"/>
      <c r="D142" s="14" t="s">
        <v>17</v>
      </c>
      <c r="E142" s="107"/>
      <c r="F142" s="14" t="str">
        <f>IFERROR($G$125 + 0.001*D142, "-")</f>
        <v>-</v>
      </c>
      <c r="G142" s="14" t="str">
        <f>IFERROR($G$125- 0.001*D142, "-")</f>
        <v>-</v>
      </c>
      <c r="H142" s="14"/>
      <c r="I142" s="103"/>
    </row>
    <row r="143" spans="2:9" x14ac:dyDescent="0.25">
      <c r="B143" s="244"/>
      <c r="C143" s="7"/>
      <c r="D143" s="6" t="s">
        <v>17</v>
      </c>
      <c r="E143" s="7"/>
      <c r="F143" s="6" t="str">
        <f>IFERROR($G$126 + 0.001*D143, "-")</f>
        <v>-</v>
      </c>
      <c r="G143" s="6" t="str">
        <f>IFERROR($G$126- 0.001*D143, "-")</f>
        <v>-</v>
      </c>
      <c r="H143" s="6"/>
      <c r="I143" s="76"/>
    </row>
    <row r="144" spans="2:9" x14ac:dyDescent="0.25">
      <c r="B144" s="237" t="s">
        <v>35</v>
      </c>
      <c r="C144" s="7"/>
      <c r="D144" s="6" t="s">
        <v>17</v>
      </c>
      <c r="E144" s="7"/>
      <c r="F144" s="6" t="str">
        <f>IFERROR($G$126 + 0.001*D144, "-")</f>
        <v>-</v>
      </c>
      <c r="G144" s="6" t="str">
        <f>IFERROR($G$126- 0.001*D144, "-")</f>
        <v>-</v>
      </c>
      <c r="H144" s="6"/>
      <c r="I144" s="76"/>
    </row>
    <row r="145" spans="1:65" ht="15.75" thickBot="1" x14ac:dyDescent="0.3">
      <c r="B145" s="245"/>
      <c r="C145" s="154"/>
      <c r="D145" s="77" t="s">
        <v>17</v>
      </c>
      <c r="E145" s="77"/>
      <c r="F145" s="77" t="str">
        <f>IFERROR($G$126 + 0.001*D145, "-")</f>
        <v>-</v>
      </c>
      <c r="G145" s="77" t="str">
        <f>IFERROR($G$126- 0.001*D145, "-")</f>
        <v>-</v>
      </c>
      <c r="H145" s="77"/>
      <c r="I145" s="79"/>
    </row>
    <row r="146" spans="1:65" ht="16.5" thickTop="1" thickBot="1" x14ac:dyDescent="0.3">
      <c r="F146" s="116" t="s">
        <v>338</v>
      </c>
    </row>
    <row r="147" spans="1:65" ht="15.75" thickBot="1" x14ac:dyDescent="0.3">
      <c r="B147" s="2" t="s">
        <v>77</v>
      </c>
      <c r="F147" s="115"/>
      <c r="G147" s="3"/>
      <c r="H147" s="3"/>
    </row>
    <row r="148" spans="1:65" ht="16.5" thickTop="1" thickBot="1" x14ac:dyDescent="0.3"/>
    <row r="149" spans="1:65" s="1" customFormat="1" ht="16.5" thickBot="1" x14ac:dyDescent="0.3">
      <c r="A149" s="69"/>
      <c r="B149" s="71" t="s">
        <v>41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 t="str">
        <f>IF($I$100 ="-", "",$I$100 )</f>
        <v/>
      </c>
      <c r="N149" s="69"/>
      <c r="O149" s="69" t="str">
        <f t="shared" ref="O149" si="6">IFERROR(M149 + 0.001*N149, "")</f>
        <v/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</row>
    <row r="152" spans="1:65" x14ac:dyDescent="0.25">
      <c r="I152" s="9"/>
      <c r="J152" s="7"/>
      <c r="K152" s="7"/>
      <c r="L152" s="7"/>
      <c r="M152" s="7"/>
    </row>
    <row r="153" spans="1:65" x14ac:dyDescent="0.25">
      <c r="J153" s="7"/>
      <c r="K153" s="7"/>
      <c r="L153" s="7"/>
      <c r="M153" s="7"/>
    </row>
    <row r="154" spans="1:65" x14ac:dyDescent="0.25">
      <c r="J154" s="7"/>
      <c r="K154" s="7"/>
      <c r="L154" s="7"/>
      <c r="M154" s="7"/>
    </row>
    <row r="155" spans="1:65" x14ac:dyDescent="0.25">
      <c r="J155" s="7"/>
      <c r="K155" s="7"/>
      <c r="L155" s="7"/>
      <c r="M155" s="7"/>
    </row>
    <row r="156" spans="1:65" x14ac:dyDescent="0.25">
      <c r="J156" s="7"/>
      <c r="K156" s="7"/>
      <c r="L156" s="7"/>
      <c r="M156" s="7"/>
    </row>
    <row r="157" spans="1:65" x14ac:dyDescent="0.25">
      <c r="J157" s="7"/>
      <c r="K157" s="7"/>
      <c r="L157" s="7"/>
      <c r="M157" s="7"/>
    </row>
    <row r="158" spans="1:65" x14ac:dyDescent="0.25">
      <c r="J158" s="7"/>
      <c r="K158" s="7"/>
      <c r="L158" s="7"/>
      <c r="M158" s="7"/>
    </row>
    <row r="159" spans="1:65" x14ac:dyDescent="0.25">
      <c r="J159" s="7"/>
      <c r="K159" s="7"/>
      <c r="L159" s="7"/>
      <c r="M159" s="7"/>
    </row>
    <row r="192" spans="1:1" x14ac:dyDescent="0.25">
      <c r="A192" s="34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opLeftCell="A13" workbookViewId="0">
      <selection activeCell="H10" sqref="H10"/>
    </sheetView>
  </sheetViews>
  <sheetFormatPr defaultColWidth="9" defaultRowHeight="15" x14ac:dyDescent="0.25"/>
  <cols>
    <col min="1" max="1" width="9" style="16"/>
    <col min="2" max="2" width="10.5703125" style="16" customWidth="1"/>
    <col min="3" max="4" width="17.5703125" style="16" customWidth="1"/>
    <col min="5" max="5" width="15.5703125" style="16" customWidth="1"/>
    <col min="6" max="8" width="16.5703125" style="16" customWidth="1"/>
    <col min="9" max="10" width="9" style="16"/>
    <col min="11" max="11" width="25.140625" style="16" customWidth="1"/>
    <col min="12" max="16384" width="9" style="16"/>
  </cols>
  <sheetData>
    <row r="1" spans="1:25" ht="15.75" thickBot="1" x14ac:dyDescent="0.3"/>
    <row r="2" spans="1:25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</row>
    <row r="3" spans="1:25" ht="15.75" thickBot="1" x14ac:dyDescent="0.3"/>
    <row r="4" spans="1:25" ht="16.5" thickTop="1" thickBot="1" x14ac:dyDescent="0.3">
      <c r="B4" s="315" t="s">
        <v>301</v>
      </c>
      <c r="C4" s="316" t="s">
        <v>302</v>
      </c>
      <c r="D4" s="316" t="s">
        <v>307</v>
      </c>
      <c r="E4" s="316" t="s">
        <v>308</v>
      </c>
      <c r="F4" s="317" t="s">
        <v>309</v>
      </c>
      <c r="G4" s="45"/>
    </row>
    <row r="5" spans="1:25" ht="16.5" thickTop="1" thickBot="1" x14ac:dyDescent="0.3">
      <c r="B5" s="320" t="s">
        <v>53</v>
      </c>
      <c r="C5" s="18"/>
      <c r="D5" s="322" t="s">
        <v>58</v>
      </c>
      <c r="E5" s="325" t="s">
        <v>53</v>
      </c>
      <c r="F5" s="302">
        <v>0.75600000000000001</v>
      </c>
      <c r="G5" s="18"/>
      <c r="K5" s="328" t="s">
        <v>317</v>
      </c>
    </row>
    <row r="6" spans="1:25" ht="15.75" thickBot="1" x14ac:dyDescent="0.3">
      <c r="B6" s="321" t="s">
        <v>58</v>
      </c>
      <c r="C6" s="18" t="s">
        <v>311</v>
      </c>
      <c r="D6" s="339"/>
      <c r="E6" s="338" t="s">
        <v>70</v>
      </c>
      <c r="F6" s="302">
        <v>0.24399999999999999</v>
      </c>
      <c r="G6" s="18"/>
      <c r="K6" s="311">
        <f>Main!F85</f>
        <v>607.42618999999991</v>
      </c>
    </row>
    <row r="7" spans="1:25" x14ac:dyDescent="0.25">
      <c r="B7" s="321" t="s">
        <v>303</v>
      </c>
      <c r="C7" s="18" t="s">
        <v>312</v>
      </c>
      <c r="D7" s="323"/>
      <c r="E7" s="326" t="s">
        <v>53</v>
      </c>
      <c r="F7" s="302">
        <v>0.75600000000000001</v>
      </c>
      <c r="G7" s="18"/>
    </row>
    <row r="8" spans="1:25" x14ac:dyDescent="0.25">
      <c r="B8" s="321" t="s">
        <v>70</v>
      </c>
      <c r="C8" s="18" t="s">
        <v>313</v>
      </c>
      <c r="D8" s="323" t="s">
        <v>303</v>
      </c>
      <c r="E8" s="326" t="s">
        <v>70</v>
      </c>
      <c r="F8" s="302">
        <v>2.9000000000000001E-2</v>
      </c>
      <c r="G8" s="18"/>
    </row>
    <row r="9" spans="1:25" ht="15.75" thickBot="1" x14ac:dyDescent="0.3">
      <c r="B9" s="321" t="s">
        <v>304</v>
      </c>
      <c r="C9" s="18" t="s">
        <v>314</v>
      </c>
      <c r="D9" s="339"/>
      <c r="E9" s="338" t="s">
        <v>304</v>
      </c>
      <c r="F9" s="302">
        <v>0.215</v>
      </c>
      <c r="G9" s="18"/>
    </row>
    <row r="10" spans="1:25" x14ac:dyDescent="0.25">
      <c r="B10" s="321"/>
      <c r="C10" s="17"/>
      <c r="D10" s="323" t="s">
        <v>304</v>
      </c>
      <c r="E10" s="326" t="s">
        <v>53</v>
      </c>
      <c r="F10" s="302">
        <v>0.84599999999999997</v>
      </c>
      <c r="G10" s="18"/>
    </row>
    <row r="11" spans="1:25" ht="15.75" thickBot="1" x14ac:dyDescent="0.3">
      <c r="B11" s="309"/>
      <c r="C11" s="146"/>
      <c r="D11" s="324"/>
      <c r="E11" s="327" t="s">
        <v>70</v>
      </c>
      <c r="F11" s="303">
        <v>0.154</v>
      </c>
      <c r="G11" s="18"/>
    </row>
    <row r="12" spans="1:25" ht="15.75" thickTop="1" x14ac:dyDescent="0.25">
      <c r="C12" s="19" t="s">
        <v>315</v>
      </c>
      <c r="F12" s="16" t="s">
        <v>316</v>
      </c>
    </row>
    <row r="13" spans="1:25" ht="15.75" thickBot="1" x14ac:dyDescent="0.3"/>
    <row r="14" spans="1:25" ht="15.75" thickBot="1" x14ac:dyDescent="0.3">
      <c r="A14" s="312"/>
      <c r="B14" s="318" t="s">
        <v>60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</row>
    <row r="15" spans="1:25" ht="15.75" thickBot="1" x14ac:dyDescent="0.3"/>
    <row r="16" spans="1:25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G16" s="18"/>
      <c r="K16" s="328" t="s">
        <v>306</v>
      </c>
    </row>
    <row r="17" spans="2:11" ht="15.75" thickBot="1" x14ac:dyDescent="0.3">
      <c r="B17" s="329" t="s">
        <v>58</v>
      </c>
      <c r="C17" s="325" t="s">
        <v>53</v>
      </c>
      <c r="D17" s="18">
        <v>271.10000000000002</v>
      </c>
      <c r="E17" s="302">
        <f>$K$6+D17*0.000001</f>
        <v>607.42646109999987</v>
      </c>
      <c r="F17" s="18" t="s">
        <v>321</v>
      </c>
      <c r="G17" s="18"/>
      <c r="K17" s="314">
        <v>1.5</v>
      </c>
    </row>
    <row r="18" spans="2:11" ht="16.5" thickTop="1" thickBot="1" x14ac:dyDescent="0.3">
      <c r="B18" s="337"/>
      <c r="C18" s="338" t="s">
        <v>70</v>
      </c>
      <c r="D18" s="18">
        <v>-13</v>
      </c>
      <c r="E18" s="302">
        <f t="shared" ref="E18:E23" si="0">$K$6+D18*0.000001</f>
        <v>607.42617699999994</v>
      </c>
      <c r="F18" s="18" t="s">
        <v>322</v>
      </c>
      <c r="G18" s="18"/>
      <c r="H18" s="19"/>
      <c r="J18" s="19"/>
    </row>
    <row r="19" spans="2:11" x14ac:dyDescent="0.25">
      <c r="B19" s="329"/>
      <c r="C19" s="326" t="s">
        <v>53</v>
      </c>
      <c r="D19" s="18">
        <v>279</v>
      </c>
      <c r="E19" s="302">
        <f t="shared" si="0"/>
        <v>607.42646899999988</v>
      </c>
      <c r="F19" s="18" t="s">
        <v>321</v>
      </c>
      <c r="G19" s="18"/>
      <c r="H19" s="19"/>
    </row>
    <row r="20" spans="2:11" x14ac:dyDescent="0.25">
      <c r="B20" s="329" t="s">
        <v>303</v>
      </c>
      <c r="C20" s="326" t="s">
        <v>70</v>
      </c>
      <c r="D20" s="18">
        <v>-7.4</v>
      </c>
      <c r="E20" s="302">
        <f t="shared" si="0"/>
        <v>607.42618259999995</v>
      </c>
      <c r="F20" s="18" t="s">
        <v>323</v>
      </c>
      <c r="G20" s="18"/>
      <c r="H20" s="19"/>
    </row>
    <row r="21" spans="2:11" ht="15.75" thickBot="1" x14ac:dyDescent="0.3">
      <c r="B21" s="337"/>
      <c r="C21" s="338" t="s">
        <v>304</v>
      </c>
      <c r="D21" s="18">
        <v>-3.2</v>
      </c>
      <c r="E21" s="302">
        <f t="shared" si="0"/>
        <v>607.42618679999987</v>
      </c>
      <c r="F21" s="18" t="s">
        <v>323</v>
      </c>
      <c r="G21" s="18"/>
      <c r="H21" s="19"/>
    </row>
    <row r="22" spans="2:11" x14ac:dyDescent="0.25">
      <c r="B22" s="329" t="s">
        <v>304</v>
      </c>
      <c r="C22" s="326" t="s">
        <v>53</v>
      </c>
      <c r="D22" s="18" t="s">
        <v>305</v>
      </c>
      <c r="E22" s="302" t="e">
        <f t="shared" si="0"/>
        <v>#VALUE!</v>
      </c>
      <c r="F22" s="18"/>
      <c r="G22" s="18"/>
      <c r="H22" s="19"/>
    </row>
    <row r="23" spans="2:11" ht="15.75" thickBot="1" x14ac:dyDescent="0.3">
      <c r="B23" s="330"/>
      <c r="C23" s="327" t="s">
        <v>70</v>
      </c>
      <c r="D23" s="146" t="s">
        <v>305</v>
      </c>
      <c r="E23" s="303" t="e">
        <f t="shared" si="0"/>
        <v>#VALUE!</v>
      </c>
      <c r="F23" s="18"/>
      <c r="G23" s="18"/>
      <c r="H23" s="19"/>
    </row>
    <row r="24" spans="2:11" ht="16.5" thickTop="1" thickBot="1" x14ac:dyDescent="0.3"/>
    <row r="25" spans="2:11" ht="16.5" thickTop="1" thickBot="1" x14ac:dyDescent="0.3">
      <c r="B25" s="315" t="s">
        <v>301</v>
      </c>
      <c r="C25" s="316" t="s">
        <v>328</v>
      </c>
      <c r="D25" s="316" t="s">
        <v>329</v>
      </c>
      <c r="E25" s="316" t="s">
        <v>54</v>
      </c>
      <c r="F25" s="316" t="s">
        <v>310</v>
      </c>
      <c r="G25" s="316" t="s">
        <v>331</v>
      </c>
      <c r="H25" s="317" t="s">
        <v>327</v>
      </c>
    </row>
    <row r="26" spans="2:11" x14ac:dyDescent="0.25">
      <c r="B26" s="320" t="s">
        <v>53</v>
      </c>
      <c r="C26" s="18">
        <v>4018.8710000000001</v>
      </c>
      <c r="D26" s="304">
        <v>0</v>
      </c>
      <c r="E26" s="331">
        <v>1</v>
      </c>
      <c r="F26" s="18">
        <v>-0.69981212000000004</v>
      </c>
      <c r="G26" s="18">
        <v>-0.5</v>
      </c>
      <c r="H26" s="302">
        <v>-5023.5887499999999</v>
      </c>
      <c r="I26" s="16" t="s">
        <v>332</v>
      </c>
    </row>
    <row r="27" spans="2:11" ht="15.75" thickBot="1" x14ac:dyDescent="0.3">
      <c r="B27" s="334"/>
      <c r="C27" s="251"/>
      <c r="D27" s="310"/>
      <c r="E27" s="335">
        <v>2</v>
      </c>
      <c r="F27" s="251">
        <v>-0.69981212000000004</v>
      </c>
      <c r="G27" s="251">
        <v>0.5</v>
      </c>
      <c r="H27" s="336">
        <v>3014.1532499999998</v>
      </c>
    </row>
    <row r="28" spans="2:11" x14ac:dyDescent="0.25">
      <c r="B28" s="321" t="s">
        <v>58</v>
      </c>
      <c r="C28" s="18">
        <v>743.7</v>
      </c>
      <c r="D28" s="305">
        <v>0</v>
      </c>
      <c r="E28" s="332">
        <v>1</v>
      </c>
      <c r="F28" s="18">
        <v>-0.23327070666666599</v>
      </c>
      <c r="G28" s="18">
        <v>-0.16666600000000001</v>
      </c>
      <c r="H28" s="302">
        <v>-929.625</v>
      </c>
      <c r="I28" s="16" t="s">
        <v>322</v>
      </c>
    </row>
    <row r="29" spans="2:11" ht="15.75" thickBot="1" x14ac:dyDescent="0.3">
      <c r="B29" s="334"/>
      <c r="C29" s="251"/>
      <c r="D29" s="310"/>
      <c r="E29" s="335">
        <v>2</v>
      </c>
      <c r="F29" s="251">
        <v>-0.23327070666666599</v>
      </c>
      <c r="G29" s="251">
        <v>0.16666600000000001</v>
      </c>
      <c r="H29" s="336">
        <v>557.77499999999998</v>
      </c>
    </row>
    <row r="30" spans="2:11" x14ac:dyDescent="0.25">
      <c r="B30" s="321"/>
      <c r="C30" s="18">
        <v>127.2</v>
      </c>
      <c r="D30" s="305">
        <v>59</v>
      </c>
      <c r="E30" s="332">
        <v>0</v>
      </c>
      <c r="F30" s="18">
        <v>0</v>
      </c>
      <c r="G30" s="18">
        <v>0</v>
      </c>
      <c r="H30" s="302">
        <v>-364.5</v>
      </c>
      <c r="I30" s="16" t="s">
        <v>322</v>
      </c>
    </row>
    <row r="31" spans="2:11" x14ac:dyDescent="0.25">
      <c r="B31" s="321" t="s">
        <v>303</v>
      </c>
      <c r="C31" s="18"/>
      <c r="D31" s="305"/>
      <c r="E31" s="332">
        <v>1</v>
      </c>
      <c r="F31" s="18">
        <v>0.93308282666666598</v>
      </c>
      <c r="G31" s="18">
        <v>0.66666000000000003</v>
      </c>
      <c r="H31" s="302">
        <v>-327.3</v>
      </c>
    </row>
    <row r="32" spans="2:11" x14ac:dyDescent="0.25">
      <c r="B32" s="321"/>
      <c r="C32" s="18"/>
      <c r="D32" s="305"/>
      <c r="E32" s="332">
        <v>2</v>
      </c>
      <c r="F32" s="18">
        <v>0.93308282666666598</v>
      </c>
      <c r="G32" s="18">
        <v>0.66666000000000003</v>
      </c>
      <c r="H32" s="302">
        <v>-162.9</v>
      </c>
    </row>
    <row r="33" spans="1:24" ht="15.75" thickBot="1" x14ac:dyDescent="0.3">
      <c r="B33" s="334"/>
      <c r="C33" s="251"/>
      <c r="D33" s="310"/>
      <c r="E33" s="335">
        <v>3</v>
      </c>
      <c r="F33" s="251">
        <v>0.93308282666666598</v>
      </c>
      <c r="G33" s="251">
        <v>0.66666000000000003</v>
      </c>
      <c r="H33" s="336">
        <v>308.7</v>
      </c>
    </row>
    <row r="34" spans="1:24" x14ac:dyDescent="0.25">
      <c r="B34" s="321"/>
      <c r="C34" s="18">
        <v>189.7296</v>
      </c>
      <c r="D34" s="305">
        <v>44.540799999999997</v>
      </c>
      <c r="E34" s="332">
        <v>0</v>
      </c>
      <c r="F34" s="18">
        <v>0</v>
      </c>
      <c r="G34" s="18">
        <v>0</v>
      </c>
      <c r="H34" s="302">
        <v>-655.81</v>
      </c>
      <c r="I34" s="16" t="s">
        <v>333</v>
      </c>
    </row>
    <row r="35" spans="1:24" x14ac:dyDescent="0.25">
      <c r="B35" s="321" t="s">
        <v>70</v>
      </c>
      <c r="C35" s="18"/>
      <c r="D35" s="305"/>
      <c r="E35" s="332">
        <v>1</v>
      </c>
      <c r="F35" s="18">
        <v>0.55984969600000001</v>
      </c>
      <c r="G35" s="18">
        <v>0.4</v>
      </c>
      <c r="H35" s="302">
        <v>-510.62119999999999</v>
      </c>
    </row>
    <row r="36" spans="1:24" x14ac:dyDescent="0.25">
      <c r="B36" s="321"/>
      <c r="C36" s="18"/>
      <c r="D36" s="305"/>
      <c r="E36" s="332">
        <v>2</v>
      </c>
      <c r="F36" s="18">
        <v>0.55984969600000001</v>
      </c>
      <c r="G36" s="18">
        <v>0.4</v>
      </c>
      <c r="H36" s="302">
        <v>-175.7028</v>
      </c>
    </row>
    <row r="37" spans="1:24" ht="15.75" thickBot="1" x14ac:dyDescent="0.3">
      <c r="B37" s="334"/>
      <c r="C37" s="251"/>
      <c r="D37" s="310"/>
      <c r="E37" s="335">
        <v>3</v>
      </c>
      <c r="F37" s="251">
        <v>0.55984969600000001</v>
      </c>
      <c r="G37" s="251">
        <v>0.4</v>
      </c>
      <c r="H37" s="336">
        <v>438.02679999999998</v>
      </c>
    </row>
    <row r="38" spans="1:24" x14ac:dyDescent="0.25">
      <c r="B38" s="321"/>
      <c r="C38" s="18">
        <v>-12.028</v>
      </c>
      <c r="D38" s="305">
        <v>59.533000000000001</v>
      </c>
      <c r="E38" s="332">
        <v>1</v>
      </c>
      <c r="F38" s="18">
        <v>2.9392109039999998</v>
      </c>
      <c r="G38" s="18">
        <v>2.1</v>
      </c>
      <c r="H38" s="302">
        <v>104.82</v>
      </c>
      <c r="I38" s="16" t="s">
        <v>334</v>
      </c>
    </row>
    <row r="39" spans="1:24" x14ac:dyDescent="0.25">
      <c r="B39" s="321" t="s">
        <v>304</v>
      </c>
      <c r="C39" s="18"/>
      <c r="D39" s="305"/>
      <c r="E39" s="332">
        <v>2</v>
      </c>
      <c r="F39" s="18">
        <v>1.539586664</v>
      </c>
      <c r="G39" s="18">
        <v>1.09999</v>
      </c>
      <c r="H39" s="302">
        <v>33.137700000000002</v>
      </c>
    </row>
    <row r="40" spans="1:24" x14ac:dyDescent="0.25">
      <c r="B40" s="308"/>
      <c r="C40" s="18"/>
      <c r="D40" s="305"/>
      <c r="E40" s="332">
        <v>3</v>
      </c>
      <c r="F40" s="18">
        <v>1.1896806040000001</v>
      </c>
      <c r="G40" s="18">
        <v>0.85</v>
      </c>
      <c r="H40" s="302">
        <v>-29.736149999999999</v>
      </c>
    </row>
    <row r="41" spans="1:24" ht="15.75" thickBot="1" x14ac:dyDescent="0.3">
      <c r="B41" s="309"/>
      <c r="C41" s="146"/>
      <c r="D41" s="306"/>
      <c r="E41" s="333">
        <v>4</v>
      </c>
      <c r="F41" s="146">
        <v>1.0497181799999999</v>
      </c>
      <c r="G41" s="146">
        <v>0.75</v>
      </c>
      <c r="H41" s="303">
        <v>-30.22175</v>
      </c>
    </row>
    <row r="42" spans="1:24" ht="16.5" thickTop="1" thickBot="1" x14ac:dyDescent="0.3"/>
    <row r="43" spans="1:24" ht="15.75" thickBot="1" x14ac:dyDescent="0.3">
      <c r="A43" s="312"/>
      <c r="B43" s="318" t="s">
        <v>330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</row>
    <row r="44" spans="1:24" ht="15.75" thickBot="1" x14ac:dyDescent="0.3"/>
    <row r="45" spans="1:24" ht="16.5" thickTop="1" thickBot="1" x14ac:dyDescent="0.3">
      <c r="B45" s="315" t="s">
        <v>307</v>
      </c>
      <c r="C45" s="316" t="s">
        <v>308</v>
      </c>
      <c r="D45" s="316" t="s">
        <v>318</v>
      </c>
      <c r="E45" s="317" t="s">
        <v>319</v>
      </c>
      <c r="F45" s="18"/>
      <c r="G45" s="18"/>
      <c r="K45" s="328" t="s">
        <v>306</v>
      </c>
    </row>
    <row r="46" spans="1:24" ht="15.75" thickBot="1" x14ac:dyDescent="0.3">
      <c r="B46" s="329" t="s">
        <v>58</v>
      </c>
      <c r="C46" s="325" t="s">
        <v>53</v>
      </c>
      <c r="D46" s="18">
        <v>348.6</v>
      </c>
      <c r="E46" s="302">
        <f>$K$6+D46*0.000001</f>
        <v>607.42653859999996</v>
      </c>
      <c r="F46" s="18" t="s">
        <v>321</v>
      </c>
      <c r="G46" s="18"/>
      <c r="K46" s="314">
        <v>1.5</v>
      </c>
    </row>
    <row r="47" spans="1:24" ht="16.5" thickTop="1" thickBot="1" x14ac:dyDescent="0.3">
      <c r="B47" s="337"/>
      <c r="C47" s="338" t="s">
        <v>70</v>
      </c>
      <c r="D47" s="18">
        <v>82.7</v>
      </c>
      <c r="E47" s="302">
        <f t="shared" ref="E47:E52" si="1">$K$6+D47*0.000001</f>
        <v>607.42627269999991</v>
      </c>
      <c r="F47" s="18" t="s">
        <v>322</v>
      </c>
      <c r="G47" s="18"/>
      <c r="H47" s="19"/>
      <c r="J47" s="19"/>
    </row>
    <row r="48" spans="1:24" x14ac:dyDescent="0.25">
      <c r="B48" s="329"/>
      <c r="C48" s="326" t="s">
        <v>53</v>
      </c>
      <c r="D48" s="18">
        <v>360.7</v>
      </c>
      <c r="E48" s="302">
        <f t="shared" si="1"/>
        <v>607.42655069999989</v>
      </c>
      <c r="F48" s="18" t="s">
        <v>321</v>
      </c>
      <c r="G48" s="18"/>
      <c r="H48" s="19"/>
    </row>
    <row r="49" spans="2:9" x14ac:dyDescent="0.25">
      <c r="B49" s="329" t="s">
        <v>303</v>
      </c>
      <c r="C49" s="326" t="s">
        <v>70</v>
      </c>
      <c r="D49" s="18">
        <v>-96.9</v>
      </c>
      <c r="E49" s="302">
        <f t="shared" si="1"/>
        <v>607.42609309999989</v>
      </c>
      <c r="F49" s="18" t="s">
        <v>323</v>
      </c>
      <c r="G49" s="18"/>
      <c r="H49" s="19"/>
    </row>
    <row r="50" spans="2:9" ht="15.75" thickBot="1" x14ac:dyDescent="0.3">
      <c r="B50" s="337"/>
      <c r="C50" s="338" t="s">
        <v>304</v>
      </c>
      <c r="D50" s="18">
        <v>-103.8</v>
      </c>
      <c r="E50" s="302">
        <f t="shared" si="1"/>
        <v>607.42608619999987</v>
      </c>
      <c r="F50" s="18" t="s">
        <v>323</v>
      </c>
      <c r="G50" s="18"/>
      <c r="H50" s="19"/>
    </row>
    <row r="51" spans="2:9" x14ac:dyDescent="0.25">
      <c r="B51" s="329" t="s">
        <v>304</v>
      </c>
      <c r="C51" s="326" t="s">
        <v>53</v>
      </c>
      <c r="D51" s="18" t="s">
        <v>305</v>
      </c>
      <c r="E51" s="302" t="e">
        <f t="shared" si="1"/>
        <v>#VALUE!</v>
      </c>
      <c r="F51" s="18"/>
      <c r="G51" s="18"/>
      <c r="H51" s="19"/>
    </row>
    <row r="52" spans="2:9" ht="15.75" thickBot="1" x14ac:dyDescent="0.3">
      <c r="B52" s="330"/>
      <c r="C52" s="327" t="s">
        <v>70</v>
      </c>
      <c r="D52" s="146" t="s">
        <v>305</v>
      </c>
      <c r="E52" s="303" t="e">
        <f t="shared" si="1"/>
        <v>#VALUE!</v>
      </c>
      <c r="F52" s="18"/>
      <c r="G52" s="18"/>
      <c r="H52" s="19"/>
    </row>
    <row r="53" spans="2:9" ht="16.5" thickTop="1" thickBot="1" x14ac:dyDescent="0.3"/>
    <row r="54" spans="2:9" ht="16.5" thickTop="1" thickBot="1" x14ac:dyDescent="0.3">
      <c r="B54" s="315" t="s">
        <v>301</v>
      </c>
      <c r="C54" s="316" t="s">
        <v>328</v>
      </c>
      <c r="D54" s="316" t="s">
        <v>329</v>
      </c>
      <c r="E54" s="316" t="s">
        <v>54</v>
      </c>
      <c r="F54" s="316" t="s">
        <v>310</v>
      </c>
      <c r="G54" s="316" t="s">
        <v>331</v>
      </c>
      <c r="H54" s="317" t="s">
        <v>327</v>
      </c>
    </row>
    <row r="55" spans="2:9" x14ac:dyDescent="0.25">
      <c r="B55" s="320" t="s">
        <v>53</v>
      </c>
      <c r="C55" s="18">
        <v>3591.67011718</v>
      </c>
      <c r="D55" s="304">
        <v>0</v>
      </c>
      <c r="E55" s="331">
        <v>1</v>
      </c>
      <c r="F55" s="18">
        <v>-0.69981212000000004</v>
      </c>
      <c r="G55" s="18">
        <v>-0.5</v>
      </c>
      <c r="H55" s="302">
        <v>-4489.59</v>
      </c>
      <c r="I55" s="16" t="s">
        <v>335</v>
      </c>
    </row>
    <row r="56" spans="2:9" ht="15.75" thickBot="1" x14ac:dyDescent="0.3">
      <c r="B56" s="334"/>
      <c r="C56" s="251"/>
      <c r="D56" s="310"/>
      <c r="E56" s="335">
        <v>2</v>
      </c>
      <c r="F56" s="251">
        <v>-0.69981212000000004</v>
      </c>
      <c r="G56" s="251">
        <v>0.5</v>
      </c>
      <c r="H56" s="336">
        <v>2693.75</v>
      </c>
    </row>
    <row r="57" spans="2:9" x14ac:dyDescent="0.25">
      <c r="B57" s="321" t="s">
        <v>58</v>
      </c>
      <c r="C57" s="18">
        <v>664.6</v>
      </c>
      <c r="D57" s="305">
        <v>0</v>
      </c>
      <c r="E57" s="332">
        <v>1</v>
      </c>
      <c r="F57" s="18">
        <v>-0.23327070666666599</v>
      </c>
      <c r="G57" s="18">
        <v>-0.16666600000000001</v>
      </c>
      <c r="H57" s="302">
        <v>-830.75</v>
      </c>
      <c r="I57" s="16" t="s">
        <v>322</v>
      </c>
    </row>
    <row r="58" spans="2:9" ht="15.75" thickBot="1" x14ac:dyDescent="0.3">
      <c r="B58" s="334"/>
      <c r="C58" s="307"/>
      <c r="D58" s="307"/>
      <c r="E58" s="335">
        <v>2</v>
      </c>
      <c r="F58" s="251">
        <v>-0.23327070666666599</v>
      </c>
      <c r="G58" s="251">
        <v>0.16666600000000001</v>
      </c>
      <c r="H58" s="336">
        <v>498.45</v>
      </c>
    </row>
    <row r="59" spans="2:9" x14ac:dyDescent="0.25">
      <c r="B59" s="321"/>
      <c r="C59" s="18">
        <v>113</v>
      </c>
      <c r="D59" s="305">
        <v>59</v>
      </c>
      <c r="E59" s="332">
        <v>0</v>
      </c>
      <c r="F59" s="18">
        <v>0</v>
      </c>
      <c r="G59" s="18">
        <v>0</v>
      </c>
      <c r="H59" s="302">
        <v>-350</v>
      </c>
      <c r="I59" s="16" t="s">
        <v>322</v>
      </c>
    </row>
    <row r="60" spans="2:9" x14ac:dyDescent="0.25">
      <c r="B60" s="321" t="s">
        <v>303</v>
      </c>
      <c r="C60" s="18"/>
      <c r="D60" s="305"/>
      <c r="E60" s="332">
        <v>1</v>
      </c>
      <c r="F60" s="18">
        <v>0.93308282666666598</v>
      </c>
      <c r="G60" s="18">
        <v>0.66666000000000003</v>
      </c>
      <c r="H60" s="302">
        <v>-296</v>
      </c>
    </row>
    <row r="61" spans="2:9" x14ac:dyDescent="0.25">
      <c r="B61" s="321"/>
      <c r="D61" s="305"/>
      <c r="E61" s="332">
        <v>2</v>
      </c>
      <c r="F61" s="18">
        <v>0.93308282666666598</v>
      </c>
      <c r="G61" s="18">
        <v>0.66666000000000003</v>
      </c>
      <c r="H61" s="302">
        <v>-129</v>
      </c>
    </row>
    <row r="62" spans="2:9" ht="15.75" thickBot="1" x14ac:dyDescent="0.3">
      <c r="B62" s="334"/>
      <c r="C62" s="251"/>
      <c r="D62" s="310"/>
      <c r="E62" s="335">
        <v>3</v>
      </c>
      <c r="F62" s="251">
        <v>0.93308282666666598</v>
      </c>
      <c r="G62" s="251">
        <v>0.66666000000000003</v>
      </c>
      <c r="H62" s="336">
        <v>269</v>
      </c>
    </row>
    <row r="63" spans="2:9" x14ac:dyDescent="0.25">
      <c r="B63" s="321"/>
      <c r="C63" s="18">
        <v>169.5898</v>
      </c>
      <c r="D63" s="305">
        <v>28.9528</v>
      </c>
      <c r="E63" s="332">
        <v>0</v>
      </c>
      <c r="F63" s="18">
        <v>0</v>
      </c>
      <c r="G63" s="18">
        <v>0</v>
      </c>
      <c r="H63" s="302">
        <v>-599.77</v>
      </c>
      <c r="I63" s="16" t="s">
        <v>333</v>
      </c>
    </row>
    <row r="64" spans="2:9" x14ac:dyDescent="0.25">
      <c r="B64" s="321" t="s">
        <v>70</v>
      </c>
      <c r="C64" s="18"/>
      <c r="D64" s="305"/>
      <c r="E64" s="332">
        <v>1</v>
      </c>
      <c r="F64" s="18">
        <v>0.55984969600000001</v>
      </c>
      <c r="G64" s="18">
        <v>0.4</v>
      </c>
      <c r="H64" s="302">
        <v>-459.12</v>
      </c>
    </row>
    <row r="65" spans="1:24" x14ac:dyDescent="0.25">
      <c r="B65" s="321"/>
      <c r="C65" s="18"/>
      <c r="D65" s="305"/>
      <c r="E65" s="332">
        <v>2</v>
      </c>
      <c r="F65" s="18">
        <v>0.55984969600000001</v>
      </c>
      <c r="G65" s="18">
        <v>0.4</v>
      </c>
      <c r="H65" s="302">
        <v>-148.91</v>
      </c>
    </row>
    <row r="66" spans="1:24" ht="15.75" thickBot="1" x14ac:dyDescent="0.3">
      <c r="B66" s="334"/>
      <c r="C66" s="307"/>
      <c r="D66" s="310"/>
      <c r="E66" s="335">
        <v>3</v>
      </c>
      <c r="F66" s="251">
        <v>0.55984969600000001</v>
      </c>
      <c r="G66" s="251">
        <v>0.4</v>
      </c>
      <c r="H66" s="336">
        <v>388.82</v>
      </c>
    </row>
    <row r="67" spans="1:24" x14ac:dyDescent="0.25">
      <c r="B67" s="321"/>
      <c r="C67" s="18">
        <v>-10.734999999999999</v>
      </c>
      <c r="D67" s="305">
        <v>38.392000000000003</v>
      </c>
      <c r="E67" s="332">
        <v>1</v>
      </c>
      <c r="F67" s="18">
        <v>2.9392109039999998</v>
      </c>
      <c r="G67" s="18">
        <v>2.1</v>
      </c>
      <c r="H67" s="302">
        <v>83.44</v>
      </c>
      <c r="I67" s="16" t="s">
        <v>333</v>
      </c>
    </row>
    <row r="68" spans="1:24" x14ac:dyDescent="0.25">
      <c r="B68" s="321" t="s">
        <v>304</v>
      </c>
      <c r="C68" s="18"/>
      <c r="E68" s="332">
        <v>2</v>
      </c>
      <c r="F68" s="18">
        <v>1.539586664</v>
      </c>
      <c r="G68" s="18">
        <v>1.09999</v>
      </c>
      <c r="H68" s="302">
        <v>31.02</v>
      </c>
    </row>
    <row r="69" spans="1:24" x14ac:dyDescent="0.25">
      <c r="B69" s="308"/>
      <c r="C69" s="18"/>
      <c r="D69" s="305"/>
      <c r="E69" s="332">
        <v>3</v>
      </c>
      <c r="F69" s="18">
        <v>1.1896806040000001</v>
      </c>
      <c r="G69" s="18">
        <v>0.85</v>
      </c>
      <c r="H69" s="302">
        <v>-18.600000000000001</v>
      </c>
    </row>
    <row r="70" spans="1:24" ht="15.75" thickBot="1" x14ac:dyDescent="0.3">
      <c r="B70" s="309"/>
      <c r="C70" s="146"/>
      <c r="D70" s="306"/>
      <c r="E70" s="333">
        <v>4</v>
      </c>
      <c r="F70" s="146">
        <v>1.0497181799999999</v>
      </c>
      <c r="G70" s="146">
        <v>0.75</v>
      </c>
      <c r="H70" s="303">
        <v>-30.58</v>
      </c>
    </row>
    <row r="71" spans="1:24" ht="16.5" thickTop="1" thickBot="1" x14ac:dyDescent="0.3"/>
    <row r="72" spans="1:24" ht="15.75" thickBot="1" x14ac:dyDescent="0.3">
      <c r="A72" s="312"/>
      <c r="B72" s="318" t="s">
        <v>47</v>
      </c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</row>
    <row r="73" spans="1:24" ht="15.75" thickBot="1" x14ac:dyDescent="0.3"/>
    <row r="74" spans="1:24" ht="16.5" thickTop="1" thickBot="1" x14ac:dyDescent="0.3">
      <c r="B74" s="315" t="s">
        <v>307</v>
      </c>
      <c r="C74" s="316" t="s">
        <v>308</v>
      </c>
      <c r="D74" s="316" t="s">
        <v>318</v>
      </c>
      <c r="E74" s="317" t="s">
        <v>319</v>
      </c>
      <c r="F74" s="18"/>
      <c r="G74" s="18"/>
      <c r="K74" s="328" t="s">
        <v>306</v>
      </c>
    </row>
    <row r="75" spans="1:24" ht="15.75" thickBot="1" x14ac:dyDescent="0.3">
      <c r="B75" s="329" t="s">
        <v>58</v>
      </c>
      <c r="C75" s="325" t="s">
        <v>53</v>
      </c>
      <c r="D75" s="18">
        <v>348.6</v>
      </c>
      <c r="E75" s="302">
        <f>$K$6+D75*0.000001</f>
        <v>607.42653859999996</v>
      </c>
      <c r="F75" s="18" t="s">
        <v>321</v>
      </c>
      <c r="G75" s="18"/>
      <c r="K75" s="314">
        <v>0.5</v>
      </c>
    </row>
    <row r="76" spans="1:24" ht="16.5" thickTop="1" thickBot="1" x14ac:dyDescent="0.3">
      <c r="B76" s="337"/>
      <c r="C76" s="338" t="s">
        <v>70</v>
      </c>
      <c r="D76" s="18">
        <v>82.7</v>
      </c>
      <c r="E76" s="302">
        <f t="shared" ref="E76:E81" si="2">$K$6+D76*0.000001</f>
        <v>607.42627269999991</v>
      </c>
      <c r="F76" s="18" t="s">
        <v>322</v>
      </c>
      <c r="G76" s="18"/>
      <c r="H76" s="19"/>
      <c r="J76" s="19"/>
    </row>
    <row r="77" spans="1:24" x14ac:dyDescent="0.25">
      <c r="B77" s="329"/>
      <c r="C77" s="326" t="s">
        <v>53</v>
      </c>
      <c r="D77" s="18">
        <v>360.7</v>
      </c>
      <c r="E77" s="302">
        <f t="shared" si="2"/>
        <v>607.42655069999989</v>
      </c>
      <c r="F77" s="18" t="s">
        <v>321</v>
      </c>
      <c r="G77" s="18"/>
      <c r="H77" s="19"/>
    </row>
    <row r="78" spans="1:24" x14ac:dyDescent="0.25">
      <c r="B78" s="329" t="s">
        <v>303</v>
      </c>
      <c r="C78" s="326" t="s">
        <v>70</v>
      </c>
      <c r="D78" s="18">
        <v>-96.9</v>
      </c>
      <c r="E78" s="302">
        <f t="shared" si="2"/>
        <v>607.42609309999989</v>
      </c>
      <c r="F78" s="18" t="s">
        <v>323</v>
      </c>
      <c r="G78" s="18"/>
      <c r="H78" s="19"/>
    </row>
    <row r="79" spans="1:24" ht="15.75" thickBot="1" x14ac:dyDescent="0.3">
      <c r="B79" s="337"/>
      <c r="C79" s="338" t="s">
        <v>304</v>
      </c>
      <c r="D79" s="18">
        <v>-103.8</v>
      </c>
      <c r="E79" s="302">
        <f t="shared" si="2"/>
        <v>607.42608619999987</v>
      </c>
      <c r="F79" s="18" t="s">
        <v>323</v>
      </c>
      <c r="G79" s="18"/>
      <c r="H79" s="19"/>
    </row>
    <row r="80" spans="1:24" x14ac:dyDescent="0.25">
      <c r="B80" s="329" t="s">
        <v>304</v>
      </c>
      <c r="C80" s="326" t="s">
        <v>53</v>
      </c>
      <c r="D80" s="18" t="s">
        <v>305</v>
      </c>
      <c r="E80" s="302" t="e">
        <f t="shared" si="2"/>
        <v>#VALUE!</v>
      </c>
      <c r="F80" s="18"/>
      <c r="G80" s="18"/>
      <c r="H80" s="19"/>
    </row>
    <row r="81" spans="2:9" ht="15.75" thickBot="1" x14ac:dyDescent="0.3">
      <c r="B81" s="330"/>
      <c r="C81" s="327" t="s">
        <v>70</v>
      </c>
      <c r="D81" s="146" t="s">
        <v>305</v>
      </c>
      <c r="E81" s="303" t="e">
        <f t="shared" si="2"/>
        <v>#VALUE!</v>
      </c>
      <c r="F81" s="18"/>
      <c r="G81" s="18"/>
      <c r="H81" s="19"/>
    </row>
    <row r="82" spans="2:9" ht="16.5" thickTop="1" thickBot="1" x14ac:dyDescent="0.3"/>
    <row r="83" spans="2:9" ht="16.5" thickTop="1" thickBot="1" x14ac:dyDescent="0.3">
      <c r="B83" s="315" t="s">
        <v>301</v>
      </c>
      <c r="C83" s="316" t="s">
        <v>328</v>
      </c>
      <c r="D83" s="316" t="s">
        <v>329</v>
      </c>
      <c r="E83" s="316" t="s">
        <v>54</v>
      </c>
      <c r="F83" s="316" t="s">
        <v>310</v>
      </c>
      <c r="G83" s="316" t="s">
        <v>331</v>
      </c>
      <c r="H83" s="317" t="s">
        <v>327</v>
      </c>
    </row>
    <row r="84" spans="2:9" x14ac:dyDescent="0.25">
      <c r="B84" s="320" t="s">
        <v>53</v>
      </c>
      <c r="C84" s="18">
        <v>-9925.4535545899998</v>
      </c>
      <c r="D84" s="304" t="s">
        <v>305</v>
      </c>
      <c r="E84" s="331">
        <v>0</v>
      </c>
      <c r="F84" s="18">
        <v>0</v>
      </c>
      <c r="G84" s="18">
        <v>0</v>
      </c>
      <c r="H84" s="302">
        <v>7444.09</v>
      </c>
      <c r="I84" s="16" t="s">
        <v>336</v>
      </c>
    </row>
    <row r="85" spans="2:9" ht="15.75" thickBot="1" x14ac:dyDescent="0.3">
      <c r="B85" s="334"/>
      <c r="C85" s="251"/>
      <c r="D85" s="310"/>
      <c r="E85" s="335">
        <v>1</v>
      </c>
      <c r="F85" s="251">
        <v>1.3996246240000001</v>
      </c>
      <c r="G85" s="251">
        <v>1</v>
      </c>
      <c r="H85" s="336">
        <v>-2481.3634000000002</v>
      </c>
    </row>
    <row r="86" spans="2:9" x14ac:dyDescent="0.25">
      <c r="B86" s="321" t="s">
        <v>58</v>
      </c>
      <c r="C86" s="18">
        <v>-1840</v>
      </c>
      <c r="D86" s="305" t="s">
        <v>305</v>
      </c>
      <c r="E86" s="332">
        <v>0</v>
      </c>
      <c r="F86" s="18">
        <v>0</v>
      </c>
      <c r="G86" s="18">
        <v>0</v>
      </c>
      <c r="H86" s="302">
        <v>1380</v>
      </c>
      <c r="I86" s="16" t="s">
        <v>336</v>
      </c>
    </row>
    <row r="87" spans="2:9" ht="15.75" thickBot="1" x14ac:dyDescent="0.3">
      <c r="B87" s="334"/>
      <c r="C87" s="307"/>
      <c r="D87" s="307"/>
      <c r="E87" s="335">
        <v>1</v>
      </c>
      <c r="F87" s="251">
        <v>0.46654107479179202</v>
      </c>
      <c r="G87" s="251">
        <v>0.33333299999999999</v>
      </c>
      <c r="H87" s="336">
        <v>-460</v>
      </c>
    </row>
    <row r="88" spans="2:9" x14ac:dyDescent="0.25">
      <c r="B88" s="321" t="s">
        <v>303</v>
      </c>
      <c r="C88" s="18" t="s">
        <v>305</v>
      </c>
      <c r="D88" s="305" t="s">
        <v>305</v>
      </c>
      <c r="E88" s="332">
        <v>1</v>
      </c>
      <c r="F88" s="18">
        <v>2.3327067735835842</v>
      </c>
      <c r="G88" s="18">
        <v>1.666666</v>
      </c>
      <c r="H88" s="302" t="s">
        <v>305</v>
      </c>
    </row>
    <row r="89" spans="2:9" ht="15.75" thickBot="1" x14ac:dyDescent="0.3">
      <c r="B89" s="334"/>
      <c r="C89" s="251"/>
      <c r="D89" s="310"/>
      <c r="E89" s="335">
        <v>2</v>
      </c>
      <c r="F89" s="251">
        <v>1.3996246240000001</v>
      </c>
      <c r="G89" s="251">
        <v>1</v>
      </c>
      <c r="H89" s="336" t="s">
        <v>305</v>
      </c>
    </row>
    <row r="90" spans="2:9" x14ac:dyDescent="0.25">
      <c r="B90" s="321" t="s">
        <v>70</v>
      </c>
      <c r="C90" s="18">
        <v>-468.5</v>
      </c>
      <c r="D90" s="305" t="s">
        <v>305</v>
      </c>
      <c r="E90" s="332">
        <v>1</v>
      </c>
      <c r="F90" s="18">
        <v>1.3996246240000001</v>
      </c>
      <c r="G90" s="18">
        <v>1</v>
      </c>
      <c r="H90" s="302" t="s">
        <v>305</v>
      </c>
      <c r="I90" s="16" t="s">
        <v>326</v>
      </c>
    </row>
    <row r="91" spans="2:9" ht="15.75" thickBot="1" x14ac:dyDescent="0.3">
      <c r="B91" s="334"/>
      <c r="C91" s="251"/>
      <c r="D91" s="310"/>
      <c r="E91" s="335">
        <v>2</v>
      </c>
      <c r="F91" s="251">
        <v>8.3977477440000001</v>
      </c>
      <c r="G91" s="251">
        <v>6</v>
      </c>
      <c r="H91" s="336" t="s">
        <v>305</v>
      </c>
    </row>
    <row r="92" spans="2:9" x14ac:dyDescent="0.25">
      <c r="B92" s="320" t="s">
        <v>304</v>
      </c>
      <c r="C92" s="18" t="s">
        <v>305</v>
      </c>
      <c r="D92" s="305" t="s">
        <v>305</v>
      </c>
      <c r="E92" s="332">
        <v>2</v>
      </c>
      <c r="F92" s="18">
        <v>1.9594744736</v>
      </c>
      <c r="G92" s="18">
        <v>1.4</v>
      </c>
      <c r="H92" s="302">
        <v>585.625</v>
      </c>
    </row>
    <row r="93" spans="2:9" ht="15.75" thickBot="1" x14ac:dyDescent="0.3">
      <c r="B93" s="340"/>
      <c r="C93" s="146"/>
      <c r="D93" s="301"/>
      <c r="E93" s="333">
        <v>3</v>
      </c>
      <c r="F93" s="146">
        <v>1.3996246240000001</v>
      </c>
      <c r="G93" s="146">
        <v>1</v>
      </c>
      <c r="H93" s="303">
        <v>-351.375</v>
      </c>
    </row>
    <row r="94" spans="2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activeCell="A34" sqref="A34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6" t="s">
        <v>60</v>
      </c>
      <c r="C1" s="16"/>
      <c r="D1" s="16"/>
      <c r="E1" s="16"/>
      <c r="F1" s="226" t="s">
        <v>47</v>
      </c>
      <c r="G1" s="16"/>
      <c r="H1" s="16"/>
    </row>
    <row r="2" spans="1:8" ht="15.75" thickTop="1" x14ac:dyDescent="0.25">
      <c r="A2" s="219"/>
      <c r="B2" s="220" t="s">
        <v>79</v>
      </c>
      <c r="C2" s="221"/>
      <c r="D2" s="16"/>
      <c r="E2" s="219"/>
      <c r="F2" s="220" t="s">
        <v>79</v>
      </c>
      <c r="G2" s="221"/>
      <c r="H2" s="16"/>
    </row>
    <row r="3" spans="1:8" x14ac:dyDescent="0.25">
      <c r="A3" s="222" t="s">
        <v>81</v>
      </c>
      <c r="B3" s="223" t="s">
        <v>82</v>
      </c>
      <c r="C3" s="224" t="s">
        <v>101</v>
      </c>
      <c r="D3" s="16"/>
      <c r="E3" s="222" t="s">
        <v>105</v>
      </c>
      <c r="F3" s="223" t="s">
        <v>103</v>
      </c>
      <c r="G3" s="224" t="s">
        <v>104</v>
      </c>
      <c r="H3" s="16"/>
    </row>
    <row r="4" spans="1:8" x14ac:dyDescent="0.25">
      <c r="A4" s="148"/>
      <c r="B4" s="16" t="s">
        <v>102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5"/>
      <c r="B19" s="220" t="s">
        <v>80</v>
      </c>
      <c r="C19" s="221"/>
      <c r="D19" s="16"/>
      <c r="E19" s="225"/>
      <c r="F19" s="220" t="s">
        <v>80</v>
      </c>
      <c r="G19" s="221"/>
      <c r="H19" s="16"/>
    </row>
    <row r="20" spans="1:8" x14ac:dyDescent="0.25">
      <c r="A20" s="222" t="s">
        <v>83</v>
      </c>
      <c r="B20" s="223" t="s">
        <v>84</v>
      </c>
      <c r="C20" s="224"/>
      <c r="D20" s="16"/>
      <c r="E20" s="222" t="s">
        <v>220</v>
      </c>
      <c r="F20" s="223" t="s">
        <v>221</v>
      </c>
      <c r="G20" s="224"/>
      <c r="H20" s="16"/>
    </row>
    <row r="21" spans="1:8" x14ac:dyDescent="0.25">
      <c r="A21" s="148"/>
      <c r="B21" s="16"/>
      <c r="C21" s="147"/>
      <c r="D21" s="195"/>
      <c r="E21" s="17"/>
      <c r="F21" s="17"/>
      <c r="G21" s="196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O38"/>
  <sheetViews>
    <sheetView workbookViewId="0">
      <selection activeCell="H5" sqref="H5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41" ht="15.75" thickBot="1" x14ac:dyDescent="0.3"/>
    <row r="2" spans="1:41" ht="15.75" thickBot="1" x14ac:dyDescent="0.3">
      <c r="A2" s="292"/>
      <c r="B2" s="294"/>
      <c r="C2" s="295"/>
      <c r="D2" s="295" t="s">
        <v>285</v>
      </c>
      <c r="E2" s="291"/>
      <c r="F2" s="293"/>
      <c r="G2" s="293"/>
      <c r="H2" s="293"/>
      <c r="I2" s="293"/>
      <c r="J2" s="293"/>
      <c r="K2" s="293"/>
      <c r="L2" s="293"/>
      <c r="M2" s="29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</row>
    <row r="3" spans="1:41" ht="15.75" thickBot="1" x14ac:dyDescent="0.3"/>
    <row r="4" spans="1:41" ht="15.75" thickTop="1" x14ac:dyDescent="0.25">
      <c r="H4" s="58" t="s">
        <v>51</v>
      </c>
      <c r="I4" s="59" t="s">
        <v>52</v>
      </c>
      <c r="J4" s="18"/>
      <c r="Q4" s="137"/>
      <c r="R4" s="138"/>
      <c r="S4" s="138" t="s">
        <v>47</v>
      </c>
      <c r="T4" s="138"/>
      <c r="U4" s="139"/>
    </row>
    <row r="5" spans="1:41" ht="15.75" thickBot="1" x14ac:dyDescent="0.3">
      <c r="H5" s="60">
        <v>1833</v>
      </c>
      <c r="I5" s="57">
        <f>I20+H5*10^-6</f>
        <v>607.42780300000004</v>
      </c>
      <c r="J5" s="18"/>
      <c r="Q5" s="140"/>
      <c r="R5" s="19"/>
      <c r="S5" s="19"/>
      <c r="T5" s="19"/>
      <c r="U5" s="141"/>
    </row>
    <row r="6" spans="1:41" ht="16.5" thickTop="1" thickBot="1" x14ac:dyDescent="0.3">
      <c r="A6" s="19"/>
      <c r="B6" s="43" t="s">
        <v>47</v>
      </c>
      <c r="C6" s="22"/>
      <c r="D6" s="22"/>
      <c r="E6" s="32" t="s">
        <v>53</v>
      </c>
      <c r="F6" s="23"/>
      <c r="G6" s="18"/>
      <c r="H6" s="16"/>
      <c r="I6" s="16"/>
      <c r="J6" s="16"/>
      <c r="K6" s="42" t="s">
        <v>47</v>
      </c>
      <c r="L6" s="22"/>
      <c r="M6" s="22"/>
      <c r="N6" s="32" t="s">
        <v>53</v>
      </c>
      <c r="O6" s="23"/>
      <c r="Q6" s="140"/>
      <c r="R6" s="19"/>
      <c r="S6" s="19"/>
      <c r="T6" s="19"/>
      <c r="U6" s="141"/>
    </row>
    <row r="7" spans="1:41" ht="16.5" thickTop="1" thickBot="1" x14ac:dyDescent="0.3">
      <c r="B7" s="28"/>
      <c r="C7" s="49"/>
      <c r="D7" s="50" t="s">
        <v>54</v>
      </c>
      <c r="E7" s="50">
        <v>0</v>
      </c>
      <c r="F7" s="51">
        <v>1</v>
      </c>
      <c r="G7" s="45"/>
      <c r="H7" s="58" t="s">
        <v>55</v>
      </c>
      <c r="I7" s="59" t="s">
        <v>56</v>
      </c>
      <c r="J7" s="18"/>
      <c r="K7" s="41" t="s">
        <v>47</v>
      </c>
      <c r="L7" s="49"/>
      <c r="M7" s="50" t="s">
        <v>54</v>
      </c>
      <c r="N7" s="50">
        <v>0</v>
      </c>
      <c r="O7" s="51">
        <v>1</v>
      </c>
      <c r="Q7" s="140"/>
      <c r="R7" s="19"/>
      <c r="S7" s="19"/>
      <c r="T7" s="19"/>
      <c r="U7" s="141"/>
    </row>
    <row r="8" spans="1:41" ht="16.5" thickTop="1" thickBot="1" x14ac:dyDescent="0.3">
      <c r="B8" s="28"/>
      <c r="C8" s="52" t="s">
        <v>54</v>
      </c>
      <c r="D8" s="30" t="s">
        <v>57</v>
      </c>
      <c r="E8" s="20">
        <v>7444.09</v>
      </c>
      <c r="F8" s="25">
        <v>-2481.36</v>
      </c>
      <c r="G8" s="20"/>
      <c r="H8" s="60">
        <v>373</v>
      </c>
      <c r="I8" s="40">
        <f>-H5 + H8</f>
        <v>-1460</v>
      </c>
      <c r="J8" s="18"/>
      <c r="K8" s="24"/>
      <c r="L8" s="52" t="s">
        <v>54</v>
      </c>
      <c r="M8" s="42" t="s">
        <v>57</v>
      </c>
      <c r="N8" s="20">
        <v>7444.09</v>
      </c>
      <c r="O8" s="25">
        <v>-2481.36</v>
      </c>
      <c r="Q8" s="140"/>
      <c r="R8" s="19"/>
      <c r="S8" s="19"/>
      <c r="T8" s="19"/>
      <c r="U8" s="141"/>
    </row>
    <row r="9" spans="1:41" ht="15.75" thickTop="1" x14ac:dyDescent="0.25">
      <c r="B9" s="33" t="s">
        <v>58</v>
      </c>
      <c r="C9" s="52">
        <v>0</v>
      </c>
      <c r="D9" s="21">
        <v>1380</v>
      </c>
      <c r="E9" s="37" t="s">
        <v>59</v>
      </c>
      <c r="F9" s="34">
        <f>$D9-F$8</f>
        <v>3861.36</v>
      </c>
      <c r="G9" s="48"/>
      <c r="K9" s="41" t="s">
        <v>58</v>
      </c>
      <c r="L9" s="52">
        <v>0</v>
      </c>
      <c r="M9" s="21">
        <v>1380</v>
      </c>
      <c r="N9" s="37" t="s">
        <v>59</v>
      </c>
      <c r="O9" s="34">
        <f>$M9-O$8+ $I$8</f>
        <v>2401.36</v>
      </c>
      <c r="Q9" s="140"/>
      <c r="R9" s="19"/>
      <c r="S9" s="19"/>
      <c r="T9" s="19"/>
      <c r="U9" s="141"/>
    </row>
    <row r="10" spans="1:41" ht="15.75" thickBot="1" x14ac:dyDescent="0.3">
      <c r="B10" s="29"/>
      <c r="C10" s="53">
        <v>1</v>
      </c>
      <c r="D10" s="27">
        <v>-460</v>
      </c>
      <c r="E10" s="36">
        <f>$D10-E$8</f>
        <v>-7904.09</v>
      </c>
      <c r="F10" s="35">
        <f>$D10-F$8</f>
        <v>2021.3600000000001</v>
      </c>
      <c r="G10" s="48"/>
      <c r="K10" s="26"/>
      <c r="L10" s="53">
        <v>1</v>
      </c>
      <c r="M10" s="27">
        <v>-460</v>
      </c>
      <c r="N10" s="36">
        <f>$M10-N$8 + $I$8</f>
        <v>-9364.09</v>
      </c>
      <c r="O10" s="35">
        <f>$M10-O$8+ $I$8</f>
        <v>561.36000000000013</v>
      </c>
      <c r="Q10" s="140"/>
      <c r="R10" s="19"/>
      <c r="S10" s="19"/>
      <c r="T10" s="19"/>
      <c r="U10" s="141"/>
    </row>
    <row r="11" spans="1:41" ht="16.5" thickTop="1" thickBot="1" x14ac:dyDescent="0.3">
      <c r="M11" s="16"/>
      <c r="Q11" s="140"/>
      <c r="R11" s="19"/>
      <c r="S11" s="19"/>
      <c r="T11" s="19"/>
      <c r="U11" s="141"/>
    </row>
    <row r="12" spans="1:41" ht="16.5" thickTop="1" thickBot="1" x14ac:dyDescent="0.3">
      <c r="B12" s="43" t="s">
        <v>60</v>
      </c>
      <c r="C12" s="22"/>
      <c r="D12" s="22"/>
      <c r="E12" s="32" t="s">
        <v>53</v>
      </c>
      <c r="F12" s="23"/>
      <c r="G12" s="18"/>
      <c r="K12" s="31" t="s">
        <v>60</v>
      </c>
      <c r="L12" s="22"/>
      <c r="M12" s="22"/>
      <c r="N12" s="32" t="s">
        <v>53</v>
      </c>
      <c r="O12" s="23"/>
      <c r="Q12" s="140"/>
      <c r="R12" s="19"/>
      <c r="S12" s="19"/>
      <c r="T12" s="19"/>
      <c r="U12" s="141"/>
    </row>
    <row r="13" spans="1:41" ht="16.5" thickTop="1" thickBot="1" x14ac:dyDescent="0.3">
      <c r="B13" s="28"/>
      <c r="C13" s="49"/>
      <c r="D13" s="50" t="s">
        <v>54</v>
      </c>
      <c r="E13" s="50">
        <v>1</v>
      </c>
      <c r="F13" s="51">
        <v>2</v>
      </c>
      <c r="G13" s="45"/>
      <c r="H13" s="58" t="s">
        <v>55</v>
      </c>
      <c r="I13" s="59" t="s">
        <v>61</v>
      </c>
      <c r="K13" s="28"/>
      <c r="L13" s="49"/>
      <c r="M13" s="50" t="s">
        <v>54</v>
      </c>
      <c r="N13" s="50">
        <v>1</v>
      </c>
      <c r="O13" s="51">
        <v>2</v>
      </c>
      <c r="Q13" s="140"/>
      <c r="R13" s="19"/>
      <c r="S13" s="19"/>
      <c r="T13" s="19"/>
      <c r="U13" s="141"/>
    </row>
    <row r="14" spans="1:41" ht="16.5" thickTop="1" thickBot="1" x14ac:dyDescent="0.3">
      <c r="B14" s="28"/>
      <c r="C14" s="52" t="s">
        <v>54</v>
      </c>
      <c r="D14" s="30" t="s">
        <v>57</v>
      </c>
      <c r="E14" s="20">
        <v>-5023.59</v>
      </c>
      <c r="F14" s="25">
        <v>3014.15</v>
      </c>
      <c r="G14" s="20"/>
      <c r="H14" s="60">
        <v>271.10000000000002</v>
      </c>
      <c r="I14" s="40">
        <f>-H5 + H14</f>
        <v>-1561.9</v>
      </c>
      <c r="J14" s="18"/>
      <c r="K14" s="28"/>
      <c r="L14" s="52" t="s">
        <v>54</v>
      </c>
      <c r="M14" s="42" t="s">
        <v>57</v>
      </c>
      <c r="N14" s="20">
        <v>-5023.59</v>
      </c>
      <c r="O14" s="25">
        <v>3014.15</v>
      </c>
      <c r="Q14" s="140"/>
      <c r="R14" s="19"/>
      <c r="S14" s="19"/>
      <c r="T14" s="19"/>
      <c r="U14" s="141"/>
    </row>
    <row r="15" spans="1:41" ht="16.5" thickTop="1" thickBot="1" x14ac:dyDescent="0.3">
      <c r="B15" s="33" t="s">
        <v>58</v>
      </c>
      <c r="C15" s="52">
        <v>1</v>
      </c>
      <c r="D15" s="21">
        <v>-929.625</v>
      </c>
      <c r="E15" s="38">
        <f>$D15-E$14</f>
        <v>4093.9650000000001</v>
      </c>
      <c r="F15" s="34">
        <f>$D15-F$14</f>
        <v>-3943.7750000000001</v>
      </c>
      <c r="G15" s="48"/>
      <c r="K15" s="33" t="s">
        <v>58</v>
      </c>
      <c r="L15" s="52">
        <v>1</v>
      </c>
      <c r="M15" s="21">
        <v>-929.625</v>
      </c>
      <c r="N15" s="38">
        <f>$M15-N$14+$I$14</f>
        <v>2532.0650000000001</v>
      </c>
      <c r="O15" s="34">
        <f>$M15-O$14+$I$14</f>
        <v>-5505.6750000000002</v>
      </c>
      <c r="Q15" s="142"/>
      <c r="R15" s="143"/>
      <c r="S15" s="143"/>
      <c r="T15" s="143"/>
      <c r="U15" s="144"/>
    </row>
    <row r="16" spans="1:41" ht="15.75" thickBot="1" x14ac:dyDescent="0.3">
      <c r="B16" s="29"/>
      <c r="C16" s="53">
        <v>2</v>
      </c>
      <c r="D16" s="27">
        <v>557.78</v>
      </c>
      <c r="E16" s="36">
        <f>$D16-E$14</f>
        <v>5581.37</v>
      </c>
      <c r="F16" s="35">
        <f>$D16-F$14</f>
        <v>-2456.37</v>
      </c>
      <c r="G16" s="48"/>
      <c r="K16" s="29"/>
      <c r="L16" s="53">
        <v>2</v>
      </c>
      <c r="M16" s="27">
        <v>557.78</v>
      </c>
      <c r="N16" s="36">
        <f>$M16-N$14+$I$14</f>
        <v>4019.47</v>
      </c>
      <c r="O16" s="35">
        <f>$M16-O$14+$I$14</f>
        <v>-4018.27</v>
      </c>
    </row>
    <row r="17" spans="8:21" ht="16.5" thickTop="1" thickBot="1" x14ac:dyDescent="0.3"/>
    <row r="18" spans="8:21" ht="16.5" thickTop="1" thickBot="1" x14ac:dyDescent="0.3">
      <c r="K18" s="43" t="s">
        <v>63</v>
      </c>
      <c r="L18" s="67"/>
      <c r="M18" s="68" t="s">
        <v>53</v>
      </c>
      <c r="Q18" s="137"/>
      <c r="R18" s="138"/>
      <c r="S18" s="138" t="s">
        <v>60</v>
      </c>
      <c r="T18" s="138"/>
      <c r="U18" s="139"/>
    </row>
    <row r="19" spans="8:21" ht="15.75" thickTop="1" x14ac:dyDescent="0.25">
      <c r="H19" s="58" t="s">
        <v>55</v>
      </c>
      <c r="I19" s="59" t="s">
        <v>62</v>
      </c>
      <c r="K19" s="65"/>
      <c r="L19" s="54"/>
      <c r="M19" s="56"/>
      <c r="Q19" s="140"/>
      <c r="R19" s="19"/>
      <c r="S19" s="19"/>
      <c r="T19" s="19"/>
      <c r="U19" s="141"/>
    </row>
    <row r="20" spans="8:21" ht="15.75" thickBot="1" x14ac:dyDescent="0.3">
      <c r="H20" s="60">
        <v>0</v>
      </c>
      <c r="I20" s="57">
        <v>607.42597000000001</v>
      </c>
      <c r="J20" s="18"/>
      <c r="K20" s="66" t="s">
        <v>58</v>
      </c>
      <c r="L20" s="55"/>
      <c r="M20" s="44">
        <f>-$H$5+H20</f>
        <v>-1833</v>
      </c>
      <c r="Q20" s="140"/>
      <c r="R20" s="19"/>
      <c r="S20" s="19"/>
      <c r="T20" s="19"/>
      <c r="U20" s="141"/>
    </row>
    <row r="21" spans="8:21" ht="16.5" thickTop="1" thickBot="1" x14ac:dyDescent="0.3">
      <c r="I21" s="17" t="s">
        <v>64</v>
      </c>
      <c r="Q21" s="140"/>
      <c r="R21" s="19"/>
      <c r="S21" s="19"/>
      <c r="T21" s="19"/>
      <c r="U21" s="141"/>
    </row>
    <row r="22" spans="8:21" ht="16.5" thickTop="1" thickBot="1" x14ac:dyDescent="0.3">
      <c r="K22" s="43" t="s">
        <v>65</v>
      </c>
      <c r="L22" s="67"/>
      <c r="M22" s="68" t="s">
        <v>53</v>
      </c>
      <c r="Q22" s="140"/>
      <c r="R22" s="19"/>
      <c r="S22" s="19"/>
      <c r="T22" s="19"/>
      <c r="U22" s="141"/>
    </row>
    <row r="23" spans="8:21" ht="15.75" thickTop="1" x14ac:dyDescent="0.25">
      <c r="H23" s="58" t="s">
        <v>55</v>
      </c>
      <c r="I23" s="59" t="s">
        <v>62</v>
      </c>
      <c r="K23" s="65"/>
      <c r="L23" s="54"/>
      <c r="M23" s="56"/>
      <c r="Q23" s="140"/>
      <c r="R23" s="19"/>
      <c r="S23" s="19"/>
      <c r="T23" s="19"/>
      <c r="U23" s="141"/>
    </row>
    <row r="24" spans="8:21" ht="15.75" thickBot="1" x14ac:dyDescent="0.3">
      <c r="H24" s="60">
        <v>179.4</v>
      </c>
      <c r="I24" s="57">
        <f>I20+H24*10^-6</f>
        <v>607.42614939999999</v>
      </c>
      <c r="J24" s="18"/>
      <c r="K24" s="66" t="s">
        <v>58</v>
      </c>
      <c r="L24" s="55"/>
      <c r="M24" s="44">
        <f>-$H$5+H24</f>
        <v>-1653.6</v>
      </c>
      <c r="Q24" s="140"/>
      <c r="R24" s="19"/>
      <c r="S24" s="19"/>
      <c r="T24" s="19"/>
      <c r="U24" s="141"/>
    </row>
    <row r="25" spans="8:21" ht="16.5" thickTop="1" thickBot="1" x14ac:dyDescent="0.3">
      <c r="K25" s="16"/>
      <c r="L25" s="16"/>
      <c r="M25" s="16"/>
      <c r="Q25" s="140"/>
      <c r="R25" s="19"/>
      <c r="S25" s="19"/>
      <c r="T25" s="19"/>
      <c r="U25" s="141"/>
    </row>
    <row r="26" spans="8:21" ht="16.5" thickTop="1" thickBot="1" x14ac:dyDescent="0.3">
      <c r="K26" s="43" t="s">
        <v>66</v>
      </c>
      <c r="L26" s="67"/>
      <c r="M26" s="68" t="s">
        <v>53</v>
      </c>
      <c r="Q26" s="140"/>
      <c r="R26" s="19"/>
      <c r="S26" s="19"/>
      <c r="T26" s="19"/>
      <c r="U26" s="141"/>
    </row>
    <row r="27" spans="8:21" ht="15.75" thickTop="1" x14ac:dyDescent="0.25">
      <c r="H27" s="58" t="s">
        <v>55</v>
      </c>
      <c r="I27" s="59" t="s">
        <v>62</v>
      </c>
      <c r="K27" s="65"/>
      <c r="L27" s="54"/>
      <c r="M27" s="56"/>
      <c r="Q27" s="140"/>
      <c r="R27" s="19"/>
      <c r="S27" s="19"/>
      <c r="T27" s="19"/>
      <c r="U27" s="141"/>
    </row>
    <row r="28" spans="8:21" ht="15.75" thickBot="1" x14ac:dyDescent="0.3">
      <c r="H28" s="60">
        <v>222.6</v>
      </c>
      <c r="I28" s="57">
        <f>I20+H28*10^-6</f>
        <v>607.42619260000004</v>
      </c>
      <c r="J28" s="18"/>
      <c r="K28" s="66" t="s">
        <v>58</v>
      </c>
      <c r="L28" s="55"/>
      <c r="M28" s="44">
        <f>-$H$5+222.6</f>
        <v>-1610.4</v>
      </c>
      <c r="Q28" s="140"/>
      <c r="R28" s="19"/>
      <c r="S28" s="19"/>
      <c r="T28" s="19"/>
      <c r="U28" s="141"/>
    </row>
    <row r="29" spans="8:21" ht="16.5" thickTop="1" thickBot="1" x14ac:dyDescent="0.3">
      <c r="Q29" s="142"/>
      <c r="R29" s="143"/>
      <c r="S29" s="143"/>
      <c r="T29" s="143"/>
      <c r="U29" s="144"/>
    </row>
    <row r="30" spans="8:21" ht="16.5" thickTop="1" thickBot="1" x14ac:dyDescent="0.3">
      <c r="K30" s="43" t="s">
        <v>67</v>
      </c>
      <c r="L30" s="67"/>
      <c r="M30" s="68" t="s">
        <v>53</v>
      </c>
    </row>
    <row r="31" spans="8:21" ht="15.75" thickTop="1" x14ac:dyDescent="0.25">
      <c r="H31" s="58" t="s">
        <v>55</v>
      </c>
      <c r="I31" s="59" t="s">
        <v>62</v>
      </c>
      <c r="K31" s="65"/>
      <c r="L31" s="54"/>
      <c r="M31" s="56"/>
    </row>
    <row r="32" spans="8:21" ht="15.75" thickBot="1" x14ac:dyDescent="0.3">
      <c r="H32" s="60">
        <v>279.89999999999998</v>
      </c>
      <c r="I32" s="57">
        <f>I20+H32*10^-6</f>
        <v>607.42624990000002</v>
      </c>
      <c r="J32" s="18"/>
      <c r="K32" s="66" t="s">
        <v>58</v>
      </c>
      <c r="L32" s="55"/>
      <c r="M32" s="44">
        <f>-$H$5+278.9</f>
        <v>-1554.1</v>
      </c>
    </row>
    <row r="33" spans="1:93" ht="16.5" thickTop="1" thickBot="1" x14ac:dyDescent="0.3"/>
    <row r="34" spans="1:93" ht="16.5" thickTop="1" thickBot="1" x14ac:dyDescent="0.3">
      <c r="K34" s="43" t="s">
        <v>68</v>
      </c>
      <c r="L34" s="67"/>
      <c r="M34" s="68" t="s">
        <v>53</v>
      </c>
    </row>
    <row r="35" spans="1:93" ht="15.75" thickTop="1" x14ac:dyDescent="0.25">
      <c r="H35" s="58" t="s">
        <v>55</v>
      </c>
      <c r="I35" s="59" t="s">
        <v>62</v>
      </c>
      <c r="K35" s="65"/>
      <c r="L35" s="54"/>
      <c r="M35" s="56"/>
    </row>
    <row r="36" spans="1:93" ht="15.75" thickBot="1" x14ac:dyDescent="0.3">
      <c r="H36" s="60">
        <v>355.3</v>
      </c>
      <c r="I36" s="57">
        <f>I20+H36*10^-6</f>
        <v>607.42632530000003</v>
      </c>
      <c r="J36" s="18"/>
      <c r="K36" s="66" t="s">
        <v>58</v>
      </c>
      <c r="L36" s="55"/>
      <c r="M36" s="44">
        <f>-$H$5+355.3</f>
        <v>-1477.7</v>
      </c>
    </row>
    <row r="37" spans="1:93" ht="16.5" thickTop="1" thickBot="1" x14ac:dyDescent="0.3"/>
    <row r="38" spans="1:93" ht="15.75" thickBot="1" x14ac:dyDescent="0.3">
      <c r="A38" s="292"/>
      <c r="B38" s="294"/>
      <c r="C38" s="295"/>
      <c r="D38" s="295" t="s">
        <v>286</v>
      </c>
      <c r="E38" s="291"/>
      <c r="F38" s="293"/>
      <c r="G38" s="293"/>
      <c r="H38" s="293"/>
      <c r="I38" s="293"/>
      <c r="J38" s="293"/>
      <c r="K38" s="293"/>
      <c r="L38" s="293"/>
      <c r="M38" s="293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92"/>
      <c r="BB38" s="292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92"/>
      <c r="BO38" s="292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92"/>
      <c r="CB38" s="292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92"/>
      <c r="CO38" s="2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B39"/>
  <sheetViews>
    <sheetView topLeftCell="B1" zoomScaleNormal="100" workbookViewId="0">
      <selection activeCell="Q31" sqref="Q31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" style="17" customWidth="1"/>
    <col min="5" max="5" width="11.7109375" style="17" customWidth="1"/>
    <col min="6" max="6" width="11.28515625" style="17" customWidth="1"/>
    <col min="7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8" ht="15.75" thickBot="1" x14ac:dyDescent="0.3"/>
    <row r="2" spans="2:28" ht="15.75" thickBot="1" x14ac:dyDescent="0.3">
      <c r="B2" s="292"/>
      <c r="C2" s="290"/>
      <c r="D2" s="295"/>
      <c r="E2" s="295" t="s">
        <v>285</v>
      </c>
      <c r="F2" s="291"/>
      <c r="G2" s="293"/>
      <c r="H2" s="293"/>
      <c r="I2" s="293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</row>
    <row r="3" spans="2:28" ht="15.75" thickBot="1" x14ac:dyDescent="0.3"/>
    <row r="4" spans="2:28" ht="15.75" thickTop="1" x14ac:dyDescent="0.25">
      <c r="J4" s="58" t="s">
        <v>69</v>
      </c>
      <c r="K4" s="59" t="s">
        <v>52</v>
      </c>
      <c r="L4" s="17"/>
      <c r="U4" s="137"/>
      <c r="V4" s="138"/>
      <c r="W4" s="138" t="s">
        <v>47</v>
      </c>
      <c r="X4" s="138"/>
      <c r="Y4" s="139"/>
    </row>
    <row r="5" spans="2:28" ht="15.75" thickBot="1" x14ac:dyDescent="0.3">
      <c r="J5" s="60">
        <v>-766.92499999999995</v>
      </c>
      <c r="K5" s="57">
        <f>K20+J5*0.000001</f>
        <v>461.31127307500003</v>
      </c>
      <c r="L5" s="17"/>
      <c r="P5" s="16">
        <v>500</v>
      </c>
      <c r="U5" s="140"/>
      <c r="V5" s="19"/>
      <c r="W5" s="19"/>
      <c r="X5" s="19"/>
      <c r="Y5" s="141"/>
    </row>
    <row r="6" spans="2:28" ht="16.5" thickTop="1" thickBot="1" x14ac:dyDescent="0.3">
      <c r="B6" s="43" t="s">
        <v>47</v>
      </c>
      <c r="C6" s="22"/>
      <c r="D6" s="22"/>
      <c r="E6" s="32" t="s">
        <v>70</v>
      </c>
      <c r="F6" s="23"/>
      <c r="M6" s="43" t="s">
        <v>47</v>
      </c>
      <c r="N6" s="22"/>
      <c r="O6" s="22"/>
      <c r="P6" s="32" t="s">
        <v>70</v>
      </c>
      <c r="Q6" s="23"/>
      <c r="U6" s="140"/>
      <c r="V6" s="19"/>
      <c r="W6" s="19"/>
      <c r="X6" s="19"/>
      <c r="Y6" s="141"/>
    </row>
    <row r="7" spans="2:28" ht="16.5" thickTop="1" thickBot="1" x14ac:dyDescent="0.3">
      <c r="B7" s="28"/>
      <c r="C7" s="49"/>
      <c r="D7" s="50" t="s">
        <v>54</v>
      </c>
      <c r="E7" s="50">
        <v>1</v>
      </c>
      <c r="F7" s="51">
        <v>2</v>
      </c>
      <c r="J7" s="58" t="s">
        <v>55</v>
      </c>
      <c r="K7" s="59" t="s">
        <v>56</v>
      </c>
      <c r="L7" s="17"/>
      <c r="M7" s="28" t="s">
        <v>47</v>
      </c>
      <c r="N7" s="49"/>
      <c r="O7" s="50" t="s">
        <v>54</v>
      </c>
      <c r="P7" s="50">
        <v>1</v>
      </c>
      <c r="Q7" s="51">
        <v>2</v>
      </c>
      <c r="U7" s="140"/>
      <c r="V7" s="19"/>
      <c r="W7" s="19"/>
      <c r="X7" s="19"/>
      <c r="Y7" s="141"/>
    </row>
    <row r="8" spans="2:28" ht="16.5" thickTop="1" thickBot="1" x14ac:dyDescent="0.3">
      <c r="B8" s="28"/>
      <c r="C8" s="52" t="s">
        <v>54</v>
      </c>
      <c r="D8" s="42" t="s">
        <v>57</v>
      </c>
      <c r="E8" s="20">
        <v>585.625</v>
      </c>
      <c r="F8" s="25">
        <v>-351.375</v>
      </c>
      <c r="J8" s="60">
        <v>198</v>
      </c>
      <c r="K8" s="40">
        <f>-J5 + J8</f>
        <v>964.92499999999995</v>
      </c>
      <c r="L8" s="17"/>
      <c r="M8" s="28"/>
      <c r="N8" s="52" t="s">
        <v>54</v>
      </c>
      <c r="O8" s="42" t="s">
        <v>57</v>
      </c>
      <c r="P8" s="20">
        <v>585.625</v>
      </c>
      <c r="Q8" s="25">
        <v>-351.375</v>
      </c>
      <c r="U8" s="140"/>
      <c r="V8" s="19"/>
      <c r="W8" s="19"/>
      <c r="X8" s="19"/>
      <c r="Y8" s="141"/>
    </row>
    <row r="9" spans="2:28" ht="15.75" thickTop="1" x14ac:dyDescent="0.25">
      <c r="B9" s="33" t="s">
        <v>58</v>
      </c>
      <c r="C9" s="52">
        <v>0</v>
      </c>
      <c r="D9" s="21">
        <v>1380</v>
      </c>
      <c r="E9" s="38">
        <f>$D9-E$8</f>
        <v>794.375</v>
      </c>
      <c r="F9" s="63" t="s">
        <v>59</v>
      </c>
      <c r="M9" s="33" t="s">
        <v>58</v>
      </c>
      <c r="N9" s="52">
        <v>0</v>
      </c>
      <c r="O9" s="21">
        <v>1380</v>
      </c>
      <c r="P9" s="38">
        <f>$O9-P$8 + $K$8</f>
        <v>1759.3</v>
      </c>
      <c r="Q9" s="63" t="s">
        <v>59</v>
      </c>
      <c r="U9" s="140"/>
      <c r="V9" s="19"/>
      <c r="W9" s="19"/>
      <c r="X9" s="19"/>
      <c r="Y9" s="141"/>
    </row>
    <row r="10" spans="2:28" ht="15.75" thickBot="1" x14ac:dyDescent="0.3">
      <c r="B10" s="29"/>
      <c r="C10" s="53">
        <v>1</v>
      </c>
      <c r="D10" s="27">
        <v>-460</v>
      </c>
      <c r="E10" s="36">
        <f>$D10-E$8</f>
        <v>-1045.625</v>
      </c>
      <c r="F10" s="35">
        <f>$D10-F$8</f>
        <v>-108.625</v>
      </c>
      <c r="M10" s="29"/>
      <c r="N10" s="53">
        <v>1</v>
      </c>
      <c r="O10" s="27">
        <v>-460</v>
      </c>
      <c r="P10" s="36">
        <f>$O10-P$8 + $K$8</f>
        <v>-80.700000000000045</v>
      </c>
      <c r="Q10" s="35">
        <f>$O10-Q$8 + $K$8</f>
        <v>856.3</v>
      </c>
      <c r="U10" s="140"/>
      <c r="V10" s="19"/>
      <c r="W10" s="19"/>
      <c r="X10" s="19"/>
      <c r="Y10" s="141"/>
    </row>
    <row r="11" spans="2:28" ht="16.5" thickTop="1" thickBot="1" x14ac:dyDescent="0.3">
      <c r="U11" s="140"/>
      <c r="V11" s="19"/>
      <c r="W11" s="19"/>
      <c r="X11" s="19"/>
      <c r="Y11" s="141"/>
    </row>
    <row r="12" spans="2:28" ht="16.5" thickTop="1" thickBot="1" x14ac:dyDescent="0.3">
      <c r="B12" s="43" t="s">
        <v>60</v>
      </c>
      <c r="C12" s="22"/>
      <c r="D12" s="22"/>
      <c r="E12" s="32" t="s">
        <v>70</v>
      </c>
      <c r="F12" s="22"/>
      <c r="G12" s="22"/>
      <c r="H12" s="23"/>
      <c r="I12" s="18"/>
      <c r="M12" s="43" t="s">
        <v>60</v>
      </c>
      <c r="N12" s="39"/>
      <c r="O12" s="39"/>
      <c r="P12" s="22"/>
      <c r="Q12" s="22"/>
      <c r="R12" s="32" t="s">
        <v>70</v>
      </c>
      <c r="S12" s="23"/>
      <c r="T12" s="17"/>
      <c r="U12" s="145"/>
      <c r="V12" s="19"/>
      <c r="W12" s="19"/>
      <c r="X12" s="19"/>
      <c r="Y12" s="141"/>
    </row>
    <row r="13" spans="2:28" ht="16.5" thickTop="1" thickBot="1" x14ac:dyDescent="0.3">
      <c r="B13" s="28" t="s">
        <v>60</v>
      </c>
      <c r="C13" s="49"/>
      <c r="D13" s="50" t="s">
        <v>54</v>
      </c>
      <c r="E13" s="50">
        <v>0</v>
      </c>
      <c r="F13" s="50">
        <v>1</v>
      </c>
      <c r="G13" s="50">
        <v>2</v>
      </c>
      <c r="H13" s="51">
        <v>3</v>
      </c>
      <c r="I13" s="62"/>
      <c r="J13" s="58" t="s">
        <v>55</v>
      </c>
      <c r="K13" s="59" t="s">
        <v>61</v>
      </c>
      <c r="L13" s="17"/>
      <c r="M13" s="28" t="s">
        <v>60</v>
      </c>
      <c r="N13" s="49"/>
      <c r="O13" s="50" t="s">
        <v>54</v>
      </c>
      <c r="P13" s="50">
        <v>0</v>
      </c>
      <c r="Q13" s="50">
        <v>1</v>
      </c>
      <c r="R13" s="50">
        <v>2</v>
      </c>
      <c r="S13" s="51">
        <v>3</v>
      </c>
      <c r="U13" s="140"/>
      <c r="V13" s="19"/>
      <c r="W13" s="19"/>
      <c r="X13" s="19"/>
      <c r="Y13" s="141"/>
    </row>
    <row r="14" spans="2:28" ht="16.5" thickTop="1" thickBot="1" x14ac:dyDescent="0.3">
      <c r="B14" s="28"/>
      <c r="C14" s="52" t="s">
        <v>54</v>
      </c>
      <c r="D14" s="42" t="s">
        <v>57</v>
      </c>
      <c r="E14" s="20">
        <v>-655.81</v>
      </c>
      <c r="F14" s="20">
        <v>-510.62</v>
      </c>
      <c r="G14" s="20">
        <v>-175.7</v>
      </c>
      <c r="H14" s="25">
        <v>438.03</v>
      </c>
      <c r="I14" s="18"/>
      <c r="J14" s="60">
        <v>-13</v>
      </c>
      <c r="K14" s="61">
        <f>-J5 +J14</f>
        <v>753.92499999999995</v>
      </c>
      <c r="L14" s="18"/>
      <c r="M14" s="28"/>
      <c r="N14" s="52" t="s">
        <v>54</v>
      </c>
      <c r="O14" s="42" t="s">
        <v>57</v>
      </c>
      <c r="P14" s="20">
        <v>-655.81</v>
      </c>
      <c r="Q14" s="20">
        <v>-510.62</v>
      </c>
      <c r="R14" s="20">
        <v>-175.7</v>
      </c>
      <c r="S14" s="25">
        <v>438.03</v>
      </c>
      <c r="U14" s="140"/>
      <c r="V14" s="19"/>
      <c r="W14" s="19"/>
      <c r="X14" s="19"/>
      <c r="Y14" s="141"/>
    </row>
    <row r="15" spans="2:28" ht="15.75" thickTop="1" x14ac:dyDescent="0.25">
      <c r="B15" s="33" t="s">
        <v>58</v>
      </c>
      <c r="C15" s="52">
        <v>1</v>
      </c>
      <c r="D15" s="21">
        <v>-929.625</v>
      </c>
      <c r="E15" s="38">
        <f>$D15-E$14</f>
        <v>-273.81500000000005</v>
      </c>
      <c r="F15" s="47">
        <f t="shared" ref="F15:H16" si="0">$D15-F$14</f>
        <v>-419.005</v>
      </c>
      <c r="G15" s="47">
        <f t="shared" si="0"/>
        <v>-753.92499999999995</v>
      </c>
      <c r="H15" s="63" t="s">
        <v>59</v>
      </c>
      <c r="I15" s="18"/>
      <c r="M15" s="33" t="s">
        <v>58</v>
      </c>
      <c r="N15" s="52">
        <v>1</v>
      </c>
      <c r="O15" s="21">
        <v>-929.625</v>
      </c>
      <c r="P15" s="38">
        <f>$O15-P$14 + $K$14</f>
        <v>480.1099999999999</v>
      </c>
      <c r="Q15" s="47">
        <f>$O15-Q$14 + $K$14</f>
        <v>334.91999999999996</v>
      </c>
      <c r="R15" s="47">
        <f>$O15-R$14 + $K$14</f>
        <v>0</v>
      </c>
      <c r="S15" s="63" t="s">
        <v>59</v>
      </c>
      <c r="U15" s="140"/>
      <c r="V15" s="19"/>
      <c r="W15" s="19"/>
      <c r="X15" s="19"/>
      <c r="Y15" s="141"/>
    </row>
    <row r="16" spans="2:28" ht="15.75" thickBot="1" x14ac:dyDescent="0.3">
      <c r="B16" s="29"/>
      <c r="C16" s="53">
        <v>2</v>
      </c>
      <c r="D16" s="27">
        <v>557.78</v>
      </c>
      <c r="E16" s="64" t="s">
        <v>59</v>
      </c>
      <c r="F16" s="46">
        <f t="shared" si="0"/>
        <v>1068.4000000000001</v>
      </c>
      <c r="G16" s="46">
        <f t="shared" si="0"/>
        <v>733.48</v>
      </c>
      <c r="H16" s="35">
        <f t="shared" si="0"/>
        <v>119.75</v>
      </c>
      <c r="I16" s="18"/>
      <c r="M16" s="29"/>
      <c r="N16" s="53">
        <v>2</v>
      </c>
      <c r="O16" s="27">
        <v>557.78</v>
      </c>
      <c r="P16" s="64" t="s">
        <v>59</v>
      </c>
      <c r="Q16" s="46">
        <f>$O16-Q$14 + $K$14</f>
        <v>1822.325</v>
      </c>
      <c r="R16" s="46">
        <f>$O16-R$14 + $K$14</f>
        <v>1487.405</v>
      </c>
      <c r="S16" s="35">
        <f>$O16-S$14 + $K$14</f>
        <v>873.67499999999995</v>
      </c>
      <c r="U16" s="142"/>
      <c r="V16" s="143"/>
      <c r="W16" s="143"/>
      <c r="X16" s="143"/>
      <c r="Y16" s="144"/>
    </row>
    <row r="17" spans="10:25" ht="16.5" thickTop="1" thickBot="1" x14ac:dyDescent="0.3"/>
    <row r="18" spans="10:25" ht="16.5" thickTop="1" thickBot="1" x14ac:dyDescent="0.3">
      <c r="M18" s="43" t="s">
        <v>63</v>
      </c>
      <c r="N18" s="67"/>
      <c r="O18" s="68" t="s">
        <v>70</v>
      </c>
      <c r="U18" s="137"/>
      <c r="V18" s="138"/>
      <c r="W18" s="138" t="s">
        <v>60</v>
      </c>
      <c r="X18" s="138"/>
      <c r="Y18" s="139"/>
    </row>
    <row r="19" spans="10:25" ht="15.75" thickTop="1" x14ac:dyDescent="0.25">
      <c r="J19" s="58" t="s">
        <v>55</v>
      </c>
      <c r="K19" s="59" t="s">
        <v>62</v>
      </c>
      <c r="L19" s="17"/>
      <c r="M19" s="65" t="s">
        <v>63</v>
      </c>
      <c r="N19" s="54"/>
      <c r="O19" s="56"/>
      <c r="U19" s="140"/>
      <c r="V19" s="19"/>
      <c r="W19" s="19"/>
      <c r="X19" s="19"/>
      <c r="Y19" s="141"/>
    </row>
    <row r="20" spans="10:25" ht="15.75" thickBot="1" x14ac:dyDescent="0.3">
      <c r="J20" s="60">
        <v>0</v>
      </c>
      <c r="K20" s="57">
        <v>461.31204000000002</v>
      </c>
      <c r="L20" s="17"/>
      <c r="M20" s="66" t="s">
        <v>58</v>
      </c>
      <c r="N20" s="55"/>
      <c r="O20" s="44">
        <f>-$J$5+J20</f>
        <v>766.92499999999995</v>
      </c>
      <c r="U20" s="140"/>
      <c r="V20" s="19"/>
      <c r="W20" s="19"/>
      <c r="X20" s="19"/>
      <c r="Y20" s="141"/>
    </row>
    <row r="21" spans="10:25" ht="16.5" thickTop="1" thickBot="1" x14ac:dyDescent="0.3">
      <c r="J21" s="17"/>
      <c r="K21" s="17" t="s">
        <v>64</v>
      </c>
      <c r="L21" s="17"/>
      <c r="U21" s="140"/>
      <c r="V21" s="19"/>
      <c r="W21" s="19"/>
      <c r="X21" s="19"/>
      <c r="Y21" s="141"/>
    </row>
    <row r="22" spans="10:25" ht="16.5" thickTop="1" thickBot="1" x14ac:dyDescent="0.3">
      <c r="J22" s="17"/>
      <c r="K22" s="17"/>
      <c r="L22" s="17"/>
      <c r="M22" s="43" t="s">
        <v>65</v>
      </c>
      <c r="N22" s="67"/>
      <c r="O22" s="68" t="s">
        <v>70</v>
      </c>
      <c r="U22" s="140"/>
      <c r="V22" s="19"/>
      <c r="W22" s="19"/>
      <c r="X22" s="19"/>
      <c r="Y22" s="141"/>
    </row>
    <row r="23" spans="10:25" ht="15.75" thickTop="1" x14ac:dyDescent="0.25">
      <c r="J23" s="58" t="s">
        <v>55</v>
      </c>
      <c r="K23" s="59" t="s">
        <v>62</v>
      </c>
      <c r="L23" s="17"/>
      <c r="M23" s="65" t="s">
        <v>65</v>
      </c>
      <c r="N23" s="54"/>
      <c r="O23" s="56"/>
      <c r="U23" s="140"/>
      <c r="V23" s="19"/>
      <c r="W23" s="19"/>
      <c r="X23" s="19"/>
      <c r="Y23" s="141"/>
    </row>
    <row r="24" spans="10:25" ht="15.75" thickBot="1" x14ac:dyDescent="0.3">
      <c r="J24" s="60">
        <v>68</v>
      </c>
      <c r="K24" s="57">
        <f>K20+J24*10^-6</f>
        <v>461.31210800000002</v>
      </c>
      <c r="L24" s="17"/>
      <c r="M24" s="66" t="s">
        <v>58</v>
      </c>
      <c r="N24" s="55"/>
      <c r="O24" s="44">
        <f>-J5+J24</f>
        <v>834.92499999999995</v>
      </c>
      <c r="U24" s="140"/>
      <c r="V24" s="19"/>
      <c r="W24" s="19"/>
      <c r="X24" s="19"/>
      <c r="Y24" s="141"/>
    </row>
    <row r="25" spans="10:25" ht="16.5" thickTop="1" thickBot="1" x14ac:dyDescent="0.3">
      <c r="J25" s="17"/>
      <c r="K25" s="17"/>
      <c r="L25" s="17"/>
      <c r="U25" s="140"/>
      <c r="V25" s="19"/>
      <c r="W25" s="19"/>
      <c r="X25" s="19"/>
      <c r="Y25" s="141"/>
    </row>
    <row r="26" spans="10:25" ht="16.5" thickTop="1" thickBot="1" x14ac:dyDescent="0.3">
      <c r="J26" s="17"/>
      <c r="K26" s="17"/>
      <c r="L26" s="17"/>
      <c r="M26" s="43" t="s">
        <v>66</v>
      </c>
      <c r="N26" s="67"/>
      <c r="O26" s="68" t="s">
        <v>70</v>
      </c>
      <c r="U26" s="140"/>
      <c r="V26" s="19"/>
      <c r="W26" s="19"/>
      <c r="X26" s="19"/>
      <c r="Y26" s="141"/>
    </row>
    <row r="27" spans="10:25" ht="15.75" thickTop="1" x14ac:dyDescent="0.25">
      <c r="J27" s="58" t="s">
        <v>55</v>
      </c>
      <c r="K27" s="59" t="s">
        <v>62</v>
      </c>
      <c r="L27" s="17"/>
      <c r="M27" s="65"/>
      <c r="N27" s="54"/>
      <c r="O27" s="56"/>
      <c r="U27" s="140"/>
      <c r="V27" s="19"/>
      <c r="W27" s="19"/>
      <c r="X27" s="19"/>
      <c r="Y27" s="141"/>
    </row>
    <row r="28" spans="10:25" ht="15.75" thickBot="1" x14ac:dyDescent="0.3">
      <c r="J28" s="60">
        <v>174.5</v>
      </c>
      <c r="K28" s="57">
        <f>K20+J28*10^-6</f>
        <v>461.31221450000004</v>
      </c>
      <c r="L28" s="17"/>
      <c r="M28" s="66" t="s">
        <v>58</v>
      </c>
      <c r="N28" s="55"/>
      <c r="O28" s="44">
        <f>-$J$5+J28</f>
        <v>941.42499999999995</v>
      </c>
      <c r="U28" s="140"/>
      <c r="V28" s="19"/>
      <c r="W28" s="19"/>
      <c r="X28" s="19"/>
      <c r="Y28" s="141"/>
    </row>
    <row r="29" spans="10:25" ht="16.5" thickTop="1" thickBot="1" x14ac:dyDescent="0.3">
      <c r="J29" s="17"/>
      <c r="K29" s="17"/>
      <c r="L29" s="17"/>
      <c r="U29" s="140"/>
      <c r="V29" s="19"/>
      <c r="W29" s="19"/>
      <c r="X29" s="19"/>
      <c r="Y29" s="141"/>
    </row>
    <row r="30" spans="10:25" ht="16.5" thickTop="1" thickBot="1" x14ac:dyDescent="0.3">
      <c r="J30" s="17"/>
      <c r="K30" s="17"/>
      <c r="L30" s="17"/>
      <c r="M30" s="43" t="s">
        <v>67</v>
      </c>
      <c r="N30" s="67"/>
      <c r="O30" s="68" t="s">
        <v>70</v>
      </c>
      <c r="U30" s="142"/>
      <c r="V30" s="143"/>
      <c r="W30" s="143"/>
      <c r="X30" s="143"/>
      <c r="Y30" s="144"/>
    </row>
    <row r="31" spans="10:25" ht="15.75" thickTop="1" x14ac:dyDescent="0.25">
      <c r="J31" s="58" t="s">
        <v>55</v>
      </c>
      <c r="K31" s="59" t="s">
        <v>62</v>
      </c>
      <c r="L31" s="17"/>
      <c r="M31" s="65"/>
      <c r="N31" s="54"/>
      <c r="O31" s="56"/>
    </row>
    <row r="32" spans="10:25" ht="15.75" thickBot="1" x14ac:dyDescent="0.3">
      <c r="J32" s="60">
        <v>292</v>
      </c>
      <c r="K32" s="57">
        <f>K20+J32*10^-6</f>
        <v>461.31233200000003</v>
      </c>
      <c r="L32" s="17"/>
      <c r="M32" s="66" t="s">
        <v>58</v>
      </c>
      <c r="N32" s="55"/>
      <c r="O32" s="44">
        <f>-$J$5+J32</f>
        <v>1058.925</v>
      </c>
    </row>
    <row r="33" spans="2:28" ht="16.5" thickTop="1" thickBot="1" x14ac:dyDescent="0.3">
      <c r="J33" s="17"/>
      <c r="K33" s="17"/>
      <c r="L33" s="17"/>
    </row>
    <row r="34" spans="2:28" ht="16.5" thickTop="1" thickBot="1" x14ac:dyDescent="0.3">
      <c r="J34" s="17"/>
      <c r="K34" s="17"/>
      <c r="L34" s="17"/>
      <c r="M34" s="43" t="s">
        <v>68</v>
      </c>
      <c r="N34" s="67"/>
      <c r="O34" s="68" t="s">
        <v>70</v>
      </c>
    </row>
    <row r="35" spans="2:28" ht="15.75" thickTop="1" x14ac:dyDescent="0.25">
      <c r="J35" s="58" t="s">
        <v>55</v>
      </c>
      <c r="K35" s="59" t="s">
        <v>62</v>
      </c>
      <c r="L35" s="17"/>
      <c r="M35" s="65"/>
      <c r="N35" s="54"/>
      <c r="O35" s="56"/>
    </row>
    <row r="36" spans="2:28" ht="15.75" thickBot="1" x14ac:dyDescent="0.3">
      <c r="J36" s="60">
        <v>394</v>
      </c>
      <c r="K36" s="57">
        <f>K20+J36*10^-6</f>
        <v>461.31243400000005</v>
      </c>
      <c r="L36" s="17"/>
      <c r="M36" s="66" t="s">
        <v>58</v>
      </c>
      <c r="N36" s="55"/>
      <c r="O36" s="44">
        <f>-$J$5+J36</f>
        <v>1160.925</v>
      </c>
    </row>
    <row r="37" spans="2:28" ht="15.75" thickTop="1" x14ac:dyDescent="0.25"/>
    <row r="38" spans="2:28" ht="15.75" thickBot="1" x14ac:dyDescent="0.3"/>
    <row r="39" spans="2:28" ht="15.75" thickBot="1" x14ac:dyDescent="0.3">
      <c r="B39" s="292"/>
      <c r="C39" s="290"/>
      <c r="D39" s="295"/>
      <c r="E39" s="295" t="s">
        <v>286</v>
      </c>
      <c r="F39" s="291"/>
      <c r="G39" s="293"/>
      <c r="H39" s="293"/>
      <c r="I39" s="293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Normal="100" workbookViewId="0">
      <selection activeCell="H37" sqref="H37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6" t="s">
        <v>108</v>
      </c>
      <c r="S3" s="182" t="s">
        <v>109</v>
      </c>
      <c r="T3" s="183" t="s">
        <v>131</v>
      </c>
      <c r="U3" s="183" t="s">
        <v>143</v>
      </c>
      <c r="V3" s="184"/>
      <c r="W3" s="184"/>
      <c r="X3" s="185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7" t="s">
        <v>114</v>
      </c>
      <c r="S4" s="18" t="s">
        <v>110</v>
      </c>
      <c r="T4" s="18" t="s">
        <v>130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7"/>
      <c r="S5" s="18" t="s">
        <v>111</v>
      </c>
      <c r="T5" s="18" t="s">
        <v>132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7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8"/>
      <c r="S7" s="180"/>
      <c r="T7" s="179" t="s">
        <v>131</v>
      </c>
      <c r="U7" s="179"/>
      <c r="V7" s="179"/>
      <c r="W7" s="179" t="s">
        <v>145</v>
      </c>
      <c r="X7" s="181" t="s">
        <v>153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7" t="s">
        <v>115</v>
      </c>
      <c r="S8" s="18" t="s">
        <v>112</v>
      </c>
      <c r="T8" s="18" t="s">
        <v>154</v>
      </c>
      <c r="U8" s="18"/>
      <c r="V8" s="18"/>
      <c r="W8" s="18">
        <v>500</v>
      </c>
      <c r="X8" s="124" t="s">
        <v>152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7"/>
      <c r="S9" s="18" t="s">
        <v>113</v>
      </c>
      <c r="T9" s="18" t="s">
        <v>133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7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8"/>
      <c r="S11" s="180"/>
      <c r="T11" s="179" t="s">
        <v>131</v>
      </c>
      <c r="U11" s="179"/>
      <c r="V11" s="179"/>
      <c r="W11" s="179"/>
      <c r="X11" s="181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7" t="s">
        <v>116</v>
      </c>
      <c r="S12" s="18" t="s">
        <v>117</v>
      </c>
      <c r="T12" s="18" t="s">
        <v>134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7"/>
      <c r="S13" s="18" t="s">
        <v>118</v>
      </c>
      <c r="T13" s="18" t="s">
        <v>135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7"/>
      <c r="S14" s="18" t="s">
        <v>119</v>
      </c>
      <c r="T14" s="18" t="s">
        <v>136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7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8"/>
      <c r="S16" s="180"/>
      <c r="T16" s="179" t="s">
        <v>131</v>
      </c>
      <c r="U16" s="179"/>
      <c r="V16" s="179"/>
      <c r="W16" s="179" t="s">
        <v>146</v>
      </c>
      <c r="X16" s="181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7" t="s">
        <v>120</v>
      </c>
      <c r="S17" s="18" t="s">
        <v>121</v>
      </c>
      <c r="T17" s="18" t="s">
        <v>137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7"/>
      <c r="S18" s="18" t="s">
        <v>122</v>
      </c>
      <c r="T18" s="18" t="s">
        <v>138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7"/>
      <c r="S19" s="18" t="s">
        <v>123</v>
      </c>
      <c r="T19" s="18" t="s">
        <v>138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7"/>
      <c r="S20" s="18" t="s">
        <v>124</v>
      </c>
      <c r="T20" s="18" t="s">
        <v>139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7"/>
      <c r="S21" s="18" t="s">
        <v>125</v>
      </c>
      <c r="T21" s="18" t="s">
        <v>140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7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8"/>
      <c r="S23" s="180"/>
      <c r="T23" s="179" t="s">
        <v>131</v>
      </c>
      <c r="U23" s="179" t="s">
        <v>143</v>
      </c>
      <c r="V23" s="179" t="s">
        <v>144</v>
      </c>
      <c r="W23" s="179"/>
      <c r="X23" s="181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7" t="s">
        <v>126</v>
      </c>
      <c r="S24" s="18" t="s">
        <v>129</v>
      </c>
      <c r="T24" s="18" t="s">
        <v>142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5"/>
      <c r="S25" s="18" t="s">
        <v>127</v>
      </c>
      <c r="T25" s="18" t="s">
        <v>141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5"/>
      <c r="S26" s="18" t="s">
        <v>128</v>
      </c>
      <c r="T26" s="18" t="s">
        <v>138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205</v>
      </c>
      <c r="T27" s="172" t="s">
        <v>206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0"/>
      <c r="C35" s="186"/>
      <c r="D35" s="186" t="s">
        <v>147</v>
      </c>
      <c r="E35" s="187"/>
      <c r="F35" s="187"/>
      <c r="G35" s="188"/>
      <c r="J35" s="161"/>
      <c r="K35" s="190"/>
      <c r="L35" s="186"/>
      <c r="M35" s="186" t="s">
        <v>219</v>
      </c>
      <c r="N35" s="187"/>
      <c r="O35" s="187"/>
      <c r="P35" s="188"/>
    </row>
    <row r="36" spans="1:16" ht="15.75" thickBot="1" x14ac:dyDescent="0.3">
      <c r="B36" s="191"/>
      <c r="C36" s="189" t="s">
        <v>148</v>
      </c>
      <c r="D36" s="164" t="s">
        <v>149</v>
      </c>
      <c r="E36" s="164" t="s">
        <v>155</v>
      </c>
      <c r="F36" s="164" t="s">
        <v>278</v>
      </c>
      <c r="G36" s="165" t="s">
        <v>151</v>
      </c>
      <c r="J36" s="161"/>
      <c r="K36" s="191"/>
      <c r="L36" s="189" t="s">
        <v>148</v>
      </c>
      <c r="M36" s="164" t="s">
        <v>149</v>
      </c>
      <c r="N36" s="164" t="s">
        <v>155</v>
      </c>
      <c r="O36" s="164" t="s">
        <v>278</v>
      </c>
      <c r="P36" s="165" t="s">
        <v>151</v>
      </c>
    </row>
    <row r="37" spans="1:16" x14ac:dyDescent="0.25">
      <c r="B37" s="177" t="s">
        <v>106</v>
      </c>
      <c r="C37" s="18" t="s">
        <v>83</v>
      </c>
      <c r="D37" s="18" t="s">
        <v>177</v>
      </c>
      <c r="E37" s="18" t="s">
        <v>60</v>
      </c>
      <c r="F37" s="18">
        <v>52.65</v>
      </c>
      <c r="G37" s="124"/>
      <c r="K37" s="177" t="s">
        <v>107</v>
      </c>
      <c r="L37" s="18" t="s">
        <v>54</v>
      </c>
      <c r="M37" s="18" t="s">
        <v>180</v>
      </c>
      <c r="N37" s="18" t="s">
        <v>47</v>
      </c>
      <c r="O37" s="18"/>
      <c r="P37" s="124" t="s">
        <v>170</v>
      </c>
    </row>
    <row r="38" spans="1:16" x14ac:dyDescent="0.25">
      <c r="B38" s="191"/>
      <c r="C38" s="18" t="s">
        <v>84</v>
      </c>
      <c r="D38" s="18" t="s">
        <v>177</v>
      </c>
      <c r="E38" s="18" t="s">
        <v>60</v>
      </c>
      <c r="F38" s="18">
        <v>53.07</v>
      </c>
      <c r="G38" s="124"/>
      <c r="K38" s="177"/>
      <c r="L38" s="18" t="s">
        <v>156</v>
      </c>
      <c r="M38" s="18" t="s">
        <v>180</v>
      </c>
      <c r="N38" s="18" t="s">
        <v>47</v>
      </c>
      <c r="O38" s="18"/>
      <c r="P38" s="124" t="s">
        <v>171</v>
      </c>
    </row>
    <row r="39" spans="1:16" x14ac:dyDescent="0.25">
      <c r="B39" s="191"/>
      <c r="C39" s="18" t="s">
        <v>85</v>
      </c>
      <c r="D39" s="18" t="s">
        <v>178</v>
      </c>
      <c r="E39" s="18" t="s">
        <v>47</v>
      </c>
      <c r="F39" s="18"/>
      <c r="G39" s="124" t="s">
        <v>167</v>
      </c>
      <c r="K39" s="177"/>
      <c r="L39" s="18" t="s">
        <v>157</v>
      </c>
      <c r="M39" s="18" t="s">
        <v>180</v>
      </c>
      <c r="N39" s="18" t="s">
        <v>47</v>
      </c>
      <c r="O39" s="18"/>
      <c r="P39" s="124" t="s">
        <v>172</v>
      </c>
    </row>
    <row r="40" spans="1:16" x14ac:dyDescent="0.25">
      <c r="B40" s="191"/>
      <c r="C40" s="18" t="s">
        <v>86</v>
      </c>
      <c r="D40" s="18" t="s">
        <v>178</v>
      </c>
      <c r="E40" s="18" t="s">
        <v>47</v>
      </c>
      <c r="F40" s="18"/>
      <c r="G40" s="124" t="s">
        <v>168</v>
      </c>
      <c r="K40" s="177"/>
      <c r="L40" s="18" t="s">
        <v>158</v>
      </c>
      <c r="M40" s="18" t="s">
        <v>181</v>
      </c>
      <c r="N40" s="18" t="s">
        <v>60</v>
      </c>
      <c r="O40" s="18">
        <v>40.9</v>
      </c>
      <c r="P40" s="124"/>
    </row>
    <row r="41" spans="1:16" ht="15.75" thickBot="1" x14ac:dyDescent="0.3">
      <c r="B41" s="194"/>
      <c r="C41" s="172" t="s">
        <v>150</v>
      </c>
      <c r="D41" s="172" t="s">
        <v>179</v>
      </c>
      <c r="E41" s="172" t="s">
        <v>47</v>
      </c>
      <c r="F41" s="172">
        <v>64.5</v>
      </c>
      <c r="G41" s="173" t="s">
        <v>169</v>
      </c>
      <c r="K41" s="177"/>
      <c r="L41" s="18" t="s">
        <v>159</v>
      </c>
      <c r="M41" s="18" t="s">
        <v>181</v>
      </c>
      <c r="N41" s="18" t="s">
        <v>60</v>
      </c>
      <c r="O41" s="18">
        <v>37.58</v>
      </c>
      <c r="P41" s="124"/>
    </row>
    <row r="42" spans="1:16" ht="15.75" thickTop="1" x14ac:dyDescent="0.25">
      <c r="K42" s="177"/>
      <c r="L42" s="18" t="s">
        <v>160</v>
      </c>
      <c r="M42" s="18" t="s">
        <v>181</v>
      </c>
      <c r="N42" s="18" t="s">
        <v>60</v>
      </c>
      <c r="O42" s="18">
        <v>37.799999999999997</v>
      </c>
      <c r="P42" s="124"/>
    </row>
    <row r="43" spans="1:16" x14ac:dyDescent="0.25">
      <c r="K43" s="177"/>
      <c r="L43" s="18" t="s">
        <v>161</v>
      </c>
      <c r="M43" s="18" t="s">
        <v>181</v>
      </c>
      <c r="N43" s="18" t="s">
        <v>60</v>
      </c>
      <c r="O43" s="18"/>
      <c r="P43" s="124" t="s">
        <v>163</v>
      </c>
    </row>
    <row r="44" spans="1:16" ht="15.75" thickBot="1" x14ac:dyDescent="0.3">
      <c r="K44" s="163"/>
      <c r="L44" s="172" t="s">
        <v>162</v>
      </c>
      <c r="M44" s="172" t="s">
        <v>164</v>
      </c>
      <c r="N44" s="172" t="s">
        <v>165</v>
      </c>
      <c r="O44" s="172"/>
      <c r="P44" s="173" t="s">
        <v>166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2" t="s">
        <v>218</v>
      </c>
      <c r="N48" s="59"/>
      <c r="O48" s="279"/>
    </row>
    <row r="49" spans="12:15" ht="15.75" thickBot="1" x14ac:dyDescent="0.3">
      <c r="L49" s="193" t="s">
        <v>173</v>
      </c>
      <c r="M49" s="164" t="s">
        <v>109</v>
      </c>
      <c r="N49" s="165" t="s">
        <v>215</v>
      </c>
      <c r="O49" s="279"/>
    </row>
    <row r="50" spans="12:15" x14ac:dyDescent="0.25">
      <c r="L50" s="24" t="s">
        <v>174</v>
      </c>
      <c r="M50" s="18" t="s">
        <v>184</v>
      </c>
      <c r="N50" s="124" t="s">
        <v>216</v>
      </c>
      <c r="O50" s="18"/>
    </row>
    <row r="51" spans="12:15" x14ac:dyDescent="0.25">
      <c r="L51" s="24" t="s">
        <v>175</v>
      </c>
      <c r="M51" s="18"/>
      <c r="N51" s="124"/>
      <c r="O51" s="18"/>
    </row>
    <row r="52" spans="12:15" x14ac:dyDescent="0.25">
      <c r="L52" s="24" t="s">
        <v>176</v>
      </c>
      <c r="M52" s="18" t="s">
        <v>185</v>
      </c>
      <c r="N52" s="124" t="s">
        <v>217</v>
      </c>
      <c r="O52" s="18"/>
    </row>
    <row r="53" spans="12:15" x14ac:dyDescent="0.25">
      <c r="L53" s="24" t="s">
        <v>188</v>
      </c>
      <c r="M53" s="18"/>
      <c r="N53" s="124"/>
      <c r="O53" s="18"/>
    </row>
    <row r="54" spans="12:15" x14ac:dyDescent="0.25">
      <c r="L54" s="24" t="s">
        <v>189</v>
      </c>
      <c r="M54" s="18"/>
      <c r="N54" s="124"/>
      <c r="O54" s="18"/>
    </row>
    <row r="55" spans="12:15" x14ac:dyDescent="0.25">
      <c r="L55" s="24" t="s">
        <v>190</v>
      </c>
      <c r="M55" s="18"/>
      <c r="N55" s="124"/>
      <c r="O55" s="18"/>
    </row>
    <row r="56" spans="12:15" x14ac:dyDescent="0.25">
      <c r="L56" s="24" t="s">
        <v>191</v>
      </c>
      <c r="M56" s="18"/>
      <c r="N56" s="124"/>
      <c r="O56" s="18"/>
    </row>
    <row r="57" spans="12:15" ht="15.75" thickBot="1" x14ac:dyDescent="0.3">
      <c r="L57" s="26" t="s">
        <v>192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5" t="s">
        <v>79</v>
      </c>
      <c r="D2" s="213" t="s">
        <v>80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6" t="s">
        <v>63</v>
      </c>
      <c r="C3" s="207"/>
      <c r="D3" s="198"/>
      <c r="E3" s="215" t="s">
        <v>40</v>
      </c>
      <c r="F3" s="216" t="s">
        <v>87</v>
      </c>
      <c r="G3" s="216" t="s">
        <v>95</v>
      </c>
      <c r="H3" s="216" t="s">
        <v>96</v>
      </c>
      <c r="I3" s="216" t="s">
        <v>97</v>
      </c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  <c r="DR3" s="216"/>
      <c r="DS3" s="216"/>
      <c r="DT3" s="216"/>
      <c r="DU3" s="216"/>
      <c r="DV3" s="216"/>
      <c r="DW3" s="216"/>
      <c r="DX3" s="216"/>
      <c r="DY3" s="216"/>
      <c r="DZ3" s="216"/>
      <c r="EA3" s="216"/>
      <c r="EB3" s="216"/>
      <c r="EC3" s="216"/>
      <c r="ED3" s="216"/>
      <c r="EE3" s="216"/>
      <c r="EF3" s="216"/>
      <c r="EG3" s="216"/>
      <c r="EH3" s="216"/>
      <c r="EI3" s="216"/>
      <c r="EJ3" s="216"/>
      <c r="EK3" s="216"/>
      <c r="EL3" s="216"/>
      <c r="EM3" s="216"/>
      <c r="EN3" s="216"/>
      <c r="EO3" s="217"/>
    </row>
    <row r="4" spans="2:145" x14ac:dyDescent="0.25">
      <c r="B4" s="208"/>
      <c r="C4" s="191"/>
      <c r="D4" s="198"/>
      <c r="E4" s="129" t="s">
        <v>88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8"/>
      <c r="C5" s="191"/>
      <c r="D5" s="198"/>
      <c r="E5" s="129" t="s">
        <v>89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09"/>
      <c r="C6" s="210"/>
      <c r="D6" s="199"/>
      <c r="E6" s="130" t="s">
        <v>91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1"/>
      <c r="C7" s="177" t="s">
        <v>81</v>
      </c>
      <c r="D7" s="200" t="s">
        <v>83</v>
      </c>
      <c r="E7" s="218" t="s">
        <v>40</v>
      </c>
      <c r="F7" s="216" t="s">
        <v>87</v>
      </c>
      <c r="G7" s="216" t="s">
        <v>95</v>
      </c>
      <c r="H7" s="159" t="s">
        <v>96</v>
      </c>
      <c r="I7" s="159" t="s">
        <v>96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7"/>
    </row>
    <row r="8" spans="2:145" x14ac:dyDescent="0.25">
      <c r="B8" s="208"/>
      <c r="C8" s="177"/>
      <c r="D8" s="198"/>
      <c r="E8" s="129" t="s">
        <v>88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8"/>
      <c r="C9" s="177"/>
      <c r="D9" s="198"/>
      <c r="E9" s="129" t="s">
        <v>89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8"/>
      <c r="C10" s="177"/>
      <c r="D10" s="198"/>
      <c r="E10" s="129" t="s">
        <v>93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8"/>
      <c r="C11" s="177"/>
      <c r="D11" s="198"/>
      <c r="E11" s="129" t="s">
        <v>94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8"/>
      <c r="C12" s="177"/>
      <c r="D12" s="198"/>
      <c r="E12" s="129" t="s">
        <v>90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8"/>
      <c r="C13" s="177"/>
      <c r="D13" s="198"/>
      <c r="E13" s="129" t="s">
        <v>91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8"/>
      <c r="C14" s="177"/>
      <c r="D14" s="201"/>
      <c r="E14" s="131" t="s">
        <v>92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8"/>
      <c r="C15" s="177"/>
      <c r="D15" s="200" t="s">
        <v>84</v>
      </c>
      <c r="E15" s="218" t="s">
        <v>40</v>
      </c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7"/>
    </row>
    <row r="16" spans="2:145" x14ac:dyDescent="0.25">
      <c r="B16" s="208"/>
      <c r="C16" s="177"/>
      <c r="D16" s="198"/>
      <c r="E16" s="129" t="s">
        <v>88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8"/>
      <c r="C17" s="177"/>
      <c r="D17" s="198"/>
      <c r="E17" s="129" t="s">
        <v>89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8"/>
      <c r="C18" s="177"/>
      <c r="D18" s="198"/>
      <c r="E18" s="129" t="s">
        <v>93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8"/>
      <c r="C19" s="177"/>
      <c r="D19" s="198"/>
      <c r="E19" s="129" t="s">
        <v>94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8"/>
      <c r="C20" s="177"/>
      <c r="D20" s="198"/>
      <c r="E20" s="129" t="s">
        <v>90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8"/>
      <c r="C21" s="177"/>
      <c r="D21" s="198"/>
      <c r="E21" s="129" t="s">
        <v>91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8"/>
      <c r="C22" s="178"/>
      <c r="D22" s="201"/>
      <c r="E22" s="131" t="s">
        <v>92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8"/>
      <c r="C23" s="177" t="s">
        <v>82</v>
      </c>
      <c r="D23" s="200" t="s">
        <v>83</v>
      </c>
      <c r="E23" s="218" t="s">
        <v>40</v>
      </c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  <c r="EF23" s="216"/>
      <c r="EG23" s="216"/>
      <c r="EH23" s="216"/>
      <c r="EI23" s="216"/>
      <c r="EJ23" s="216"/>
      <c r="EK23" s="216"/>
      <c r="EL23" s="216"/>
      <c r="EM23" s="216"/>
      <c r="EN23" s="216"/>
      <c r="EO23" s="217"/>
    </row>
    <row r="24" spans="2:145" x14ac:dyDescent="0.25">
      <c r="B24" s="208"/>
      <c r="C24" s="177"/>
      <c r="D24" s="200"/>
      <c r="E24" s="129" t="s">
        <v>88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1" t="s">
        <v>60</v>
      </c>
      <c r="C25" s="177"/>
      <c r="D25" s="200"/>
      <c r="E25" s="129" t="s">
        <v>89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8"/>
      <c r="C26" s="177"/>
      <c r="D26" s="200"/>
      <c r="E26" s="129" t="s">
        <v>93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8"/>
      <c r="C27" s="177"/>
      <c r="D27" s="200"/>
      <c r="E27" s="129" t="s">
        <v>94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8"/>
      <c r="C28" s="177"/>
      <c r="D28" s="200"/>
      <c r="E28" s="129" t="s">
        <v>90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8"/>
      <c r="C29" s="177"/>
      <c r="D29" s="200"/>
      <c r="E29" s="129" t="s">
        <v>91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8"/>
      <c r="C30" s="177"/>
      <c r="D30" s="202"/>
      <c r="E30" s="131" t="s">
        <v>92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8"/>
      <c r="C31" s="177"/>
      <c r="D31" s="200" t="s">
        <v>84</v>
      </c>
      <c r="E31" s="218" t="s">
        <v>40</v>
      </c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7"/>
    </row>
    <row r="32" spans="2:145" x14ac:dyDescent="0.25">
      <c r="B32" s="208"/>
      <c r="C32" s="177"/>
      <c r="D32" s="200"/>
      <c r="E32" s="129" t="s">
        <v>88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8"/>
      <c r="C33" s="177"/>
      <c r="D33" s="200"/>
      <c r="E33" s="129" t="s">
        <v>89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8"/>
      <c r="C34" s="177"/>
      <c r="D34" s="200"/>
      <c r="E34" s="129" t="s">
        <v>93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8"/>
      <c r="C35" s="177"/>
      <c r="D35" s="200"/>
      <c r="E35" s="129" t="s">
        <v>94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8"/>
      <c r="C36" s="177"/>
      <c r="D36" s="200"/>
      <c r="E36" s="129" t="s">
        <v>90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8"/>
      <c r="C37" s="177"/>
      <c r="D37" s="200"/>
      <c r="E37" s="129" t="s">
        <v>91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8"/>
      <c r="C38" s="178"/>
      <c r="D38" s="202"/>
      <c r="E38" s="131" t="s">
        <v>92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8"/>
      <c r="C39" s="177" t="s">
        <v>101</v>
      </c>
      <c r="D39" s="200" t="s">
        <v>83</v>
      </c>
      <c r="E39" s="218" t="s">
        <v>40</v>
      </c>
      <c r="F39" s="216" t="s">
        <v>274</v>
      </c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7"/>
    </row>
    <row r="40" spans="2:145" x14ac:dyDescent="0.25">
      <c r="B40" s="208"/>
      <c r="C40" s="177"/>
      <c r="D40" s="200"/>
      <c r="E40" s="129" t="s">
        <v>88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8"/>
      <c r="C41" s="177"/>
      <c r="D41" s="200"/>
      <c r="E41" s="129" t="s">
        <v>89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8"/>
      <c r="C42" s="177"/>
      <c r="D42" s="200"/>
      <c r="E42" s="129" t="s">
        <v>93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8"/>
      <c r="C43" s="177"/>
      <c r="D43" s="200"/>
      <c r="E43" s="129" t="s">
        <v>94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8"/>
      <c r="C44" s="177"/>
      <c r="D44" s="200"/>
      <c r="E44" s="129" t="s">
        <v>90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8"/>
      <c r="C45" s="177"/>
      <c r="D45" s="200"/>
      <c r="E45" s="129" t="s">
        <v>91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8"/>
      <c r="C46" s="177"/>
      <c r="D46" s="202"/>
      <c r="E46" s="131" t="s">
        <v>92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8"/>
      <c r="C47" s="177"/>
      <c r="D47" s="200" t="s">
        <v>84</v>
      </c>
      <c r="E47" s="218" t="s">
        <v>40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16"/>
      <c r="DL47" s="216"/>
      <c r="DM47" s="216"/>
      <c r="DN47" s="216"/>
      <c r="DO47" s="216"/>
      <c r="DP47" s="216"/>
      <c r="DQ47" s="216"/>
      <c r="DR47" s="216"/>
      <c r="DS47" s="216"/>
      <c r="DT47" s="216"/>
      <c r="DU47" s="216"/>
      <c r="DV47" s="216"/>
      <c r="DW47" s="216"/>
      <c r="DX47" s="216"/>
      <c r="DY47" s="216"/>
      <c r="DZ47" s="216"/>
      <c r="EA47" s="216"/>
      <c r="EB47" s="216"/>
      <c r="EC47" s="216"/>
      <c r="ED47" s="216"/>
      <c r="EE47" s="216"/>
      <c r="EF47" s="216"/>
      <c r="EG47" s="216"/>
      <c r="EH47" s="216"/>
      <c r="EI47" s="216"/>
      <c r="EJ47" s="216"/>
      <c r="EK47" s="216"/>
      <c r="EL47" s="216"/>
      <c r="EM47" s="216"/>
      <c r="EN47" s="216"/>
      <c r="EO47" s="217"/>
    </row>
    <row r="48" spans="2:145" x14ac:dyDescent="0.25">
      <c r="B48" s="208"/>
      <c r="C48" s="177"/>
      <c r="D48" s="200"/>
      <c r="E48" s="129" t="s">
        <v>88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8"/>
      <c r="C49" s="177"/>
      <c r="D49" s="200"/>
      <c r="E49" s="129" t="s">
        <v>89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8"/>
      <c r="C50" s="177"/>
      <c r="D50" s="200"/>
      <c r="E50" s="129" t="s">
        <v>93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8"/>
      <c r="C51" s="177"/>
      <c r="D51" s="200"/>
      <c r="E51" s="129" t="s">
        <v>94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8"/>
      <c r="C52" s="177"/>
      <c r="D52" s="200"/>
      <c r="E52" s="129" t="s">
        <v>90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8"/>
      <c r="C53" s="177"/>
      <c r="D53" s="200"/>
      <c r="E53" s="129" t="s">
        <v>91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09"/>
      <c r="C54" s="214"/>
      <c r="D54" s="204"/>
      <c r="E54" s="130" t="s">
        <v>92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1"/>
      <c r="C55" s="177" t="s">
        <v>105</v>
      </c>
      <c r="D55" s="200" t="s">
        <v>220</v>
      </c>
      <c r="E55" s="218" t="s">
        <v>40</v>
      </c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 s="217"/>
    </row>
    <row r="56" spans="2:145" x14ac:dyDescent="0.25">
      <c r="B56" s="211"/>
      <c r="C56" s="177"/>
      <c r="D56" s="200"/>
      <c r="E56" s="129" t="s">
        <v>88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1"/>
      <c r="C57" s="177"/>
      <c r="D57" s="200"/>
      <c r="E57" s="129" t="s">
        <v>89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1"/>
      <c r="C58" s="177"/>
      <c r="D58" s="200"/>
      <c r="E58" s="129" t="s">
        <v>93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1"/>
      <c r="C59" s="177"/>
      <c r="D59" s="200"/>
      <c r="E59" s="129" t="s">
        <v>94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1"/>
      <c r="C60" s="177"/>
      <c r="D60" s="200"/>
      <c r="E60" s="129" t="s">
        <v>90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1"/>
      <c r="C61" s="177"/>
      <c r="D61" s="200"/>
      <c r="E61" s="129" t="s">
        <v>91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1"/>
      <c r="C62" s="177"/>
      <c r="D62" s="202"/>
      <c r="E62" s="131" t="s">
        <v>92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1"/>
      <c r="C63" s="177" t="s">
        <v>103</v>
      </c>
      <c r="D63" s="200" t="s">
        <v>221</v>
      </c>
      <c r="E63" s="218" t="s">
        <v>40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6"/>
      <c r="DI63" s="216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6"/>
      <c r="ED63" s="216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7"/>
    </row>
    <row r="64" spans="2:145" x14ac:dyDescent="0.25">
      <c r="B64" s="211"/>
      <c r="C64" s="177"/>
      <c r="D64" s="200"/>
      <c r="E64" s="129" t="s">
        <v>88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1"/>
      <c r="C65" s="177"/>
      <c r="D65" s="200"/>
      <c r="E65" s="129" t="s">
        <v>89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1" t="s">
        <v>47</v>
      </c>
      <c r="C66" s="177"/>
      <c r="D66" s="200"/>
      <c r="E66" s="129" t="s">
        <v>93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1"/>
      <c r="C67" s="177"/>
      <c r="D67" s="200"/>
      <c r="E67" s="129" t="s">
        <v>94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1"/>
      <c r="C68" s="177"/>
      <c r="D68" s="200"/>
      <c r="E68" s="129" t="s">
        <v>90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1"/>
      <c r="C69" s="177"/>
      <c r="D69" s="200"/>
      <c r="E69" s="129" t="s">
        <v>91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1"/>
      <c r="C70" s="177"/>
      <c r="D70" s="202"/>
      <c r="E70" s="131" t="s">
        <v>92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1"/>
      <c r="C71" s="177" t="s">
        <v>104</v>
      </c>
      <c r="D71" s="200" t="s">
        <v>220</v>
      </c>
      <c r="E71" s="218" t="s">
        <v>40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  <c r="CU71" s="216"/>
      <c r="CV71" s="216"/>
      <c r="CW71" s="216"/>
      <c r="CX71" s="216"/>
      <c r="CY71" s="216"/>
      <c r="CZ71" s="216"/>
      <c r="DA71" s="216"/>
      <c r="DB71" s="216"/>
      <c r="DC71" s="216"/>
      <c r="DD71" s="216"/>
      <c r="DE71" s="216"/>
      <c r="DF71" s="216"/>
      <c r="DG71" s="216"/>
      <c r="DH71" s="216"/>
      <c r="DI71" s="216"/>
      <c r="DJ71" s="216"/>
      <c r="DK71" s="216"/>
      <c r="DL71" s="216"/>
      <c r="DM71" s="216"/>
      <c r="DN71" s="216"/>
      <c r="DO71" s="216"/>
      <c r="DP71" s="216"/>
      <c r="DQ71" s="216"/>
      <c r="DR71" s="216"/>
      <c r="DS71" s="216"/>
      <c r="DT71" s="216"/>
      <c r="DU71" s="216"/>
      <c r="DV71" s="216"/>
      <c r="DW71" s="216"/>
      <c r="DX71" s="216"/>
      <c r="DY71" s="216"/>
      <c r="DZ71" s="216"/>
      <c r="EA71" s="216"/>
      <c r="EB71" s="216"/>
      <c r="EC71" s="216"/>
      <c r="ED71" s="216"/>
      <c r="EE71" s="216"/>
      <c r="EF71" s="216"/>
      <c r="EG71" s="216"/>
      <c r="EH71" s="216"/>
      <c r="EI71" s="216"/>
      <c r="EJ71" s="216"/>
      <c r="EK71" s="216"/>
      <c r="EL71" s="216"/>
      <c r="EM71" s="216"/>
      <c r="EN71" s="216"/>
      <c r="EO71" s="217"/>
    </row>
    <row r="72" spans="2:145" x14ac:dyDescent="0.25">
      <c r="B72" s="211"/>
      <c r="C72" s="177"/>
      <c r="D72" s="200"/>
      <c r="E72" s="129" t="s">
        <v>88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1"/>
      <c r="C73" s="191"/>
      <c r="D73" s="200"/>
      <c r="E73" s="129" t="s">
        <v>89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1"/>
      <c r="C74" s="191"/>
      <c r="D74" s="200"/>
      <c r="E74" s="129" t="s">
        <v>93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1"/>
      <c r="C75" s="191"/>
      <c r="D75" s="200"/>
      <c r="E75" s="129" t="s">
        <v>94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1"/>
      <c r="C76" s="191"/>
      <c r="D76" s="200"/>
      <c r="E76" s="129" t="s">
        <v>90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1"/>
      <c r="C77" s="191"/>
      <c r="D77" s="200"/>
      <c r="E77" s="129" t="s">
        <v>91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2"/>
      <c r="C78" s="194"/>
      <c r="D78" s="203"/>
      <c r="E78" s="197" t="s">
        <v>92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B13" sqref="B13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236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100</v>
      </c>
      <c r="C2" s="164" t="s">
        <v>195</v>
      </c>
      <c r="D2" s="164" t="s">
        <v>196</v>
      </c>
      <c r="E2" s="164" t="s">
        <v>197</v>
      </c>
      <c r="F2" s="164" t="s">
        <v>198</v>
      </c>
      <c r="G2" s="164" t="s">
        <v>199</v>
      </c>
      <c r="H2" s="164" t="s">
        <v>200</v>
      </c>
      <c r="I2" s="164" t="s">
        <v>231</v>
      </c>
      <c r="J2" s="164" t="s">
        <v>232</v>
      </c>
      <c r="S2" s="16" t="e">
        <f t="shared" ref="S2:S5" si="0">S1+1</f>
        <v>#REF!</v>
      </c>
    </row>
    <row r="3" spans="1:19" x14ac:dyDescent="0.25">
      <c r="A3" s="16" t="s">
        <v>260</v>
      </c>
      <c r="B3" s="275" t="s">
        <v>275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topLeftCell="D1" workbookViewId="0">
      <selection activeCell="R3" sqref="R3"/>
    </sheetView>
  </sheetViews>
  <sheetFormatPr defaultColWidth="9" defaultRowHeight="15" x14ac:dyDescent="0.25"/>
  <cols>
    <col min="1" max="1" width="9" style="15"/>
    <col min="2" max="22" width="10.5703125" style="15" customWidth="1"/>
    <col min="23" max="16384" width="9" style="15"/>
  </cols>
  <sheetData>
    <row r="1" spans="2:22" ht="15.75" thickBot="1" x14ac:dyDescent="0.3"/>
    <row r="2" spans="2:22" s="16" customFormat="1" ht="16.5" thickTop="1" thickBot="1" x14ac:dyDescent="0.3">
      <c r="B2" s="341" t="s">
        <v>155</v>
      </c>
      <c r="C2" s="296" t="s">
        <v>287</v>
      </c>
      <c r="D2" s="296">
        <v>138</v>
      </c>
      <c r="E2" s="296" t="s">
        <v>288</v>
      </c>
      <c r="F2" s="296" t="s">
        <v>289</v>
      </c>
      <c r="G2" s="296" t="s">
        <v>290</v>
      </c>
      <c r="H2" s="296">
        <v>136</v>
      </c>
      <c r="I2" s="296">
        <v>134</v>
      </c>
      <c r="J2" s="296">
        <v>132</v>
      </c>
      <c r="K2" s="296" t="s">
        <v>297</v>
      </c>
      <c r="L2" s="296">
        <v>130</v>
      </c>
      <c r="M2" s="296" t="s">
        <v>291</v>
      </c>
      <c r="N2" s="296" t="s">
        <v>298</v>
      </c>
      <c r="O2" s="296" t="s">
        <v>292</v>
      </c>
      <c r="P2" s="296">
        <v>128</v>
      </c>
      <c r="Q2" s="296" t="s">
        <v>293</v>
      </c>
      <c r="R2" s="296" t="s">
        <v>294</v>
      </c>
      <c r="S2" s="296" t="s">
        <v>299</v>
      </c>
      <c r="T2" s="296" t="s">
        <v>300</v>
      </c>
      <c r="U2" s="296" t="s">
        <v>295</v>
      </c>
      <c r="V2" s="297" t="s">
        <v>296</v>
      </c>
    </row>
    <row r="3" spans="2:22" s="16" customFormat="1" ht="15.75" thickBot="1" x14ac:dyDescent="0.3">
      <c r="B3" s="309" t="s">
        <v>215</v>
      </c>
      <c r="C3" s="298">
        <v>-23.3</v>
      </c>
      <c r="D3" s="299">
        <v>0</v>
      </c>
      <c r="E3" s="299">
        <v>0</v>
      </c>
      <c r="F3" s="299">
        <v>63.43</v>
      </c>
      <c r="G3" s="299">
        <v>121.6</v>
      </c>
      <c r="H3" s="299">
        <v>128.02000000000001</v>
      </c>
      <c r="I3" s="299">
        <v>142.80000000000001</v>
      </c>
      <c r="J3" s="299">
        <v>167.9</v>
      </c>
      <c r="K3" s="299">
        <v>172.9</v>
      </c>
      <c r="L3" s="299">
        <v>207.3</v>
      </c>
      <c r="M3" s="299">
        <v>214.7</v>
      </c>
      <c r="N3" s="299">
        <v>249.2</v>
      </c>
      <c r="O3" s="299">
        <v>258.7</v>
      </c>
      <c r="P3" s="299">
        <v>271.10000000000002</v>
      </c>
      <c r="Q3" s="299">
        <v>274.56</v>
      </c>
      <c r="R3" s="299">
        <v>326.7</v>
      </c>
      <c r="S3" s="299">
        <v>373.8</v>
      </c>
      <c r="T3" s="299">
        <v>386.65</v>
      </c>
      <c r="U3" s="299">
        <v>547.29999999999995</v>
      </c>
      <c r="V3" s="300">
        <v>549.47</v>
      </c>
    </row>
    <row r="4" spans="2:2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7" sqref="H7"/>
    </sheetView>
  </sheetViews>
  <sheetFormatPr defaultColWidth="9" defaultRowHeight="15" x14ac:dyDescent="0.25"/>
  <cols>
    <col min="1" max="1" width="9" style="16"/>
    <col min="2" max="3" width="10.5703125" style="16" customWidth="1"/>
    <col min="4" max="4" width="15.85546875" style="16" customWidth="1"/>
    <col min="5" max="7" width="10.5703125" style="16" customWidth="1"/>
    <col min="8" max="8" width="10.5703125" style="16" bestFit="1" customWidth="1"/>
    <col min="9" max="9" width="9" style="16"/>
    <col min="10" max="10" width="12.42578125" style="16" customWidth="1"/>
    <col min="11" max="11" width="26.5703125" style="16" customWidth="1"/>
    <col min="12" max="16384" width="9" style="16"/>
  </cols>
  <sheetData>
    <row r="1" spans="1:23" ht="15.75" thickBot="1" x14ac:dyDescent="0.3"/>
    <row r="2" spans="1:23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 ht="15.75" thickBot="1" x14ac:dyDescent="0.3"/>
    <row r="4" spans="1:23" ht="16.5" thickTop="1" thickBot="1" x14ac:dyDescent="0.3">
      <c r="B4" s="315" t="s">
        <v>301</v>
      </c>
      <c r="C4" s="316" t="s">
        <v>302</v>
      </c>
      <c r="D4" s="316" t="s">
        <v>310</v>
      </c>
      <c r="E4" s="316" t="s">
        <v>307</v>
      </c>
      <c r="F4" s="316" t="s">
        <v>308</v>
      </c>
      <c r="G4" s="317" t="s">
        <v>309</v>
      </c>
    </row>
    <row r="5" spans="1:23" ht="16.5" thickTop="1" thickBot="1" x14ac:dyDescent="0.3">
      <c r="B5" s="320" t="s">
        <v>53</v>
      </c>
      <c r="C5" s="18"/>
      <c r="D5" s="18">
        <v>2.7989999999999999</v>
      </c>
      <c r="E5" s="322" t="s">
        <v>58</v>
      </c>
      <c r="F5" s="325" t="s">
        <v>53</v>
      </c>
      <c r="G5" s="302">
        <v>0.75600000000000001</v>
      </c>
      <c r="K5" s="328" t="s">
        <v>317</v>
      </c>
    </row>
    <row r="6" spans="1:23" ht="15.75" thickBot="1" x14ac:dyDescent="0.3">
      <c r="B6" s="321" t="s">
        <v>58</v>
      </c>
      <c r="C6" s="18" t="s">
        <v>311</v>
      </c>
      <c r="D6" s="18">
        <v>0.93310000000000004</v>
      </c>
      <c r="E6" s="339"/>
      <c r="F6" s="338" t="s">
        <v>70</v>
      </c>
      <c r="G6" s="302">
        <v>0.24399999999999999</v>
      </c>
      <c r="K6" s="311">
        <f>Main!F85</f>
        <v>607.42618999999991</v>
      </c>
    </row>
    <row r="7" spans="1:23" x14ac:dyDescent="0.25">
      <c r="B7" s="321" t="s">
        <v>303</v>
      </c>
      <c r="C7" s="18" t="s">
        <v>312</v>
      </c>
      <c r="D7" s="18">
        <v>1.8660000000000001</v>
      </c>
      <c r="E7" s="323"/>
      <c r="F7" s="326" t="s">
        <v>53</v>
      </c>
      <c r="G7" s="302">
        <v>0.75600000000000001</v>
      </c>
    </row>
    <row r="8" spans="1:23" x14ac:dyDescent="0.25">
      <c r="B8" s="321" t="s">
        <v>70</v>
      </c>
      <c r="C8" s="18" t="s">
        <v>313</v>
      </c>
      <c r="D8" s="18">
        <v>1.2</v>
      </c>
      <c r="E8" s="323" t="s">
        <v>303</v>
      </c>
      <c r="F8" s="326" t="s">
        <v>70</v>
      </c>
      <c r="G8" s="302">
        <v>2.9000000000000001E-2</v>
      </c>
    </row>
    <row r="9" spans="1:23" ht="15.75" thickBot="1" x14ac:dyDescent="0.3">
      <c r="B9" s="321" t="s">
        <v>304</v>
      </c>
      <c r="C9" s="18" t="s">
        <v>314</v>
      </c>
      <c r="D9" s="18">
        <v>1.68</v>
      </c>
      <c r="E9" s="339"/>
      <c r="F9" s="338" t="s">
        <v>304</v>
      </c>
      <c r="G9" s="302">
        <v>0.215</v>
      </c>
    </row>
    <row r="10" spans="1:23" x14ac:dyDescent="0.25">
      <c r="B10" s="308"/>
      <c r="C10" s="17"/>
      <c r="D10" s="18"/>
      <c r="E10" s="323" t="s">
        <v>304</v>
      </c>
      <c r="F10" s="326" t="s">
        <v>53</v>
      </c>
      <c r="G10" s="302">
        <v>0.84599999999999997</v>
      </c>
    </row>
    <row r="11" spans="1:23" ht="15.75" thickBot="1" x14ac:dyDescent="0.3">
      <c r="B11" s="309"/>
      <c r="C11" s="146"/>
      <c r="D11" s="146"/>
      <c r="E11" s="324"/>
      <c r="F11" s="327" t="s">
        <v>70</v>
      </c>
      <c r="G11" s="303">
        <v>0.154</v>
      </c>
    </row>
    <row r="12" spans="1:23" ht="15.75" thickTop="1" x14ac:dyDescent="0.25">
      <c r="C12" s="19" t="s">
        <v>315</v>
      </c>
      <c r="G12" s="16" t="s">
        <v>316</v>
      </c>
    </row>
    <row r="13" spans="1:23" ht="15.75" thickBot="1" x14ac:dyDescent="0.3"/>
    <row r="14" spans="1:23" ht="15.75" thickBot="1" x14ac:dyDescent="0.3">
      <c r="A14" s="312"/>
      <c r="B14" s="318" t="s">
        <v>63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</row>
    <row r="15" spans="1:23" ht="15.75" thickBot="1" x14ac:dyDescent="0.3"/>
    <row r="16" spans="1:23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J16" s="328" t="s">
        <v>306</v>
      </c>
    </row>
    <row r="17" spans="1:23" ht="15.75" thickBot="1" x14ac:dyDescent="0.3">
      <c r="B17" s="329" t="s">
        <v>58</v>
      </c>
      <c r="C17" s="325" t="s">
        <v>53</v>
      </c>
      <c r="D17" s="18">
        <v>0</v>
      </c>
      <c r="E17" s="302">
        <f>$K$6+D17*0.000001</f>
        <v>607.42618999999991</v>
      </c>
      <c r="F17" s="18"/>
      <c r="J17" s="311">
        <v>0</v>
      </c>
    </row>
    <row r="18" spans="1:23" ht="16.5" thickTop="1" thickBot="1" x14ac:dyDescent="0.3">
      <c r="B18" s="337"/>
      <c r="C18" s="338" t="s">
        <v>70</v>
      </c>
      <c r="D18" s="18">
        <v>0</v>
      </c>
      <c r="E18" s="302">
        <f t="shared" ref="E18:E23" si="0">$K$6+D18*0.000001</f>
        <v>607.42618999999991</v>
      </c>
      <c r="F18" s="18"/>
      <c r="G18" s="19"/>
      <c r="I18" s="19"/>
    </row>
    <row r="19" spans="1:23" x14ac:dyDescent="0.25">
      <c r="B19" s="329"/>
      <c r="C19" s="326" t="s">
        <v>53</v>
      </c>
      <c r="D19" s="18">
        <v>0</v>
      </c>
      <c r="E19" s="302">
        <f t="shared" si="0"/>
        <v>607.42618999999991</v>
      </c>
      <c r="F19" s="18"/>
      <c r="G19" s="19"/>
    </row>
    <row r="20" spans="1:23" x14ac:dyDescent="0.25">
      <c r="B20" s="329" t="s">
        <v>303</v>
      </c>
      <c r="C20" s="326" t="s">
        <v>70</v>
      </c>
      <c r="D20" s="18">
        <v>0</v>
      </c>
      <c r="E20" s="302">
        <f t="shared" si="0"/>
        <v>607.42618999999991</v>
      </c>
      <c r="F20" s="18"/>
      <c r="G20" s="19"/>
    </row>
    <row r="21" spans="1:23" ht="15.75" thickBot="1" x14ac:dyDescent="0.3">
      <c r="B21" s="337"/>
      <c r="C21" s="338" t="s">
        <v>304</v>
      </c>
      <c r="D21" s="18">
        <v>0</v>
      </c>
      <c r="E21" s="302">
        <f t="shared" si="0"/>
        <v>607.42618999999991</v>
      </c>
      <c r="F21" s="18"/>
      <c r="G21" s="19"/>
    </row>
    <row r="22" spans="1:23" x14ac:dyDescent="0.25">
      <c r="B22" s="329" t="s">
        <v>304</v>
      </c>
      <c r="C22" s="326" t="s">
        <v>53</v>
      </c>
      <c r="D22" s="18">
        <v>0</v>
      </c>
      <c r="E22" s="302">
        <f t="shared" si="0"/>
        <v>607.42618999999991</v>
      </c>
      <c r="F22" s="18"/>
      <c r="G22" s="19"/>
    </row>
    <row r="23" spans="1:23" ht="15.75" thickBot="1" x14ac:dyDescent="0.3">
      <c r="B23" s="330"/>
      <c r="C23" s="327" t="s">
        <v>70</v>
      </c>
      <c r="D23" s="146">
        <v>0</v>
      </c>
      <c r="E23" s="303">
        <f t="shared" si="0"/>
        <v>607.42618999999991</v>
      </c>
      <c r="F23" s="18"/>
      <c r="G23" s="19"/>
    </row>
    <row r="24" spans="1:23" ht="16.5" thickTop="1" thickBot="1" x14ac:dyDescent="0.3"/>
    <row r="25" spans="1:23" ht="15.75" thickBot="1" x14ac:dyDescent="0.3">
      <c r="A25" s="312"/>
      <c r="B25" s="318" t="s">
        <v>65</v>
      </c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</row>
    <row r="26" spans="1:23" ht="15.75" thickBot="1" x14ac:dyDescent="0.3"/>
    <row r="27" spans="1:23" ht="16.5" thickTop="1" thickBot="1" x14ac:dyDescent="0.3">
      <c r="B27" s="315" t="s">
        <v>307</v>
      </c>
      <c r="C27" s="316" t="s">
        <v>308</v>
      </c>
      <c r="D27" s="316" t="s">
        <v>318</v>
      </c>
      <c r="E27" s="317" t="s">
        <v>319</v>
      </c>
      <c r="F27" s="18"/>
      <c r="J27" s="328" t="s">
        <v>306</v>
      </c>
    </row>
    <row r="28" spans="1:23" ht="15.75" thickBot="1" x14ac:dyDescent="0.3">
      <c r="B28" s="329" t="s">
        <v>58</v>
      </c>
      <c r="C28" s="325" t="s">
        <v>53</v>
      </c>
      <c r="D28" s="18">
        <v>179.4</v>
      </c>
      <c r="E28" s="302">
        <f>$K$6+D28*0.000001</f>
        <v>607.42636939999988</v>
      </c>
      <c r="F28" s="18" t="s">
        <v>321</v>
      </c>
      <c r="J28" s="311">
        <v>0</v>
      </c>
    </row>
    <row r="29" spans="1:23" ht="16.5" thickTop="1" thickBot="1" x14ac:dyDescent="0.3">
      <c r="B29" s="337"/>
      <c r="C29" s="338" t="s">
        <v>70</v>
      </c>
      <c r="D29" s="18">
        <v>68</v>
      </c>
      <c r="E29" s="302">
        <f t="shared" ref="E29:E34" si="1">$K$6+D29*0.000001</f>
        <v>607.42625799999996</v>
      </c>
      <c r="F29" s="18" t="s">
        <v>322</v>
      </c>
      <c r="G29" s="19"/>
      <c r="I29" s="19"/>
    </row>
    <row r="30" spans="1:23" x14ac:dyDescent="0.25">
      <c r="B30" s="329"/>
      <c r="C30" s="326" t="s">
        <v>53</v>
      </c>
      <c r="D30" s="18">
        <v>186.9</v>
      </c>
      <c r="E30" s="302">
        <f t="shared" si="1"/>
        <v>607.42637689999992</v>
      </c>
      <c r="F30" s="18" t="s">
        <v>321</v>
      </c>
      <c r="G30" s="19"/>
    </row>
    <row r="31" spans="1:23" x14ac:dyDescent="0.25">
      <c r="B31" s="329" t="s">
        <v>303</v>
      </c>
      <c r="C31" s="326" t="s">
        <v>70</v>
      </c>
      <c r="D31" s="18">
        <v>76.099999999999994</v>
      </c>
      <c r="E31" s="302">
        <f t="shared" si="1"/>
        <v>607.42626609999991</v>
      </c>
      <c r="F31" s="18" t="s">
        <v>323</v>
      </c>
      <c r="G31" s="19"/>
    </row>
    <row r="32" spans="1:23" ht="15.75" thickBot="1" x14ac:dyDescent="0.3">
      <c r="B32" s="337"/>
      <c r="C32" s="338" t="s">
        <v>304</v>
      </c>
      <c r="D32" s="18">
        <v>80.3</v>
      </c>
      <c r="E32" s="302">
        <f t="shared" si="1"/>
        <v>607.42627029999994</v>
      </c>
      <c r="F32" s="18" t="s">
        <v>323</v>
      </c>
      <c r="G32" s="19"/>
    </row>
    <row r="33" spans="1:23" x14ac:dyDescent="0.25">
      <c r="B33" s="329" t="s">
        <v>304</v>
      </c>
      <c r="C33" s="326" t="s">
        <v>53</v>
      </c>
      <c r="D33" s="18" t="s">
        <v>305</v>
      </c>
      <c r="E33" s="302" t="e">
        <f t="shared" si="1"/>
        <v>#VALUE!</v>
      </c>
      <c r="F33" s="18"/>
      <c r="G33" s="19"/>
    </row>
    <row r="34" spans="1:23" ht="15.75" thickBot="1" x14ac:dyDescent="0.3">
      <c r="B34" s="330"/>
      <c r="C34" s="327" t="s">
        <v>70</v>
      </c>
      <c r="D34" s="146" t="s">
        <v>305</v>
      </c>
      <c r="E34" s="303" t="e">
        <f t="shared" si="1"/>
        <v>#VALUE!</v>
      </c>
      <c r="F34" s="18"/>
      <c r="G34" s="19"/>
    </row>
    <row r="35" spans="1:23" ht="16.5" thickTop="1" thickBot="1" x14ac:dyDescent="0.3"/>
    <row r="36" spans="1:23" ht="15.75" thickBot="1" x14ac:dyDescent="0.3">
      <c r="A36" s="312"/>
      <c r="B36" s="318" t="s">
        <v>66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</row>
    <row r="37" spans="1:23" ht="15.75" thickBot="1" x14ac:dyDescent="0.3"/>
    <row r="38" spans="1:23" ht="16.5" thickTop="1" thickBot="1" x14ac:dyDescent="0.3">
      <c r="B38" s="315" t="s">
        <v>307</v>
      </c>
      <c r="C38" s="316" t="s">
        <v>308</v>
      </c>
      <c r="D38" s="316" t="s">
        <v>318</v>
      </c>
      <c r="E38" s="317" t="s">
        <v>319</v>
      </c>
      <c r="F38" s="18"/>
      <c r="J38" s="328" t="s">
        <v>306</v>
      </c>
    </row>
    <row r="39" spans="1:23" ht="15.75" thickBot="1" x14ac:dyDescent="0.3">
      <c r="B39" s="329" t="s">
        <v>58</v>
      </c>
      <c r="C39" s="325" t="s">
        <v>53</v>
      </c>
      <c r="D39" s="18">
        <v>222.6</v>
      </c>
      <c r="E39" s="302">
        <f>$K$6+D39*0.000001</f>
        <v>607.42641259999994</v>
      </c>
      <c r="F39" s="18" t="s">
        <v>321</v>
      </c>
      <c r="J39" s="311">
        <v>0</v>
      </c>
    </row>
    <row r="40" spans="1:23" ht="16.5" thickTop="1" thickBot="1" x14ac:dyDescent="0.3">
      <c r="B40" s="337"/>
      <c r="C40" s="338" t="s">
        <v>70</v>
      </c>
      <c r="D40" s="18">
        <v>174.5</v>
      </c>
      <c r="E40" s="302">
        <f t="shared" ref="E40:E45" si="2">$K$6+D40*0.000001</f>
        <v>607.42636449999986</v>
      </c>
      <c r="F40" s="18" t="s">
        <v>322</v>
      </c>
      <c r="G40" s="19"/>
      <c r="I40" s="19"/>
    </row>
    <row r="41" spans="1:23" x14ac:dyDescent="0.25">
      <c r="B41" s="329"/>
      <c r="C41" s="326" t="s">
        <v>53</v>
      </c>
      <c r="D41" s="18">
        <v>233.9</v>
      </c>
      <c r="E41" s="302">
        <f t="shared" si="2"/>
        <v>607.42642389999992</v>
      </c>
      <c r="F41" s="18" t="s">
        <v>321</v>
      </c>
      <c r="G41" s="19"/>
    </row>
    <row r="42" spans="1:23" x14ac:dyDescent="0.25">
      <c r="B42" s="329" t="s">
        <v>303</v>
      </c>
      <c r="C42" s="326" t="s">
        <v>70</v>
      </c>
      <c r="D42" s="18">
        <v>188.2</v>
      </c>
      <c r="E42" s="302">
        <f t="shared" si="2"/>
        <v>607.42637819999993</v>
      </c>
      <c r="F42" s="18" t="s">
        <v>324</v>
      </c>
      <c r="G42" s="19"/>
    </row>
    <row r="43" spans="1:23" ht="15.75" thickBot="1" x14ac:dyDescent="0.3">
      <c r="B43" s="337"/>
      <c r="C43" s="338" t="s">
        <v>304</v>
      </c>
      <c r="D43" s="18">
        <v>194.7</v>
      </c>
      <c r="E43" s="302">
        <f t="shared" si="2"/>
        <v>607.42638469999986</v>
      </c>
      <c r="F43" s="18" t="s">
        <v>323</v>
      </c>
      <c r="G43" s="19"/>
    </row>
    <row r="44" spans="1:23" x14ac:dyDescent="0.25">
      <c r="B44" s="329" t="s">
        <v>304</v>
      </c>
      <c r="C44" s="326" t="s">
        <v>53</v>
      </c>
      <c r="D44" s="18" t="s">
        <v>305</v>
      </c>
      <c r="E44" s="302" t="e">
        <f t="shared" si="2"/>
        <v>#VALUE!</v>
      </c>
      <c r="F44" s="18"/>
      <c r="G44" s="19"/>
    </row>
    <row r="45" spans="1:23" ht="15.75" thickBot="1" x14ac:dyDescent="0.3">
      <c r="B45" s="330"/>
      <c r="C45" s="327" t="s">
        <v>70</v>
      </c>
      <c r="D45" s="146" t="s">
        <v>305</v>
      </c>
      <c r="E45" s="303" t="e">
        <f t="shared" si="2"/>
        <v>#VALUE!</v>
      </c>
      <c r="F45" s="18"/>
      <c r="G45" s="19"/>
    </row>
    <row r="46" spans="1:23" ht="16.5" thickTop="1" thickBot="1" x14ac:dyDescent="0.3"/>
    <row r="47" spans="1:23" ht="15.75" thickBot="1" x14ac:dyDescent="0.3">
      <c r="A47" s="312"/>
      <c r="B47" s="318" t="s">
        <v>67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</row>
    <row r="48" spans="1:23" ht="15.75" thickBot="1" x14ac:dyDescent="0.3"/>
    <row r="49" spans="1:23" ht="16.5" thickTop="1" thickBot="1" x14ac:dyDescent="0.3">
      <c r="B49" s="315" t="s">
        <v>307</v>
      </c>
      <c r="C49" s="316" t="s">
        <v>308</v>
      </c>
      <c r="D49" s="316" t="s">
        <v>318</v>
      </c>
      <c r="E49" s="317" t="s">
        <v>319</v>
      </c>
      <c r="F49" s="18"/>
      <c r="J49" s="328" t="s">
        <v>306</v>
      </c>
    </row>
    <row r="50" spans="1:23" ht="15.75" thickBot="1" x14ac:dyDescent="0.3">
      <c r="B50" s="329" t="s">
        <v>58</v>
      </c>
      <c r="C50" s="325" t="s">
        <v>53</v>
      </c>
      <c r="D50" s="18">
        <v>278.89999999999998</v>
      </c>
      <c r="E50" s="302">
        <f>$K$6+D50*0.000001</f>
        <v>607.42646889999992</v>
      </c>
      <c r="F50" s="18" t="s">
        <v>321</v>
      </c>
      <c r="J50" s="311">
        <v>0</v>
      </c>
    </row>
    <row r="51" spans="1:23" ht="16.5" thickTop="1" thickBot="1" x14ac:dyDescent="0.3">
      <c r="B51" s="337"/>
      <c r="C51" s="338" t="s">
        <v>70</v>
      </c>
      <c r="D51" s="18">
        <v>292</v>
      </c>
      <c r="E51" s="302">
        <f t="shared" ref="E51:E56" si="3">$K$6+D51*0.000001</f>
        <v>607.42648199999985</v>
      </c>
      <c r="F51" s="18" t="s">
        <v>325</v>
      </c>
      <c r="G51" s="19"/>
      <c r="I51" s="19"/>
    </row>
    <row r="52" spans="1:23" x14ac:dyDescent="0.25">
      <c r="B52" s="329"/>
      <c r="C52" s="326" t="s">
        <v>53</v>
      </c>
      <c r="D52" s="18">
        <v>294.89999999999998</v>
      </c>
      <c r="E52" s="302">
        <f t="shared" si="3"/>
        <v>607.42648489999988</v>
      </c>
      <c r="F52" s="18" t="s">
        <v>321</v>
      </c>
      <c r="G52" s="19"/>
    </row>
    <row r="53" spans="1:23" x14ac:dyDescent="0.25">
      <c r="B53" s="329" t="s">
        <v>303</v>
      </c>
      <c r="C53" s="326" t="s">
        <v>70</v>
      </c>
      <c r="D53" s="18">
        <v>301.7</v>
      </c>
      <c r="E53" s="302">
        <f t="shared" si="3"/>
        <v>607.42649169999993</v>
      </c>
      <c r="F53" s="18" t="s">
        <v>324</v>
      </c>
      <c r="G53" s="19"/>
    </row>
    <row r="54" spans="1:23" ht="15.75" thickBot="1" x14ac:dyDescent="0.3">
      <c r="B54" s="337"/>
      <c r="C54" s="338" t="s">
        <v>304</v>
      </c>
      <c r="D54" s="18">
        <v>311.39999999999998</v>
      </c>
      <c r="E54" s="302">
        <f t="shared" si="3"/>
        <v>607.42650139999989</v>
      </c>
      <c r="F54" s="18" t="s">
        <v>324</v>
      </c>
      <c r="G54" s="19"/>
    </row>
    <row r="55" spans="1:23" x14ac:dyDescent="0.25">
      <c r="B55" s="329" t="s">
        <v>304</v>
      </c>
      <c r="C55" s="326" t="s">
        <v>53</v>
      </c>
      <c r="D55" s="18" t="s">
        <v>305</v>
      </c>
      <c r="E55" s="302" t="e">
        <f t="shared" si="3"/>
        <v>#VALUE!</v>
      </c>
      <c r="F55" s="18"/>
      <c r="G55" s="19"/>
    </row>
    <row r="56" spans="1:23" ht="15.75" thickBot="1" x14ac:dyDescent="0.3">
      <c r="B56" s="330"/>
      <c r="C56" s="327" t="s">
        <v>70</v>
      </c>
      <c r="D56" s="146" t="s">
        <v>305</v>
      </c>
      <c r="E56" s="303" t="e">
        <f t="shared" si="3"/>
        <v>#VALUE!</v>
      </c>
      <c r="F56" s="18"/>
      <c r="G56" s="19"/>
    </row>
    <row r="57" spans="1:23" ht="16.5" thickTop="1" thickBot="1" x14ac:dyDescent="0.3"/>
    <row r="58" spans="1:23" ht="15.75" thickBot="1" x14ac:dyDescent="0.3">
      <c r="A58" s="312"/>
      <c r="B58" s="318" t="s">
        <v>68</v>
      </c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</row>
    <row r="59" spans="1:23" ht="15.75" thickBot="1" x14ac:dyDescent="0.3"/>
    <row r="60" spans="1:23" ht="16.5" thickTop="1" thickBot="1" x14ac:dyDescent="0.3">
      <c r="B60" s="315" t="s">
        <v>307</v>
      </c>
      <c r="C60" s="316" t="s">
        <v>308</v>
      </c>
      <c r="D60" s="316" t="s">
        <v>318</v>
      </c>
      <c r="E60" s="317" t="s">
        <v>319</v>
      </c>
      <c r="F60" s="18"/>
      <c r="J60" s="328" t="s">
        <v>306</v>
      </c>
    </row>
    <row r="61" spans="1:23" ht="15.75" thickBot="1" x14ac:dyDescent="0.3">
      <c r="B61" s="329" t="s">
        <v>58</v>
      </c>
      <c r="C61" s="325" t="s">
        <v>53</v>
      </c>
      <c r="D61" s="18">
        <v>355.3</v>
      </c>
      <c r="E61" s="302">
        <f>$K$6+D61*0.000001</f>
        <v>607.42654529999993</v>
      </c>
      <c r="F61" s="18" t="s">
        <v>321</v>
      </c>
      <c r="J61" s="311">
        <v>0</v>
      </c>
    </row>
    <row r="62" spans="1:23" ht="16.5" thickTop="1" thickBot="1" x14ac:dyDescent="0.3">
      <c r="B62" s="337"/>
      <c r="C62" s="338" t="s">
        <v>70</v>
      </c>
      <c r="D62" s="18">
        <v>394</v>
      </c>
      <c r="E62" s="302">
        <f t="shared" ref="E62:E67" si="4">$K$6+D62*0.000001</f>
        <v>607.42658399999993</v>
      </c>
      <c r="F62" s="18" t="s">
        <v>326</v>
      </c>
      <c r="G62" s="19"/>
      <c r="I62" s="19"/>
    </row>
    <row r="63" spans="1:23" x14ac:dyDescent="0.25">
      <c r="B63" s="329"/>
      <c r="C63" s="326" t="s">
        <v>53</v>
      </c>
      <c r="D63" s="18">
        <v>372.3</v>
      </c>
      <c r="E63" s="302">
        <f t="shared" si="4"/>
        <v>607.42656229999989</v>
      </c>
      <c r="F63" s="18" t="s">
        <v>321</v>
      </c>
      <c r="G63" s="19"/>
    </row>
    <row r="64" spans="1:23" x14ac:dyDescent="0.25">
      <c r="B64" s="329" t="s">
        <v>303</v>
      </c>
      <c r="C64" s="326" t="s">
        <v>70</v>
      </c>
      <c r="D64" s="18">
        <v>413.2</v>
      </c>
      <c r="E64" s="302">
        <f t="shared" si="4"/>
        <v>607.42660319999993</v>
      </c>
      <c r="F64" s="18" t="s">
        <v>324</v>
      </c>
      <c r="G64" s="19"/>
    </row>
    <row r="65" spans="2:7" ht="15.75" thickBot="1" x14ac:dyDescent="0.3">
      <c r="B65" s="337"/>
      <c r="C65" s="338" t="s">
        <v>304</v>
      </c>
      <c r="D65" s="18">
        <v>426</v>
      </c>
      <c r="E65" s="302">
        <f t="shared" si="4"/>
        <v>607.42661599999985</v>
      </c>
      <c r="F65" s="18" t="s">
        <v>324</v>
      </c>
      <c r="G65" s="19"/>
    </row>
    <row r="66" spans="2:7" x14ac:dyDescent="0.25">
      <c r="B66" s="329" t="s">
        <v>304</v>
      </c>
      <c r="C66" s="326" t="s">
        <v>53</v>
      </c>
      <c r="D66" s="18" t="s">
        <v>305</v>
      </c>
      <c r="E66" s="302" t="e">
        <f t="shared" si="4"/>
        <v>#VALUE!</v>
      </c>
      <c r="F66" s="18"/>
      <c r="G66" s="19"/>
    </row>
    <row r="67" spans="2:7" ht="15.75" thickBot="1" x14ac:dyDescent="0.3">
      <c r="B67" s="330"/>
      <c r="C67" s="327" t="s">
        <v>70</v>
      </c>
      <c r="D67" s="146" t="s">
        <v>305</v>
      </c>
      <c r="E67" s="303" t="e">
        <f t="shared" si="4"/>
        <v>#VALUE!</v>
      </c>
      <c r="F67" s="18"/>
      <c r="G67" s="19"/>
    </row>
    <row r="68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Methods</vt:lpstr>
      <vt:lpstr>493nm</vt:lpstr>
      <vt:lpstr>650nm</vt:lpstr>
      <vt:lpstr>Isotope-Sw</vt:lpstr>
      <vt:lpstr>Trapping-History</vt:lpstr>
      <vt:lpstr>Center-Abl</vt:lpstr>
      <vt:lpstr>Neutral</vt:lpstr>
      <vt:lpstr>Even-Isotopes</vt:lpstr>
      <vt:lpstr>Odd-Isotopes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2021-09-08T23:51:34Z</dcterms:modified>
</cp:coreProperties>
</file>