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20" windowWidth="14595" windowHeight="7620"/>
  </bookViews>
  <sheets>
    <sheet name="Analysis" sheetId="4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/>
</workbook>
</file>

<file path=xl/calcChain.xml><?xml version="1.0" encoding="utf-8"?>
<calcChain xmlns="http://schemas.openxmlformats.org/spreadsheetml/2006/main">
  <c r="B14" i="4" l="1"/>
  <c r="AF14" i="4"/>
  <c r="AG14" i="4"/>
  <c r="B15" i="4"/>
  <c r="AF15" i="4"/>
  <c r="AG15" i="4"/>
  <c r="B16" i="4"/>
  <c r="AF16" i="4"/>
  <c r="AG16" i="4"/>
  <c r="B17" i="4"/>
  <c r="AF17" i="4"/>
  <c r="AG17" i="4"/>
  <c r="B18" i="4"/>
  <c r="AF18" i="4"/>
  <c r="AG18" i="4"/>
  <c r="B19" i="4"/>
  <c r="AF19" i="4"/>
  <c r="AG19" i="4"/>
  <c r="B20" i="4"/>
  <c r="AF20" i="4"/>
  <c r="AG20" i="4"/>
  <c r="B21" i="4"/>
  <c r="AF21" i="4"/>
  <c r="AG21" i="4"/>
  <c r="B22" i="4"/>
  <c r="AF22" i="4"/>
  <c r="AG22" i="4"/>
  <c r="B23" i="4"/>
  <c r="AF23" i="4"/>
  <c r="AG23" i="4"/>
  <c r="B24" i="4"/>
  <c r="AF24" i="4"/>
  <c r="AG24" i="4"/>
  <c r="B25" i="4"/>
  <c r="AF25" i="4"/>
  <c r="AG25" i="4"/>
  <c r="C22" i="4" l="1"/>
  <c r="C19" i="4"/>
  <c r="C24" i="4"/>
  <c r="C16" i="4"/>
  <c r="C18" i="4"/>
  <c r="C14" i="4"/>
  <c r="C23" i="4"/>
  <c r="C15" i="4"/>
  <c r="C20" i="4"/>
  <c r="C25" i="4"/>
  <c r="C21" i="4"/>
  <c r="C17" i="4"/>
  <c r="AH8" i="4"/>
  <c r="B28" i="4" l="1"/>
  <c r="B11" i="4"/>
  <c r="B12" i="4"/>
  <c r="B13" i="4"/>
  <c r="B26" i="4"/>
  <c r="B27" i="4"/>
  <c r="B10" i="4"/>
  <c r="B9" i="4"/>
  <c r="C12" i="4" l="1"/>
  <c r="C26" i="4"/>
  <c r="C28" i="4"/>
  <c r="C9" i="4"/>
  <c r="C13" i="4"/>
  <c r="C10" i="4"/>
  <c r="C27" i="4"/>
  <c r="C11" i="4"/>
  <c r="Q28" i="4"/>
  <c r="Q27" i="4" l="1"/>
  <c r="O9" i="4"/>
  <c r="B29" i="4"/>
  <c r="AI22" i="4" l="1"/>
  <c r="AI24" i="4"/>
  <c r="AI18" i="4"/>
  <c r="AI23" i="4"/>
  <c r="AI20" i="4"/>
  <c r="AI21" i="4"/>
  <c r="AI19" i="4"/>
  <c r="AI16" i="4"/>
  <c r="AI14" i="4"/>
  <c r="AI15" i="4"/>
  <c r="AI25" i="4"/>
  <c r="AI17" i="4"/>
  <c r="AI26" i="4"/>
  <c r="AI9" i="4"/>
  <c r="AI10" i="4"/>
  <c r="AI11" i="4"/>
  <c r="AI12" i="4"/>
  <c r="AI28" i="4"/>
  <c r="AI13" i="4"/>
  <c r="AI27" i="4"/>
  <c r="R28" i="4"/>
  <c r="Y28" i="4" s="1"/>
  <c r="B1" i="4"/>
  <c r="R27" i="4"/>
  <c r="Y27" i="4" s="1"/>
  <c r="Q26" i="4"/>
  <c r="Q25" i="4" s="1"/>
  <c r="P9" i="4"/>
  <c r="AB9" i="4" s="1"/>
  <c r="O10" i="4"/>
  <c r="Q24" i="4" l="1"/>
  <c r="R25" i="4"/>
  <c r="Y25" i="4" s="1"/>
  <c r="AF28" i="4"/>
  <c r="AG27" i="4"/>
  <c r="R26" i="4"/>
  <c r="Y26" i="4" s="1"/>
  <c r="P10" i="4"/>
  <c r="AB10" i="4" s="1"/>
  <c r="O11" i="4"/>
  <c r="AF13" i="4"/>
  <c r="D30" i="4"/>
  <c r="AF27" i="4"/>
  <c r="AF12" i="4"/>
  <c r="D29" i="4"/>
  <c r="M9" i="4"/>
  <c r="T17" i="4" l="1"/>
  <c r="T21" i="4"/>
  <c r="T16" i="4"/>
  <c r="T20" i="4"/>
  <c r="T15" i="4"/>
  <c r="T19" i="4"/>
  <c r="T23" i="4"/>
  <c r="T14" i="4"/>
  <c r="T18" i="4"/>
  <c r="T22" i="4"/>
  <c r="T25" i="4"/>
  <c r="T24" i="4"/>
  <c r="G28" i="4"/>
  <c r="G17" i="4"/>
  <c r="G21" i="4"/>
  <c r="G25" i="4"/>
  <c r="G16" i="4"/>
  <c r="G20" i="4"/>
  <c r="G24" i="4"/>
  <c r="G15" i="4"/>
  <c r="G19" i="4"/>
  <c r="G23" i="4"/>
  <c r="G14" i="4"/>
  <c r="G18" i="4"/>
  <c r="G22" i="4"/>
  <c r="Q23" i="4"/>
  <c r="R24" i="4"/>
  <c r="Y24" i="4" s="1"/>
  <c r="T28" i="4"/>
  <c r="U28" i="4" s="1"/>
  <c r="C29" i="4"/>
  <c r="B5" i="4" s="1"/>
  <c r="AG10" i="4"/>
  <c r="AG12" i="4"/>
  <c r="AG9" i="4"/>
  <c r="AF10" i="4"/>
  <c r="AG11" i="4"/>
  <c r="AF26" i="4"/>
  <c r="AG13" i="4"/>
  <c r="AF11" i="4"/>
  <c r="AG26" i="4"/>
  <c r="T9" i="4"/>
  <c r="U9" i="4" s="1"/>
  <c r="T26" i="4"/>
  <c r="U26" i="4" s="1"/>
  <c r="C30" i="4"/>
  <c r="Z10" i="4"/>
  <c r="AD30" i="4" s="1"/>
  <c r="T13" i="4"/>
  <c r="T10" i="4"/>
  <c r="T12" i="4"/>
  <c r="T11" i="4"/>
  <c r="T27" i="4"/>
  <c r="P11" i="4"/>
  <c r="AB11" i="4" s="1"/>
  <c r="O12" i="4"/>
  <c r="G13" i="4"/>
  <c r="G10" i="4"/>
  <c r="G9" i="4"/>
  <c r="G12" i="4"/>
  <c r="G11" i="4"/>
  <c r="M10" i="4"/>
  <c r="V28" i="4" l="1"/>
  <c r="I18" i="4"/>
  <c r="AC18" i="4"/>
  <c r="I15" i="4"/>
  <c r="AC15" i="4"/>
  <c r="I25" i="4"/>
  <c r="AC25" i="4"/>
  <c r="U24" i="4"/>
  <c r="V24" i="4"/>
  <c r="U14" i="4"/>
  <c r="V14" i="4"/>
  <c r="U20" i="4"/>
  <c r="V20" i="4"/>
  <c r="I14" i="4"/>
  <c r="AC14" i="4"/>
  <c r="AC24" i="4"/>
  <c r="I24" i="4"/>
  <c r="I21" i="4"/>
  <c r="AC21" i="4"/>
  <c r="V25" i="4"/>
  <c r="U25" i="4"/>
  <c r="V23" i="4"/>
  <c r="U23" i="4"/>
  <c r="U16" i="4"/>
  <c r="V16" i="4"/>
  <c r="Q22" i="4"/>
  <c r="R23" i="4"/>
  <c r="Y23" i="4" s="1"/>
  <c r="I23" i="4"/>
  <c r="AC23" i="4"/>
  <c r="AC20" i="4"/>
  <c r="I20" i="4"/>
  <c r="I17" i="4"/>
  <c r="AC17" i="4"/>
  <c r="U22" i="4"/>
  <c r="V22" i="4"/>
  <c r="V19" i="4"/>
  <c r="U19" i="4"/>
  <c r="U21" i="4"/>
  <c r="V21" i="4"/>
  <c r="L22" i="4"/>
  <c r="L18" i="4"/>
  <c r="L24" i="4"/>
  <c r="L17" i="4"/>
  <c r="L21" i="4"/>
  <c r="L16" i="4"/>
  <c r="L25" i="4"/>
  <c r="L15" i="4"/>
  <c r="L19" i="4"/>
  <c r="L20" i="4"/>
  <c r="L14" i="4"/>
  <c r="L23" i="4"/>
  <c r="I22" i="4"/>
  <c r="AC22" i="4"/>
  <c r="I19" i="4"/>
  <c r="AC19" i="4"/>
  <c r="AC16" i="4"/>
  <c r="I16" i="4"/>
  <c r="U18" i="4"/>
  <c r="V18" i="4"/>
  <c r="V15" i="4"/>
  <c r="U15" i="4"/>
  <c r="U17" i="4"/>
  <c r="V17" i="4"/>
  <c r="N10" i="4"/>
  <c r="N9" i="4"/>
  <c r="N11" i="4"/>
  <c r="AC11" i="4"/>
  <c r="AG29" i="4"/>
  <c r="AC43" i="4" s="1"/>
  <c r="I9" i="4"/>
  <c r="AC9" i="4"/>
  <c r="AD9" i="4" s="1"/>
  <c r="I13" i="4"/>
  <c r="AC12" i="4"/>
  <c r="AC10" i="4"/>
  <c r="AD10" i="4" s="1"/>
  <c r="AC13" i="4"/>
  <c r="AD11" i="4"/>
  <c r="V27" i="4"/>
  <c r="U27" i="4"/>
  <c r="V10" i="4"/>
  <c r="U10" i="4"/>
  <c r="V11" i="4"/>
  <c r="U11" i="4"/>
  <c r="V12" i="4"/>
  <c r="U12" i="4"/>
  <c r="V13" i="4"/>
  <c r="U13" i="4"/>
  <c r="V9" i="4"/>
  <c r="V26" i="4"/>
  <c r="P12" i="4"/>
  <c r="AB12" i="4" s="1"/>
  <c r="AD12" i="4" s="1"/>
  <c r="O13" i="4"/>
  <c r="O14" i="4" s="1"/>
  <c r="I10" i="4"/>
  <c r="I11" i="4"/>
  <c r="I12" i="4"/>
  <c r="M11" i="4"/>
  <c r="O15" i="4" l="1"/>
  <c r="P14" i="4"/>
  <c r="Q21" i="4"/>
  <c r="R22" i="4"/>
  <c r="Y22" i="4" s="1"/>
  <c r="N12" i="4"/>
  <c r="P13" i="4"/>
  <c r="M12" i="4"/>
  <c r="AF9" i="4"/>
  <c r="AF29" i="4" s="1"/>
  <c r="AC42" i="4" s="1"/>
  <c r="Q20" i="4" l="1"/>
  <c r="R21" i="4"/>
  <c r="Y21" i="4" s="1"/>
  <c r="AB14" i="4"/>
  <c r="AD14" i="4" s="1"/>
  <c r="N14" i="4"/>
  <c r="O16" i="4"/>
  <c r="P15" i="4"/>
  <c r="AB13" i="4"/>
  <c r="AD13" i="4" s="1"/>
  <c r="N13" i="4"/>
  <c r="M13" i="4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E29" i="4"/>
  <c r="G27" i="4"/>
  <c r="G26" i="4"/>
  <c r="AC41" i="4" l="1"/>
  <c r="AC44" i="4" s="1"/>
  <c r="AC46" i="4" s="1"/>
  <c r="F16" i="4"/>
  <c r="S16" i="4"/>
  <c r="F20" i="4"/>
  <c r="S20" i="4"/>
  <c r="F24" i="4"/>
  <c r="S24" i="4"/>
  <c r="F15" i="4"/>
  <c r="S15" i="4"/>
  <c r="F19" i="4"/>
  <c r="S19" i="4"/>
  <c r="F23" i="4"/>
  <c r="S23" i="4"/>
  <c r="F14" i="4"/>
  <c r="S14" i="4"/>
  <c r="F18" i="4"/>
  <c r="S18" i="4"/>
  <c r="F22" i="4"/>
  <c r="S22" i="4"/>
  <c r="F17" i="4"/>
  <c r="S17" i="4"/>
  <c r="W17" i="4" s="1"/>
  <c r="X17" i="4" s="1"/>
  <c r="F21" i="4"/>
  <c r="S21" i="4"/>
  <c r="W21" i="4" s="1"/>
  <c r="X21" i="4" s="1"/>
  <c r="F25" i="4"/>
  <c r="AH25" i="4" s="1"/>
  <c r="S25" i="4"/>
  <c r="AB15" i="4"/>
  <c r="AD15" i="4" s="1"/>
  <c r="N15" i="4"/>
  <c r="P16" i="4"/>
  <c r="O17" i="4"/>
  <c r="Q19" i="4"/>
  <c r="R20" i="4"/>
  <c r="Y20" i="4" s="1"/>
  <c r="AC26" i="4"/>
  <c r="AC27" i="4"/>
  <c r="AC28" i="4"/>
  <c r="F26" i="4"/>
  <c r="AH26" i="4" s="1"/>
  <c r="S28" i="4"/>
  <c r="S11" i="4"/>
  <c r="S27" i="4"/>
  <c r="S13" i="4"/>
  <c r="S26" i="4"/>
  <c r="S12" i="4"/>
  <c r="S10" i="4"/>
  <c r="S9" i="4"/>
  <c r="I26" i="4"/>
  <c r="I27" i="4"/>
  <c r="I28" i="4"/>
  <c r="F11" i="4"/>
  <c r="AH11" i="4" s="1"/>
  <c r="F10" i="4"/>
  <c r="AH10" i="4" s="1"/>
  <c r="F9" i="4"/>
  <c r="AH9" i="4" s="1"/>
  <c r="F13" i="4"/>
  <c r="F12" i="4"/>
  <c r="AH12" i="4" s="1"/>
  <c r="F28" i="4"/>
  <c r="AH28" i="4" s="1"/>
  <c r="F27" i="4"/>
  <c r="AH27" i="4" s="1"/>
  <c r="H26" i="4" l="1"/>
  <c r="J26" i="4" s="1"/>
  <c r="W22" i="4"/>
  <c r="X22" i="4" s="1"/>
  <c r="W14" i="4"/>
  <c r="X14" i="4" s="1"/>
  <c r="W19" i="4"/>
  <c r="X19" i="4" s="1"/>
  <c r="W25" i="4"/>
  <c r="X25" i="4" s="1"/>
  <c r="W18" i="4"/>
  <c r="X18" i="4" s="1"/>
  <c r="W23" i="4"/>
  <c r="X23" i="4" s="1"/>
  <c r="W15" i="4"/>
  <c r="X15" i="4" s="1"/>
  <c r="AB16" i="4"/>
  <c r="AD16" i="4" s="1"/>
  <c r="N16" i="4"/>
  <c r="H18" i="4"/>
  <c r="J18" i="4" s="1"/>
  <c r="AH17" i="4"/>
  <c r="H19" i="4"/>
  <c r="J19" i="4" s="1"/>
  <c r="AH18" i="4"/>
  <c r="H24" i="4"/>
  <c r="J24" i="4" s="1"/>
  <c r="AH23" i="4"/>
  <c r="H16" i="4"/>
  <c r="J16" i="4" s="1"/>
  <c r="AH15" i="4"/>
  <c r="H21" i="4"/>
  <c r="J21" i="4" s="1"/>
  <c r="AH20" i="4"/>
  <c r="W24" i="4"/>
  <c r="X24" i="4" s="1"/>
  <c r="W16" i="4"/>
  <c r="X16" i="4" s="1"/>
  <c r="AH13" i="4"/>
  <c r="H14" i="4"/>
  <c r="J14" i="4" s="1"/>
  <c r="Q18" i="4"/>
  <c r="R19" i="4"/>
  <c r="Y19" i="4" s="1"/>
  <c r="H22" i="4"/>
  <c r="J22" i="4" s="1"/>
  <c r="AH21" i="4"/>
  <c r="H23" i="4"/>
  <c r="J23" i="4" s="1"/>
  <c r="AH22" i="4"/>
  <c r="H15" i="4"/>
  <c r="J15" i="4" s="1"/>
  <c r="AH14" i="4"/>
  <c r="H20" i="4"/>
  <c r="J20" i="4" s="1"/>
  <c r="AH19" i="4"/>
  <c r="H25" i="4"/>
  <c r="J25" i="4" s="1"/>
  <c r="AH24" i="4"/>
  <c r="H17" i="4"/>
  <c r="J17" i="4" s="1"/>
  <c r="AH16" i="4"/>
  <c r="P17" i="4"/>
  <c r="O18" i="4"/>
  <c r="W20" i="4"/>
  <c r="X20" i="4" s="1"/>
  <c r="W12" i="4"/>
  <c r="X12" i="4" s="1"/>
  <c r="W13" i="4"/>
  <c r="X13" i="4" s="1"/>
  <c r="W10" i="4"/>
  <c r="X10" i="4" s="1"/>
  <c r="W26" i="4"/>
  <c r="X26" i="4" s="1"/>
  <c r="W28" i="4"/>
  <c r="X28" i="4" s="1"/>
  <c r="W27" i="4"/>
  <c r="X27" i="4" s="1"/>
  <c r="W9" i="4"/>
  <c r="X9" i="4" s="1"/>
  <c r="W11" i="4"/>
  <c r="X11" i="4" s="1"/>
  <c r="H28" i="4"/>
  <c r="J28" i="4" s="1"/>
  <c r="H12" i="4"/>
  <c r="J12" i="4" s="1"/>
  <c r="H13" i="4"/>
  <c r="J13" i="4" s="1"/>
  <c r="H11" i="4"/>
  <c r="J11" i="4" s="1"/>
  <c r="H27" i="4"/>
  <c r="J27" i="4" s="1"/>
  <c r="H9" i="4"/>
  <c r="J9" i="4" s="1"/>
  <c r="H10" i="4"/>
  <c r="J10" i="4" s="1"/>
  <c r="G29" i="4" l="1"/>
  <c r="O19" i="4"/>
  <c r="P18" i="4"/>
  <c r="AB17" i="4"/>
  <c r="AD17" i="4" s="1"/>
  <c r="N17" i="4"/>
  <c r="Q17" i="4"/>
  <c r="R18" i="4"/>
  <c r="Y18" i="4" s="1"/>
  <c r="X29" i="4"/>
  <c r="X30" i="4" s="1"/>
  <c r="J29" i="4"/>
  <c r="AB18" i="4" l="1"/>
  <c r="AD18" i="4" s="1"/>
  <c r="N18" i="4"/>
  <c r="Q16" i="4"/>
  <c r="R17" i="4"/>
  <c r="Y17" i="4" s="1"/>
  <c r="O20" i="4"/>
  <c r="P19" i="4"/>
  <c r="J30" i="4"/>
  <c r="B3" i="4" s="1"/>
  <c r="J31" i="4"/>
  <c r="P20" i="4" l="1"/>
  <c r="O21" i="4"/>
  <c r="AB19" i="4"/>
  <c r="AD19" i="4" s="1"/>
  <c r="N19" i="4"/>
  <c r="Q15" i="4"/>
  <c r="R16" i="4"/>
  <c r="Y16" i="4" s="1"/>
  <c r="P21" i="4" l="1"/>
  <c r="O22" i="4"/>
  <c r="Q14" i="4"/>
  <c r="R15" i="4"/>
  <c r="Y15" i="4" s="1"/>
  <c r="AB20" i="4"/>
  <c r="AD20" i="4" s="1"/>
  <c r="N20" i="4"/>
  <c r="R14" i="4" l="1"/>
  <c r="Y14" i="4" s="1"/>
  <c r="Q13" i="4"/>
  <c r="O23" i="4"/>
  <c r="P22" i="4"/>
  <c r="AB21" i="4"/>
  <c r="AD21" i="4" s="1"/>
  <c r="N21" i="4"/>
  <c r="AB22" i="4" l="1"/>
  <c r="AD22" i="4" s="1"/>
  <c r="N22" i="4"/>
  <c r="O24" i="4"/>
  <c r="P23" i="4"/>
  <c r="Q12" i="4"/>
  <c r="R13" i="4"/>
  <c r="Y13" i="4" s="1"/>
  <c r="AB23" i="4" l="1"/>
  <c r="AD23" i="4" s="1"/>
  <c r="N23" i="4"/>
  <c r="P24" i="4"/>
  <c r="O25" i="4"/>
  <c r="R12" i="4"/>
  <c r="Y12" i="4" s="1"/>
  <c r="Q11" i="4"/>
  <c r="P25" i="4" l="1"/>
  <c r="O26" i="4"/>
  <c r="AB24" i="4"/>
  <c r="AD24" i="4" s="1"/>
  <c r="N24" i="4"/>
  <c r="Q10" i="4"/>
  <c r="R11" i="4"/>
  <c r="Y11" i="4" s="1"/>
  <c r="M26" i="4"/>
  <c r="P26" i="4" l="1"/>
  <c r="O27" i="4"/>
  <c r="Q9" i="4"/>
  <c r="R9" i="4" s="1"/>
  <c r="Y9" i="4" s="1"/>
  <c r="R10" i="4"/>
  <c r="Y10" i="4" s="1"/>
  <c r="AB25" i="4"/>
  <c r="AD25" i="4" s="1"/>
  <c r="N25" i="4"/>
  <c r="M27" i="4"/>
  <c r="P27" i="4" l="1"/>
  <c r="O28" i="4"/>
  <c r="P28" i="4" s="1"/>
  <c r="N26" i="4"/>
  <c r="AB26" i="4"/>
  <c r="AD26" i="4" s="1"/>
  <c r="M28" i="4"/>
  <c r="L26" i="4"/>
  <c r="L11" i="4"/>
  <c r="L13" i="4"/>
  <c r="L9" i="4"/>
  <c r="L10" i="4"/>
  <c r="L12" i="4"/>
  <c r="L28" i="4"/>
  <c r="N28" i="4" l="1"/>
  <c r="AB28" i="4"/>
  <c r="AD28" i="4" s="1"/>
  <c r="AB27" i="4"/>
  <c r="AD27" i="4" s="1"/>
  <c r="AD29" i="4" s="1"/>
  <c r="AD31" i="4" s="1"/>
  <c r="N27" i="4"/>
  <c r="L27" i="4"/>
</calcChain>
</file>

<file path=xl/sharedStrings.xml><?xml version="1.0" encoding="utf-8"?>
<sst xmlns="http://schemas.openxmlformats.org/spreadsheetml/2006/main" count="69" uniqueCount="61">
  <si>
    <t>Score bands</t>
  </si>
  <si>
    <t>sum goods</t>
  </si>
  <si>
    <t>Z</t>
  </si>
  <si>
    <t>sum Z</t>
  </si>
  <si>
    <t xml:space="preserve">gini </t>
  </si>
  <si>
    <t>Gini global</t>
  </si>
  <si>
    <t>acc rate</t>
  </si>
  <si>
    <t>all cum</t>
  </si>
  <si>
    <t>Gini</t>
  </si>
  <si>
    <t>Number of cases</t>
  </si>
  <si>
    <t>Lift</t>
  </si>
  <si>
    <t>cum lift</t>
  </si>
  <si>
    <t>Global bad rate</t>
  </si>
  <si>
    <t>Observed bad rate</t>
  </si>
  <si>
    <t>Bads</t>
  </si>
  <si>
    <t>goods</t>
  </si>
  <si>
    <t>cumbads-</t>
  </si>
  <si>
    <t>cum bads%</t>
  </si>
  <si>
    <t>cumgoods+</t>
  </si>
  <si>
    <t>cumbads</t>
  </si>
  <si>
    <t>cumgoods%</t>
  </si>
  <si>
    <t>Gains</t>
  </si>
  <si>
    <t>TPrate</t>
  </si>
  <si>
    <t>Sensitivity</t>
  </si>
  <si>
    <t>Hit rate</t>
  </si>
  <si>
    <t>Fprate</t>
  </si>
  <si>
    <t>1-Specificity</t>
  </si>
  <si>
    <t>False alarm rate</t>
  </si>
  <si>
    <t>reverse acc rate</t>
  </si>
  <si>
    <t>reverse all cum</t>
  </si>
  <si>
    <t>x</t>
  </si>
  <si>
    <t>y</t>
  </si>
  <si>
    <t>x-</t>
  </si>
  <si>
    <t>y+</t>
  </si>
  <si>
    <t>Z new</t>
  </si>
  <si>
    <t>AUC</t>
  </si>
  <si>
    <t>ROC</t>
  </si>
  <si>
    <t>Random model ROC</t>
  </si>
  <si>
    <t>Random model CAP</t>
  </si>
  <si>
    <t>CAP</t>
  </si>
  <si>
    <t>CAP crystal bal</t>
  </si>
  <si>
    <t>CAP x-</t>
  </si>
  <si>
    <t>CAP y+</t>
  </si>
  <si>
    <t>CAP Z</t>
  </si>
  <si>
    <t>ar</t>
  </si>
  <si>
    <t>ap</t>
  </si>
  <si>
    <t>ar/ap</t>
  </si>
  <si>
    <t>Gini from CAP</t>
  </si>
  <si>
    <t>%Bad captured</t>
  </si>
  <si>
    <t>%Goods remain</t>
  </si>
  <si>
    <t>%Bads remain</t>
  </si>
  <si>
    <t>%Good captured</t>
  </si>
  <si>
    <t>Formal AUC</t>
  </si>
  <si>
    <t>number of pairs</t>
  </si>
  <si>
    <t>number of tied</t>
  </si>
  <si>
    <t>tied</t>
  </si>
  <si>
    <t>concordant</t>
  </si>
  <si>
    <t>number of concordant</t>
  </si>
  <si>
    <t>number of discordant</t>
  </si>
  <si>
    <t>KS</t>
  </si>
  <si>
    <t>Somers'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</si>
</sst>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4" borderId="0" xfId="0" applyNumberFormat="1" applyFill="1" applyAlignment="1">
      <alignment vertical="center" wrapText="1"/>
    </xf>
    <xf numFmtId="0" fontId="0" fillId="0" borderId="2" xfId="0" applyBorder="1" applyAlignment="1">
      <alignment vertical="center" wrapText="1"/>
    </xf>
    <xf numFmtId="10" fontId="0" fillId="3" borderId="2" xfId="1" applyNumberFormat="1" applyFont="1" applyFill="1" applyBorder="1" applyAlignment="1">
      <alignment vertical="center" wrapText="1"/>
    </xf>
    <xf numFmtId="10" fontId="2" fillId="0" borderId="0" xfId="1" applyNumberFormat="1" applyFont="1" applyAlignment="1">
      <alignment vertical="center" wrapText="1"/>
    </xf>
    <xf numFmtId="10" fontId="0" fillId="2" borderId="1" xfId="1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0" fillId="5" borderId="0" xfId="1" applyNumberFormat="1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2" fontId="0" fillId="3" borderId="0" xfId="0" applyNumberFormat="1" applyFill="1" applyBorder="1" applyAlignment="1">
      <alignment vertical="center" wrapText="1"/>
    </xf>
    <xf numFmtId="2" fontId="0" fillId="0" borderId="0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0" fillId="0" borderId="4" xfId="0" applyNumberFormat="1" applyFill="1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10" fontId="0" fillId="5" borderId="4" xfId="1" applyNumberFormat="1" applyFont="1" applyFill="1" applyBorder="1" applyAlignment="1">
      <alignment vertical="center" wrapText="1"/>
    </xf>
    <xf numFmtId="10" fontId="0" fillId="0" borderId="4" xfId="1" applyNumberFormat="1" applyFon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10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3" fontId="0" fillId="0" borderId="0" xfId="0" applyNumberFormat="1" applyFill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10" fontId="0" fillId="5" borderId="0" xfId="1" applyNumberFormat="1" applyFont="1" applyFill="1" applyBorder="1" applyAlignment="1">
      <alignment vertical="center" wrapText="1"/>
    </xf>
    <xf numFmtId="10" fontId="0" fillId="0" borderId="0" xfId="1" applyNumberFormat="1" applyFont="1" applyBorder="1" applyAlignment="1">
      <alignment vertical="center" wrapText="1"/>
    </xf>
    <xf numFmtId="1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3" fontId="0" fillId="0" borderId="7" xfId="0" applyNumberFormat="1" applyFill="1" applyBorder="1" applyAlignment="1">
      <alignment vertical="center" wrapText="1"/>
    </xf>
    <xf numFmtId="3" fontId="0" fillId="0" borderId="7" xfId="0" applyNumberFormat="1" applyBorder="1" applyAlignment="1">
      <alignment vertical="center" wrapText="1"/>
    </xf>
    <xf numFmtId="10" fontId="0" fillId="5" borderId="7" xfId="1" applyNumberFormat="1" applyFont="1" applyFill="1" applyBorder="1" applyAlignment="1">
      <alignment vertical="center" wrapText="1"/>
    </xf>
    <xf numFmtId="10" fontId="0" fillId="0" borderId="7" xfId="1" applyNumberFormat="1" applyFont="1" applyBorder="1" applyAlignment="1">
      <alignment vertical="center" wrapText="1"/>
    </xf>
    <xf numFmtId="2" fontId="0" fillId="3" borderId="7" xfId="0" applyNumberFormat="1" applyFill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0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6" borderId="0" xfId="0" applyFill="1" applyAlignment="1">
      <alignment horizontal="right" vertical="center" wrapText="1"/>
    </xf>
    <xf numFmtId="2" fontId="0" fillId="6" borderId="0" xfId="1" applyNumberFormat="1" applyFont="1" applyFill="1" applyAlignment="1">
      <alignment vertical="center" wrapText="1"/>
    </xf>
    <xf numFmtId="9" fontId="0" fillId="0" borderId="0" xfId="0" applyNumberFormat="1" applyAlignment="1">
      <alignment vertical="center" wrapText="1"/>
    </xf>
    <xf numFmtId="3" fontId="0" fillId="2" borderId="4" xfId="0" applyNumberForma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3" borderId="2" xfId="1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Bad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Analysis!$C$9:$C$28</c:f>
              <c:numCache>
                <c:formatCode>0.00%</c:formatCode>
                <c:ptCount val="20"/>
                <c:pt idx="0">
                  <c:v>0.97318007662835249</c:v>
                </c:pt>
                <c:pt idx="1">
                  <c:v>0.9296875</c:v>
                </c:pt>
                <c:pt idx="2">
                  <c:v>0.89451476793248941</c:v>
                </c:pt>
                <c:pt idx="3">
                  <c:v>0.85766423357664234</c:v>
                </c:pt>
                <c:pt idx="4">
                  <c:v>0.8125</c:v>
                </c:pt>
                <c:pt idx="5">
                  <c:v>0.7381974248927039</c:v>
                </c:pt>
                <c:pt idx="6">
                  <c:v>0.67264573991031396</c:v>
                </c:pt>
                <c:pt idx="7">
                  <c:v>0.60563380281690138</c:v>
                </c:pt>
                <c:pt idx="8">
                  <c:v>0.54824561403508776</c:v>
                </c:pt>
                <c:pt idx="9">
                  <c:v>0.44791666666666669</c:v>
                </c:pt>
                <c:pt idx="10">
                  <c:v>0.37209302325581395</c:v>
                </c:pt>
                <c:pt idx="11">
                  <c:v>0.41489361702127658</c:v>
                </c:pt>
                <c:pt idx="12">
                  <c:v>0.32183908045977011</c:v>
                </c:pt>
                <c:pt idx="13">
                  <c:v>0.35406698564593303</c:v>
                </c:pt>
                <c:pt idx="14">
                  <c:v>0.27659574468085107</c:v>
                </c:pt>
                <c:pt idx="15">
                  <c:v>0.20547945205479451</c:v>
                </c:pt>
                <c:pt idx="16">
                  <c:v>0.21705426356589147</c:v>
                </c:pt>
                <c:pt idx="17">
                  <c:v>0.1148936170212766</c:v>
                </c:pt>
                <c:pt idx="18">
                  <c:v>4.5081967213114756E-2</c:v>
                </c:pt>
                <c:pt idx="19">
                  <c:v>2.2727272727272728E-2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2548352"/>
        <c:axId val="72550272"/>
      </c:lineChart>
      <c:catAx>
        <c:axId val="725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2550272"/>
        <c:crosses val="autoZero"/>
        <c:auto val="1"/>
        <c:lblAlgn val="ctr"/>
        <c:lblOffset val="100"/>
        <c:noMultiLvlLbl val="0"/>
      </c:catAx>
      <c:valAx>
        <c:axId val="725502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254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Lift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Analysis!$P$9:$P$28</c:f>
              <c:numCache>
                <c:formatCode>0.00%</c:formatCode>
                <c:ptCount val="20"/>
                <c:pt idx="0">
                  <c:v>5.5579216354344124E-2</c:v>
                </c:pt>
                <c:pt idx="1">
                  <c:v>0.11009369676320273</c:v>
                </c:pt>
                <c:pt idx="2">
                  <c:v>0.16056218057921637</c:v>
                </c:pt>
                <c:pt idx="3">
                  <c:v>0.21890971039182283</c:v>
                </c:pt>
                <c:pt idx="4">
                  <c:v>0.26320272572402043</c:v>
                </c:pt>
                <c:pt idx="5">
                  <c:v>0.31281942078364566</c:v>
                </c:pt>
                <c:pt idx="6">
                  <c:v>0.36030664395229983</c:v>
                </c:pt>
                <c:pt idx="7">
                  <c:v>0.40566439522998299</c:v>
                </c:pt>
                <c:pt idx="8">
                  <c:v>0.45421635434412266</c:v>
                </c:pt>
                <c:pt idx="9">
                  <c:v>0.49510221465076659</c:v>
                </c:pt>
                <c:pt idx="10">
                  <c:v>0.55004258943781947</c:v>
                </c:pt>
                <c:pt idx="11">
                  <c:v>0.59007666098807499</c:v>
                </c:pt>
                <c:pt idx="12">
                  <c:v>0.64565587734241903</c:v>
                </c:pt>
                <c:pt idx="13">
                  <c:v>0.69016183986371382</c:v>
                </c:pt>
                <c:pt idx="14">
                  <c:v>0.74020442930153318</c:v>
                </c:pt>
                <c:pt idx="15">
                  <c:v>0.78683986371379899</c:v>
                </c:pt>
                <c:pt idx="16">
                  <c:v>0.84178023850085182</c:v>
                </c:pt>
                <c:pt idx="17">
                  <c:v>0.89182282793867118</c:v>
                </c:pt>
                <c:pt idx="18">
                  <c:v>0.94378194207836452</c:v>
                </c:pt>
                <c:pt idx="19">
                  <c:v>1</c:v>
                </c:pt>
              </c:numCache>
            </c:numRef>
          </c:cat>
          <c:val>
            <c:numRef>
              <c:f>Analysis!$N$9:$N$28</c:f>
              <c:numCache>
                <c:formatCode>0.00</c:formatCode>
                <c:ptCount val="20"/>
                <c:pt idx="0">
                  <c:v>1.9766667992416711</c:v>
                </c:pt>
                <c:pt idx="1">
                  <c:v>1.9329241766111382</c:v>
                </c:pt>
                <c:pt idx="2">
                  <c:v>1.8964507631731111</c:v>
                </c:pt>
                <c:pt idx="3">
                  <c:v>1.8552939830086301</c:v>
                </c:pt>
                <c:pt idx="4">
                  <c:v>1.820797079539983</c:v>
                </c:pt>
                <c:pt idx="5">
                  <c:v>1.7698172850207636</c:v>
                </c:pt>
                <c:pt idx="6">
                  <c:v>1.7166269928914411</c:v>
                </c:pt>
                <c:pt idx="7">
                  <c:v>1.6622310619477063</c:v>
                </c:pt>
                <c:pt idx="8">
                  <c:v>1.6035831723274234</c:v>
                </c:pt>
                <c:pt idx="9">
                  <c:v>1.5462886482866391</c:v>
                </c:pt>
                <c:pt idx="10">
                  <c:v>1.467328968890282</c:v>
                </c:pt>
                <c:pt idx="11">
                  <c:v>1.4249512062026499</c:v>
                </c:pt>
                <c:pt idx="12">
                  <c:v>1.3585605901525597</c:v>
                </c:pt>
                <c:pt idx="13">
                  <c:v>1.3173280492479038</c:v>
                </c:pt>
                <c:pt idx="14">
                  <c:v>1.2662498357496386</c:v>
                </c:pt>
                <c:pt idx="15">
                  <c:v>1.2159366206086033</c:v>
                </c:pt>
                <c:pt idx="16">
                  <c:v>1.1653503055364198</c:v>
                </c:pt>
                <c:pt idx="17">
                  <c:v>1.1130541041631552</c:v>
                </c:pt>
                <c:pt idx="18">
                  <c:v>1.056817046206888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2570752"/>
        <c:axId val="72581120"/>
      </c:lineChart>
      <c:catAx>
        <c:axId val="725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2581120"/>
        <c:crosses val="autoZero"/>
        <c:auto val="1"/>
        <c:lblAlgn val="ctr"/>
        <c:lblOffset val="100"/>
        <c:noMultiLvlLbl val="0"/>
      </c:catAx>
      <c:valAx>
        <c:axId val="72581120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257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ROC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Analysis!$T$9:$T$29</c:f>
              <c:numCache>
                <c:formatCode>0.00%</c:formatCode>
                <c:ptCount val="21"/>
                <c:pt idx="0">
                  <c:v>1</c:v>
                </c:pt>
                <c:pt idx="1">
                  <c:v>0.89013840830449831</c:v>
                </c:pt>
                <c:pt idx="2">
                  <c:v>0.78719723183390999</c:v>
                </c:pt>
                <c:pt idx="3">
                  <c:v>0.69550173010380623</c:v>
                </c:pt>
                <c:pt idx="4">
                  <c:v>0.59385813148788924</c:v>
                </c:pt>
                <c:pt idx="5">
                  <c:v>0.52076124567474047</c:v>
                </c:pt>
                <c:pt idx="6">
                  <c:v>0.44636678200692043</c:v>
                </c:pt>
                <c:pt idx="7">
                  <c:v>0.38148788927335642</c:v>
                </c:pt>
                <c:pt idx="8">
                  <c:v>0.32569204152249137</c:v>
                </c:pt>
                <c:pt idx="9">
                  <c:v>0.27162629757785467</c:v>
                </c:pt>
                <c:pt idx="10">
                  <c:v>0.23442906574394465</c:v>
                </c:pt>
                <c:pt idx="11">
                  <c:v>0.19290657439446368</c:v>
                </c:pt>
                <c:pt idx="12">
                  <c:v>0.15916955017301038</c:v>
                </c:pt>
                <c:pt idx="13">
                  <c:v>0.12283737024221453</c:v>
                </c:pt>
                <c:pt idx="14">
                  <c:v>9.0830449826989623E-2</c:v>
                </c:pt>
                <c:pt idx="15">
                  <c:v>6.271626297577855E-2</c:v>
                </c:pt>
                <c:pt idx="16">
                  <c:v>4.3252595155709339E-2</c:v>
                </c:pt>
                <c:pt idx="17">
                  <c:v>1.9031141868512111E-2</c:v>
                </c:pt>
                <c:pt idx="18">
                  <c:v>7.3529411764705881E-3</c:v>
                </c:pt>
                <c:pt idx="19">
                  <c:v>2.5951557093425604E-3</c:v>
                </c:pt>
                <c:pt idx="20">
                  <c:v>0</c:v>
                </c:pt>
              </c:numCache>
            </c:numRef>
          </c:xVal>
          <c:yVal>
            <c:numRef>
              <c:f>Analysis!$S$9:$S$29</c:f>
              <c:numCache>
                <c:formatCode>0.00%</c:formatCode>
                <c:ptCount val="21"/>
                <c:pt idx="0">
                  <c:v>1</c:v>
                </c:pt>
                <c:pt idx="1">
                  <c:v>0.99706375838926176</c:v>
                </c:pt>
                <c:pt idx="2">
                  <c:v>0.98951342281879195</c:v>
                </c:pt>
                <c:pt idx="3">
                  <c:v>0.97902684563758391</c:v>
                </c:pt>
                <c:pt idx="4">
                  <c:v>0.96266778523489938</c:v>
                </c:pt>
                <c:pt idx="5">
                  <c:v>0.94630872483221473</c:v>
                </c:pt>
                <c:pt idx="6">
                  <c:v>0.92072147651006708</c:v>
                </c:pt>
                <c:pt idx="7">
                  <c:v>0.8901006711409396</c:v>
                </c:pt>
                <c:pt idx="8">
                  <c:v>0.85486577181208057</c:v>
                </c:pt>
                <c:pt idx="9">
                  <c:v>0.81166107382550334</c:v>
                </c:pt>
                <c:pt idx="10">
                  <c:v>0.76719798657718119</c:v>
                </c:pt>
                <c:pt idx="11">
                  <c:v>0.69924496644295298</c:v>
                </c:pt>
                <c:pt idx="12">
                  <c:v>0.65310402684563762</c:v>
                </c:pt>
                <c:pt idx="13">
                  <c:v>0.57885906040268453</c:v>
                </c:pt>
                <c:pt idx="14">
                  <c:v>0.52223154362416102</c:v>
                </c:pt>
                <c:pt idx="15">
                  <c:v>0.45092281879194629</c:v>
                </c:pt>
                <c:pt idx="16">
                  <c:v>0.37793624161073824</c:v>
                </c:pt>
                <c:pt idx="17">
                  <c:v>0.29320469798657717</c:v>
                </c:pt>
                <c:pt idx="18">
                  <c:v>0.20595637583892618</c:v>
                </c:pt>
                <c:pt idx="19">
                  <c:v>0.10822147651006711</c:v>
                </c:pt>
                <c:pt idx="20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Analysis!$Y$9:$Y$29</c:f>
              <c:numCache>
                <c:formatCode>0.00%</c:formatCode>
                <c:ptCount val="21"/>
                <c:pt idx="0">
                  <c:v>1</c:v>
                </c:pt>
                <c:pt idx="1">
                  <c:v>0.94442078364565585</c:v>
                </c:pt>
                <c:pt idx="2">
                  <c:v>0.88990630323679731</c:v>
                </c:pt>
                <c:pt idx="3">
                  <c:v>0.83943781942078366</c:v>
                </c:pt>
                <c:pt idx="4">
                  <c:v>0.78109028960817717</c:v>
                </c:pt>
                <c:pt idx="5">
                  <c:v>0.73679727427597952</c:v>
                </c:pt>
                <c:pt idx="6">
                  <c:v>0.68718057921635434</c:v>
                </c:pt>
                <c:pt idx="7">
                  <c:v>0.63969335604770017</c:v>
                </c:pt>
                <c:pt idx="8">
                  <c:v>0.59433560477001701</c:v>
                </c:pt>
                <c:pt idx="9">
                  <c:v>0.54578364565587734</c:v>
                </c:pt>
                <c:pt idx="10">
                  <c:v>0.50489778534923335</c:v>
                </c:pt>
                <c:pt idx="11">
                  <c:v>0.44995741056218058</c:v>
                </c:pt>
                <c:pt idx="12">
                  <c:v>0.40992333901192507</c:v>
                </c:pt>
                <c:pt idx="13">
                  <c:v>0.35434412265758092</c:v>
                </c:pt>
                <c:pt idx="14">
                  <c:v>0.30983816013628618</c:v>
                </c:pt>
                <c:pt idx="15">
                  <c:v>0.25979557069846676</c:v>
                </c:pt>
                <c:pt idx="16">
                  <c:v>0.21316013628620104</c:v>
                </c:pt>
                <c:pt idx="17">
                  <c:v>0.15821976149914821</c:v>
                </c:pt>
                <c:pt idx="18">
                  <c:v>0.10817717206132879</c:v>
                </c:pt>
                <c:pt idx="19">
                  <c:v>5.6218057921635436E-2</c:v>
                </c:pt>
                <c:pt idx="20">
                  <c:v>0</c:v>
                </c:pt>
              </c:numCache>
            </c:numRef>
          </c:xVal>
          <c:yVal>
            <c:numRef>
              <c:f>Analysis!$Y$9:$Y$29</c:f>
              <c:numCache>
                <c:formatCode>0.00%</c:formatCode>
                <c:ptCount val="21"/>
                <c:pt idx="0">
                  <c:v>1</c:v>
                </c:pt>
                <c:pt idx="1">
                  <c:v>0.94442078364565585</c:v>
                </c:pt>
                <c:pt idx="2">
                  <c:v>0.88990630323679731</c:v>
                </c:pt>
                <c:pt idx="3">
                  <c:v>0.83943781942078366</c:v>
                </c:pt>
                <c:pt idx="4">
                  <c:v>0.78109028960817717</c:v>
                </c:pt>
                <c:pt idx="5">
                  <c:v>0.73679727427597952</c:v>
                </c:pt>
                <c:pt idx="6">
                  <c:v>0.68718057921635434</c:v>
                </c:pt>
                <c:pt idx="7">
                  <c:v>0.63969335604770017</c:v>
                </c:pt>
                <c:pt idx="8">
                  <c:v>0.59433560477001701</c:v>
                </c:pt>
                <c:pt idx="9">
                  <c:v>0.54578364565587734</c:v>
                </c:pt>
                <c:pt idx="10">
                  <c:v>0.50489778534923335</c:v>
                </c:pt>
                <c:pt idx="11">
                  <c:v>0.44995741056218058</c:v>
                </c:pt>
                <c:pt idx="12">
                  <c:v>0.40992333901192507</c:v>
                </c:pt>
                <c:pt idx="13">
                  <c:v>0.35434412265758092</c:v>
                </c:pt>
                <c:pt idx="14">
                  <c:v>0.30983816013628618</c:v>
                </c:pt>
                <c:pt idx="15">
                  <c:v>0.25979557069846676</c:v>
                </c:pt>
                <c:pt idx="16">
                  <c:v>0.21316013628620104</c:v>
                </c:pt>
                <c:pt idx="17">
                  <c:v>0.15821976149914821</c:v>
                </c:pt>
                <c:pt idx="18">
                  <c:v>0.10817717206132879</c:v>
                </c:pt>
                <c:pt idx="19">
                  <c:v>5.6218057921635436E-2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3520"/>
        <c:axId val="72609792"/>
      </c:scatterChart>
      <c:valAx>
        <c:axId val="7260352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2609792"/>
        <c:crosses val="autoZero"/>
        <c:crossBetween val="midCat"/>
      </c:valAx>
      <c:valAx>
        <c:axId val="726097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Hit</a:t>
                </a:r>
                <a:r>
                  <a:rPr lang="pl-PL" sz="2000" baseline="0"/>
                  <a:t> rate / Sensitivity / %Goods remain</a:t>
                </a:r>
                <a:endParaRPr lang="pl-PL" sz="20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260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CAP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Analysis!$P$8:$P$28</c:f>
              <c:numCache>
                <c:formatCode>0.00%</c:formatCode>
                <c:ptCount val="21"/>
                <c:pt idx="0">
                  <c:v>0</c:v>
                </c:pt>
                <c:pt idx="1">
                  <c:v>5.5579216354344124E-2</c:v>
                </c:pt>
                <c:pt idx="2">
                  <c:v>0.11009369676320273</c:v>
                </c:pt>
                <c:pt idx="3">
                  <c:v>0.16056218057921637</c:v>
                </c:pt>
                <c:pt idx="4">
                  <c:v>0.21890971039182283</c:v>
                </c:pt>
                <c:pt idx="5">
                  <c:v>0.26320272572402043</c:v>
                </c:pt>
                <c:pt idx="6">
                  <c:v>0.31281942078364566</c:v>
                </c:pt>
                <c:pt idx="7">
                  <c:v>0.36030664395229983</c:v>
                </c:pt>
                <c:pt idx="8">
                  <c:v>0.40566439522998299</c:v>
                </c:pt>
                <c:pt idx="9">
                  <c:v>0.45421635434412266</c:v>
                </c:pt>
                <c:pt idx="10">
                  <c:v>0.49510221465076659</c:v>
                </c:pt>
                <c:pt idx="11">
                  <c:v>0.55004258943781947</c:v>
                </c:pt>
                <c:pt idx="12">
                  <c:v>0.59007666098807499</c:v>
                </c:pt>
                <c:pt idx="13">
                  <c:v>0.64565587734241903</c:v>
                </c:pt>
                <c:pt idx="14">
                  <c:v>0.69016183986371382</c:v>
                </c:pt>
                <c:pt idx="15">
                  <c:v>0.74020442930153318</c:v>
                </c:pt>
                <c:pt idx="16">
                  <c:v>0.78683986371379899</c:v>
                </c:pt>
                <c:pt idx="17">
                  <c:v>0.84178023850085182</c:v>
                </c:pt>
                <c:pt idx="18">
                  <c:v>0.89182282793867118</c:v>
                </c:pt>
                <c:pt idx="19">
                  <c:v>0.94378194207836452</c:v>
                </c:pt>
                <c:pt idx="20">
                  <c:v>1</c:v>
                </c:pt>
              </c:numCache>
            </c:numRef>
          </c:xVal>
          <c:yVal>
            <c:numRef>
              <c:f>Analysis!$G$8:$G$28</c:f>
              <c:numCache>
                <c:formatCode>0.00%</c:formatCode>
                <c:ptCount val="21"/>
                <c:pt idx="0">
                  <c:v>0</c:v>
                </c:pt>
                <c:pt idx="1">
                  <c:v>0.10986159169550173</c:v>
                </c:pt>
                <c:pt idx="2">
                  <c:v>0.21280276816608998</c:v>
                </c:pt>
                <c:pt idx="3">
                  <c:v>0.30449826989619377</c:v>
                </c:pt>
                <c:pt idx="4">
                  <c:v>0.4061418685121107</c:v>
                </c:pt>
                <c:pt idx="5">
                  <c:v>0.47923875432525953</c:v>
                </c:pt>
                <c:pt idx="6">
                  <c:v>0.55363321799307963</c:v>
                </c:pt>
                <c:pt idx="7">
                  <c:v>0.61851211072664358</c:v>
                </c:pt>
                <c:pt idx="8">
                  <c:v>0.67430795847750868</c:v>
                </c:pt>
                <c:pt idx="9">
                  <c:v>0.72837370242214527</c:v>
                </c:pt>
                <c:pt idx="10">
                  <c:v>0.76557093425605538</c:v>
                </c:pt>
                <c:pt idx="11">
                  <c:v>0.80709342560553632</c:v>
                </c:pt>
                <c:pt idx="12">
                  <c:v>0.84083044982698962</c:v>
                </c:pt>
                <c:pt idx="13">
                  <c:v>0.87716262975778547</c:v>
                </c:pt>
                <c:pt idx="14">
                  <c:v>0.90916955017301038</c:v>
                </c:pt>
                <c:pt idx="15">
                  <c:v>0.93728373702422141</c:v>
                </c:pt>
                <c:pt idx="16">
                  <c:v>0.95674740484429066</c:v>
                </c:pt>
                <c:pt idx="17">
                  <c:v>0.98096885813148793</c:v>
                </c:pt>
                <c:pt idx="18">
                  <c:v>0.99264705882352944</c:v>
                </c:pt>
                <c:pt idx="19">
                  <c:v>0.99740484429065746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Analysis!$R$9:$R$29</c:f>
              <c:numCache>
                <c:formatCode>0.00%</c:formatCode>
                <c:ptCount val="21"/>
                <c:pt idx="0">
                  <c:v>1</c:v>
                </c:pt>
                <c:pt idx="1">
                  <c:v>0.94442078364565585</c:v>
                </c:pt>
                <c:pt idx="2">
                  <c:v>0.88990630323679731</c:v>
                </c:pt>
                <c:pt idx="3">
                  <c:v>0.83943781942078366</c:v>
                </c:pt>
                <c:pt idx="4">
                  <c:v>0.78109028960817717</c:v>
                </c:pt>
                <c:pt idx="5">
                  <c:v>0.73679727427597952</c:v>
                </c:pt>
                <c:pt idx="6">
                  <c:v>0.68718057921635434</c:v>
                </c:pt>
                <c:pt idx="7">
                  <c:v>0.63969335604770017</c:v>
                </c:pt>
                <c:pt idx="8">
                  <c:v>0.59433560477001701</c:v>
                </c:pt>
                <c:pt idx="9">
                  <c:v>0.54578364565587734</c:v>
                </c:pt>
                <c:pt idx="10">
                  <c:v>0.50489778534923335</c:v>
                </c:pt>
                <c:pt idx="11">
                  <c:v>0.44995741056218058</c:v>
                </c:pt>
                <c:pt idx="12">
                  <c:v>0.40992333901192507</c:v>
                </c:pt>
                <c:pt idx="13">
                  <c:v>0.35434412265758092</c:v>
                </c:pt>
                <c:pt idx="14">
                  <c:v>0.30983816013628618</c:v>
                </c:pt>
                <c:pt idx="15">
                  <c:v>0.25979557069846676</c:v>
                </c:pt>
                <c:pt idx="16">
                  <c:v>0.21316013628620104</c:v>
                </c:pt>
                <c:pt idx="17">
                  <c:v>0.15821976149914821</c:v>
                </c:pt>
                <c:pt idx="18">
                  <c:v>0.10817717206132879</c:v>
                </c:pt>
                <c:pt idx="19">
                  <c:v>5.6218057921635436E-2</c:v>
                </c:pt>
                <c:pt idx="20">
                  <c:v>0</c:v>
                </c:pt>
              </c:numCache>
            </c:numRef>
          </c:xVal>
          <c:yVal>
            <c:numRef>
              <c:f>Analysis!$Y$9:$Y$29</c:f>
              <c:numCache>
                <c:formatCode>0.00%</c:formatCode>
                <c:ptCount val="21"/>
                <c:pt idx="0">
                  <c:v>1</c:v>
                </c:pt>
                <c:pt idx="1">
                  <c:v>0.94442078364565585</c:v>
                </c:pt>
                <c:pt idx="2">
                  <c:v>0.88990630323679731</c:v>
                </c:pt>
                <c:pt idx="3">
                  <c:v>0.83943781942078366</c:v>
                </c:pt>
                <c:pt idx="4">
                  <c:v>0.78109028960817717</c:v>
                </c:pt>
                <c:pt idx="5">
                  <c:v>0.73679727427597952</c:v>
                </c:pt>
                <c:pt idx="6">
                  <c:v>0.68718057921635434</c:v>
                </c:pt>
                <c:pt idx="7">
                  <c:v>0.63969335604770017</c:v>
                </c:pt>
                <c:pt idx="8">
                  <c:v>0.59433560477001701</c:v>
                </c:pt>
                <c:pt idx="9">
                  <c:v>0.54578364565587734</c:v>
                </c:pt>
                <c:pt idx="10">
                  <c:v>0.50489778534923335</c:v>
                </c:pt>
                <c:pt idx="11">
                  <c:v>0.44995741056218058</c:v>
                </c:pt>
                <c:pt idx="12">
                  <c:v>0.40992333901192507</c:v>
                </c:pt>
                <c:pt idx="13">
                  <c:v>0.35434412265758092</c:v>
                </c:pt>
                <c:pt idx="14">
                  <c:v>0.30983816013628618</c:v>
                </c:pt>
                <c:pt idx="15">
                  <c:v>0.25979557069846676</c:v>
                </c:pt>
                <c:pt idx="16">
                  <c:v>0.21316013628620104</c:v>
                </c:pt>
                <c:pt idx="17">
                  <c:v>0.15821976149914821</c:v>
                </c:pt>
                <c:pt idx="18">
                  <c:v>0.10817717206132879</c:v>
                </c:pt>
                <c:pt idx="19">
                  <c:v>5.6218057921635436E-2</c:v>
                </c:pt>
                <c:pt idx="2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crystal</c:v>
          </c:tx>
          <c:xVal>
            <c:numRef>
              <c:f>Analysis!$Z$9:$Z$11</c:f>
              <c:numCache>
                <c:formatCode>0.00%</c:formatCode>
                <c:ptCount val="3"/>
                <c:pt idx="0">
                  <c:v>0</c:v>
                </c:pt>
                <c:pt idx="1">
                  <c:v>0.49233390119250425</c:v>
                </c:pt>
                <c:pt idx="2">
                  <c:v>1</c:v>
                </c:pt>
              </c:numCache>
            </c:numRef>
          </c:xVal>
          <c:yVal>
            <c:numRef>
              <c:f>Analysis!$AA$9:$AA$11</c:f>
              <c:numCache>
                <c:formatCode>0.00%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1920"/>
        <c:axId val="75283840"/>
      </c:scatterChart>
      <c:valAx>
        <c:axId val="7528192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5283840"/>
        <c:crosses val="autoZero"/>
        <c:crossBetween val="midCat"/>
      </c:valAx>
      <c:valAx>
        <c:axId val="752838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 baseline="0"/>
                  <a:t>Sensitivity / %Bad captured</a:t>
                </a:r>
                <a:endParaRPr lang="pl-PL" sz="20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528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Lorenz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Analysis!$G$8:$G$28</c:f>
              <c:numCache>
                <c:formatCode>0.00%</c:formatCode>
                <c:ptCount val="21"/>
                <c:pt idx="0">
                  <c:v>0</c:v>
                </c:pt>
                <c:pt idx="1">
                  <c:v>0.10986159169550173</c:v>
                </c:pt>
                <c:pt idx="2">
                  <c:v>0.21280276816608998</c:v>
                </c:pt>
                <c:pt idx="3">
                  <c:v>0.30449826989619377</c:v>
                </c:pt>
                <c:pt idx="4">
                  <c:v>0.4061418685121107</c:v>
                </c:pt>
                <c:pt idx="5">
                  <c:v>0.47923875432525953</c:v>
                </c:pt>
                <c:pt idx="6">
                  <c:v>0.55363321799307963</c:v>
                </c:pt>
                <c:pt idx="7">
                  <c:v>0.61851211072664358</c:v>
                </c:pt>
                <c:pt idx="8">
                  <c:v>0.67430795847750868</c:v>
                </c:pt>
                <c:pt idx="9">
                  <c:v>0.72837370242214527</c:v>
                </c:pt>
                <c:pt idx="10">
                  <c:v>0.76557093425605538</c:v>
                </c:pt>
                <c:pt idx="11">
                  <c:v>0.80709342560553632</c:v>
                </c:pt>
                <c:pt idx="12">
                  <c:v>0.84083044982698962</c:v>
                </c:pt>
                <c:pt idx="13">
                  <c:v>0.87716262975778547</c:v>
                </c:pt>
                <c:pt idx="14">
                  <c:v>0.90916955017301038</c:v>
                </c:pt>
                <c:pt idx="15">
                  <c:v>0.93728373702422141</c:v>
                </c:pt>
                <c:pt idx="16">
                  <c:v>0.95674740484429066</c:v>
                </c:pt>
                <c:pt idx="17">
                  <c:v>0.98096885813148793</c:v>
                </c:pt>
                <c:pt idx="18">
                  <c:v>0.99264705882352944</c:v>
                </c:pt>
                <c:pt idx="19">
                  <c:v>0.99740484429065746</c:v>
                </c:pt>
                <c:pt idx="20">
                  <c:v>1</c:v>
                </c:pt>
              </c:numCache>
            </c:numRef>
          </c:xVal>
          <c:yVal>
            <c:numRef>
              <c:f>Analysis!$F$8:$F$28</c:f>
              <c:numCache>
                <c:formatCode>0.00%</c:formatCode>
                <c:ptCount val="21"/>
                <c:pt idx="0">
                  <c:v>0</c:v>
                </c:pt>
                <c:pt idx="1">
                  <c:v>2.9362416107382551E-3</c:v>
                </c:pt>
                <c:pt idx="2">
                  <c:v>1.0486577181208054E-2</c:v>
                </c:pt>
                <c:pt idx="3">
                  <c:v>2.0973154362416108E-2</c:v>
                </c:pt>
                <c:pt idx="4">
                  <c:v>3.7332214765100673E-2</c:v>
                </c:pt>
                <c:pt idx="5">
                  <c:v>5.3691275167785234E-2</c:v>
                </c:pt>
                <c:pt idx="6">
                  <c:v>7.9278523489932889E-2</c:v>
                </c:pt>
                <c:pt idx="7">
                  <c:v>0.1098993288590604</c:v>
                </c:pt>
                <c:pt idx="8">
                  <c:v>0.14513422818791946</c:v>
                </c:pt>
                <c:pt idx="9">
                  <c:v>0.18833892617449666</c:v>
                </c:pt>
                <c:pt idx="10">
                  <c:v>0.23280201342281878</c:v>
                </c:pt>
                <c:pt idx="11">
                  <c:v>0.30075503355704697</c:v>
                </c:pt>
                <c:pt idx="12">
                  <c:v>0.34689597315436244</c:v>
                </c:pt>
                <c:pt idx="13">
                  <c:v>0.42114093959731541</c:v>
                </c:pt>
                <c:pt idx="14">
                  <c:v>0.47776845637583892</c:v>
                </c:pt>
                <c:pt idx="15">
                  <c:v>0.54907718120805371</c:v>
                </c:pt>
                <c:pt idx="16">
                  <c:v>0.62206375838926176</c:v>
                </c:pt>
                <c:pt idx="17">
                  <c:v>0.70679530201342278</c:v>
                </c:pt>
                <c:pt idx="18">
                  <c:v>0.79404362416107388</c:v>
                </c:pt>
                <c:pt idx="19">
                  <c:v>0.89177852348993292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Analysis!$Y$9:$Y$29</c:f>
              <c:numCache>
                <c:formatCode>0.00%</c:formatCode>
                <c:ptCount val="21"/>
                <c:pt idx="0">
                  <c:v>1</c:v>
                </c:pt>
                <c:pt idx="1">
                  <c:v>0.94442078364565585</c:v>
                </c:pt>
                <c:pt idx="2">
                  <c:v>0.88990630323679731</c:v>
                </c:pt>
                <c:pt idx="3">
                  <c:v>0.83943781942078366</c:v>
                </c:pt>
                <c:pt idx="4">
                  <c:v>0.78109028960817717</c:v>
                </c:pt>
                <c:pt idx="5">
                  <c:v>0.73679727427597952</c:v>
                </c:pt>
                <c:pt idx="6">
                  <c:v>0.68718057921635434</c:v>
                </c:pt>
                <c:pt idx="7">
                  <c:v>0.63969335604770017</c:v>
                </c:pt>
                <c:pt idx="8">
                  <c:v>0.59433560477001701</c:v>
                </c:pt>
                <c:pt idx="9">
                  <c:v>0.54578364565587734</c:v>
                </c:pt>
                <c:pt idx="10">
                  <c:v>0.50489778534923335</c:v>
                </c:pt>
                <c:pt idx="11">
                  <c:v>0.44995741056218058</c:v>
                </c:pt>
                <c:pt idx="12">
                  <c:v>0.40992333901192507</c:v>
                </c:pt>
                <c:pt idx="13">
                  <c:v>0.35434412265758092</c:v>
                </c:pt>
                <c:pt idx="14">
                  <c:v>0.30983816013628618</c:v>
                </c:pt>
                <c:pt idx="15">
                  <c:v>0.25979557069846676</c:v>
                </c:pt>
                <c:pt idx="16">
                  <c:v>0.21316013628620104</c:v>
                </c:pt>
                <c:pt idx="17">
                  <c:v>0.15821976149914821</c:v>
                </c:pt>
                <c:pt idx="18">
                  <c:v>0.10817717206132879</c:v>
                </c:pt>
                <c:pt idx="19">
                  <c:v>5.6218057921635436E-2</c:v>
                </c:pt>
                <c:pt idx="20">
                  <c:v>0</c:v>
                </c:pt>
              </c:numCache>
            </c:numRef>
          </c:xVal>
          <c:yVal>
            <c:numRef>
              <c:f>Analysis!$Y$9:$Y$29</c:f>
              <c:numCache>
                <c:formatCode>0.00%</c:formatCode>
                <c:ptCount val="21"/>
                <c:pt idx="0">
                  <c:v>1</c:v>
                </c:pt>
                <c:pt idx="1">
                  <c:v>0.94442078364565585</c:v>
                </c:pt>
                <c:pt idx="2">
                  <c:v>0.88990630323679731</c:v>
                </c:pt>
                <c:pt idx="3">
                  <c:v>0.83943781942078366</c:v>
                </c:pt>
                <c:pt idx="4">
                  <c:v>0.78109028960817717</c:v>
                </c:pt>
                <c:pt idx="5">
                  <c:v>0.73679727427597952</c:v>
                </c:pt>
                <c:pt idx="6">
                  <c:v>0.68718057921635434</c:v>
                </c:pt>
                <c:pt idx="7">
                  <c:v>0.63969335604770017</c:v>
                </c:pt>
                <c:pt idx="8">
                  <c:v>0.59433560477001701</c:v>
                </c:pt>
                <c:pt idx="9">
                  <c:v>0.54578364565587734</c:v>
                </c:pt>
                <c:pt idx="10">
                  <c:v>0.50489778534923335</c:v>
                </c:pt>
                <c:pt idx="11">
                  <c:v>0.44995741056218058</c:v>
                </c:pt>
                <c:pt idx="12">
                  <c:v>0.40992333901192507</c:v>
                </c:pt>
                <c:pt idx="13">
                  <c:v>0.35434412265758092</c:v>
                </c:pt>
                <c:pt idx="14">
                  <c:v>0.30983816013628618</c:v>
                </c:pt>
                <c:pt idx="15">
                  <c:v>0.25979557069846676</c:v>
                </c:pt>
                <c:pt idx="16">
                  <c:v>0.21316013628620104</c:v>
                </c:pt>
                <c:pt idx="17">
                  <c:v>0.15821976149914821</c:v>
                </c:pt>
                <c:pt idx="18">
                  <c:v>0.10817717206132879</c:v>
                </c:pt>
                <c:pt idx="19">
                  <c:v>5.6218057921635436E-2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7600"/>
        <c:axId val="78147968"/>
      </c:scatterChart>
      <c:valAx>
        <c:axId val="7813760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%Bads</a:t>
                </a:r>
                <a:r>
                  <a:rPr lang="pl-PL" sz="2000" baseline="0"/>
                  <a:t> captured</a:t>
                </a:r>
                <a:endParaRPr lang="pl-PL" sz="20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8147968"/>
        <c:crosses val="autoZero"/>
        <c:crossBetween val="midCat"/>
      </c:valAx>
      <c:valAx>
        <c:axId val="781479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%Goods</a:t>
                </a:r>
                <a:r>
                  <a:rPr lang="pl-PL" sz="2000" baseline="0"/>
                  <a:t> captured</a:t>
                </a:r>
                <a:endParaRPr lang="pl-PL" sz="20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81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KS - Fish eye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CDF Goods</c:v>
          </c:tx>
          <c:xVal>
            <c:numRef>
              <c:f>Analysis!$A$8:$A$28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Analysis!$F$8:$F$28</c:f>
              <c:numCache>
                <c:formatCode>0.00%</c:formatCode>
                <c:ptCount val="21"/>
                <c:pt idx="0">
                  <c:v>0</c:v>
                </c:pt>
                <c:pt idx="1">
                  <c:v>2.9362416107382551E-3</c:v>
                </c:pt>
                <c:pt idx="2">
                  <c:v>1.0486577181208054E-2</c:v>
                </c:pt>
                <c:pt idx="3">
                  <c:v>2.0973154362416108E-2</c:v>
                </c:pt>
                <c:pt idx="4">
                  <c:v>3.7332214765100673E-2</c:v>
                </c:pt>
                <c:pt idx="5">
                  <c:v>5.3691275167785234E-2</c:v>
                </c:pt>
                <c:pt idx="6">
                  <c:v>7.9278523489932889E-2</c:v>
                </c:pt>
                <c:pt idx="7">
                  <c:v>0.1098993288590604</c:v>
                </c:pt>
                <c:pt idx="8">
                  <c:v>0.14513422818791946</c:v>
                </c:pt>
                <c:pt idx="9">
                  <c:v>0.18833892617449666</c:v>
                </c:pt>
                <c:pt idx="10">
                  <c:v>0.23280201342281878</c:v>
                </c:pt>
                <c:pt idx="11">
                  <c:v>0.30075503355704697</c:v>
                </c:pt>
                <c:pt idx="12">
                  <c:v>0.34689597315436244</c:v>
                </c:pt>
                <c:pt idx="13">
                  <c:v>0.42114093959731541</c:v>
                </c:pt>
                <c:pt idx="14">
                  <c:v>0.47776845637583892</c:v>
                </c:pt>
                <c:pt idx="15">
                  <c:v>0.54907718120805371</c:v>
                </c:pt>
                <c:pt idx="16">
                  <c:v>0.62206375838926176</c:v>
                </c:pt>
                <c:pt idx="17">
                  <c:v>0.70679530201342278</c:v>
                </c:pt>
                <c:pt idx="18">
                  <c:v>0.79404362416107388</c:v>
                </c:pt>
                <c:pt idx="19">
                  <c:v>0.89177852348993292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CDF Bads</c:v>
          </c:tx>
          <c:marker>
            <c:spPr>
              <a:ln>
                <a:round/>
              </a:ln>
            </c:spPr>
          </c:marker>
          <c:xVal>
            <c:numRef>
              <c:f>Analysis!$A$8:$A$28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Analysis!$G$8:$G$28</c:f>
              <c:numCache>
                <c:formatCode>0.00%</c:formatCode>
                <c:ptCount val="21"/>
                <c:pt idx="0">
                  <c:v>0</c:v>
                </c:pt>
                <c:pt idx="1">
                  <c:v>0.10986159169550173</c:v>
                </c:pt>
                <c:pt idx="2">
                  <c:v>0.21280276816608998</c:v>
                </c:pt>
                <c:pt idx="3">
                  <c:v>0.30449826989619377</c:v>
                </c:pt>
                <c:pt idx="4">
                  <c:v>0.4061418685121107</c:v>
                </c:pt>
                <c:pt idx="5">
                  <c:v>0.47923875432525953</c:v>
                </c:pt>
                <c:pt idx="6">
                  <c:v>0.55363321799307963</c:v>
                </c:pt>
                <c:pt idx="7">
                  <c:v>0.61851211072664358</c:v>
                </c:pt>
                <c:pt idx="8">
                  <c:v>0.67430795847750868</c:v>
                </c:pt>
                <c:pt idx="9">
                  <c:v>0.72837370242214527</c:v>
                </c:pt>
                <c:pt idx="10">
                  <c:v>0.76557093425605538</c:v>
                </c:pt>
                <c:pt idx="11">
                  <c:v>0.80709342560553632</c:v>
                </c:pt>
                <c:pt idx="12">
                  <c:v>0.84083044982698962</c:v>
                </c:pt>
                <c:pt idx="13">
                  <c:v>0.87716262975778547</c:v>
                </c:pt>
                <c:pt idx="14">
                  <c:v>0.90916955017301038</c:v>
                </c:pt>
                <c:pt idx="15">
                  <c:v>0.93728373702422141</c:v>
                </c:pt>
                <c:pt idx="16">
                  <c:v>0.95674740484429066</c:v>
                </c:pt>
                <c:pt idx="17">
                  <c:v>0.98096885813148793</c:v>
                </c:pt>
                <c:pt idx="18">
                  <c:v>0.99264705882352944</c:v>
                </c:pt>
                <c:pt idx="19">
                  <c:v>0.99740484429065746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7024"/>
        <c:axId val="78179328"/>
      </c:scatterChart>
      <c:valAx>
        <c:axId val="7817702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8179328"/>
        <c:crosses val="autoZero"/>
        <c:crossBetween val="midCat"/>
        <c:majorUnit val="1"/>
      </c:valAx>
      <c:valAx>
        <c:axId val="781793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7817702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20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Score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Analysis!$AI$9:$AI$28</c:f>
              <c:numCache>
                <c:formatCode>0.00%</c:formatCode>
                <c:ptCount val="20"/>
                <c:pt idx="0">
                  <c:v>5.5579216354344124E-2</c:v>
                </c:pt>
                <c:pt idx="1">
                  <c:v>5.4514480408858604E-2</c:v>
                </c:pt>
                <c:pt idx="2">
                  <c:v>5.0468483816013626E-2</c:v>
                </c:pt>
                <c:pt idx="3">
                  <c:v>5.834752981260647E-2</c:v>
                </c:pt>
                <c:pt idx="4">
                  <c:v>4.4293015332197615E-2</c:v>
                </c:pt>
                <c:pt idx="5">
                  <c:v>4.961669505962521E-2</c:v>
                </c:pt>
                <c:pt idx="6">
                  <c:v>4.7487223168654176E-2</c:v>
                </c:pt>
                <c:pt idx="7">
                  <c:v>4.5357751277683135E-2</c:v>
                </c:pt>
                <c:pt idx="8">
                  <c:v>4.8551959114139696E-2</c:v>
                </c:pt>
                <c:pt idx="9">
                  <c:v>4.0885860306643949E-2</c:v>
                </c:pt>
                <c:pt idx="10">
                  <c:v>5.4940374787052812E-2</c:v>
                </c:pt>
                <c:pt idx="11">
                  <c:v>4.003407155025554E-2</c:v>
                </c:pt>
                <c:pt idx="12">
                  <c:v>5.5579216354344124E-2</c:v>
                </c:pt>
                <c:pt idx="13">
                  <c:v>4.4505962521294719E-2</c:v>
                </c:pt>
                <c:pt idx="14">
                  <c:v>5.0042589437819418E-2</c:v>
                </c:pt>
                <c:pt idx="15">
                  <c:v>4.663543441226576E-2</c:v>
                </c:pt>
                <c:pt idx="16">
                  <c:v>5.4940374787052812E-2</c:v>
                </c:pt>
                <c:pt idx="17">
                  <c:v>5.0042589437819418E-2</c:v>
                </c:pt>
                <c:pt idx="18">
                  <c:v>5.1959114139693355E-2</c:v>
                </c:pt>
                <c:pt idx="19">
                  <c:v>5.6218057921635436E-2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10560"/>
        <c:axId val="78212480"/>
      </c:barChart>
      <c:catAx>
        <c:axId val="782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8212480"/>
        <c:crosses val="autoZero"/>
        <c:auto val="1"/>
        <c:lblAlgn val="ctr"/>
        <c:lblOffset val="100"/>
        <c:noMultiLvlLbl val="0"/>
      </c:catAx>
      <c:valAx>
        <c:axId val="78212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Score band share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821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35701</xdr:rowOff>
    </xdr:from>
    <xdr:to>
      <xdr:col>8</xdr:col>
      <xdr:colOff>789214</xdr:colOff>
      <xdr:row>87</xdr:row>
      <xdr:rowOff>122464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32656</xdr:colOff>
      <xdr:row>158</xdr:row>
      <xdr:rowOff>38101</xdr:rowOff>
    </xdr:from>
    <xdr:to>
      <xdr:col>8</xdr:col>
      <xdr:colOff>789213</xdr:colOff>
      <xdr:row>192</xdr:row>
      <xdr:rowOff>136071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123</xdr:row>
      <xdr:rowOff>56029</xdr:rowOff>
    </xdr:from>
    <xdr:to>
      <xdr:col>8</xdr:col>
      <xdr:colOff>762000</xdr:colOff>
      <xdr:row>157</xdr:row>
      <xdr:rowOff>122464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35698</xdr:colOff>
      <xdr:row>193</xdr:row>
      <xdr:rowOff>22253</xdr:rowOff>
    </xdr:from>
    <xdr:to>
      <xdr:col>8</xdr:col>
      <xdr:colOff>789213</xdr:colOff>
      <xdr:row>227</xdr:row>
      <xdr:rowOff>136071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88</xdr:row>
      <xdr:rowOff>40821</xdr:rowOff>
    </xdr:from>
    <xdr:to>
      <xdr:col>8</xdr:col>
      <xdr:colOff>789214</xdr:colOff>
      <xdr:row>122</xdr:row>
      <xdr:rowOff>122464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40822</xdr:colOff>
      <xdr:row>228</xdr:row>
      <xdr:rowOff>13607</xdr:rowOff>
    </xdr:from>
    <xdr:to>
      <xdr:col>8</xdr:col>
      <xdr:colOff>794337</xdr:colOff>
      <xdr:row>262</xdr:row>
      <xdr:rowOff>127425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761999</xdr:colOff>
      <xdr:row>52</xdr:row>
      <xdr:rowOff>138545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zoomScale="85" zoomScaleNormal="85" workbookViewId="0">
      <selection activeCell="J30" sqref="J30"/>
    </sheetView>
  </sheetViews>
  <sheetFormatPr defaultColWidth="9.140625" defaultRowHeight="12.75" x14ac:dyDescent="0.2"/>
  <cols>
    <col min="1" max="2" width="16.42578125" style="1" bestFit="1" customWidth="1"/>
    <col min="3" max="3" width="13.42578125" style="1" bestFit="1" customWidth="1"/>
    <col min="4" max="4" width="6.7109375" style="1" bestFit="1" customWidth="1"/>
    <col min="5" max="5" width="7.7109375" style="1" bestFit="1" customWidth="1"/>
    <col min="6" max="6" width="15.7109375" style="1" customWidth="1"/>
    <col min="7" max="7" width="14.42578125" style="1" bestFit="1" customWidth="1"/>
    <col min="8" max="8" width="11.140625" style="1" bestFit="1" customWidth="1"/>
    <col min="9" max="9" width="12" style="1" bestFit="1" customWidth="1"/>
    <col min="10" max="10" width="8.28515625" style="1" bestFit="1" customWidth="1"/>
    <col min="11" max="11" width="8.28515625" style="1" customWidth="1"/>
    <col min="12" max="12" width="5" style="1" bestFit="1" customWidth="1"/>
    <col min="13" max="13" width="9.140625" style="1" bestFit="1" customWidth="1"/>
    <col min="14" max="14" width="10.7109375" style="1" bestFit="1" customWidth="1"/>
    <col min="15" max="15" width="7.42578125" style="1" bestFit="1" customWidth="1"/>
    <col min="16" max="16" width="8.7109375" style="1" bestFit="1" customWidth="1"/>
    <col min="17" max="17" width="10.28515625" style="1" bestFit="1" customWidth="1"/>
    <col min="18" max="18" width="11.5703125" style="1" bestFit="1" customWidth="1"/>
    <col min="19" max="19" width="15" style="1" bestFit="1" customWidth="1"/>
    <col min="20" max="20" width="15.42578125" style="1" bestFit="1" customWidth="1"/>
    <col min="21" max="21" width="19.5703125" style="1" bestFit="1" customWidth="1"/>
    <col min="22" max="24" width="7.7109375" style="1" bestFit="1" customWidth="1"/>
    <col min="25" max="25" width="11" style="1" bestFit="1" customWidth="1"/>
    <col min="26" max="27" width="8.7109375" style="1" bestFit="1" customWidth="1"/>
    <col min="28" max="29" width="10.7109375" style="1" bestFit="1" customWidth="1"/>
    <col min="30" max="30" width="7.7109375" style="1" bestFit="1" customWidth="1"/>
    <col min="31" max="31" width="9.140625" style="1"/>
    <col min="32" max="32" width="9.7109375" style="1" bestFit="1" customWidth="1"/>
    <col min="33" max="33" width="10.7109375" style="1" bestFit="1" customWidth="1"/>
    <col min="34" max="34" width="11.28515625" style="1" customWidth="1"/>
    <col min="35" max="35" width="10.7109375" style="1" bestFit="1" customWidth="1"/>
    <col min="36" max="16384" width="9.140625" style="1"/>
  </cols>
  <sheetData>
    <row r="1" spans="1:35" ht="18" customHeight="1" x14ac:dyDescent="0.2">
      <c r="A1" s="8" t="s">
        <v>9</v>
      </c>
      <c r="B1" s="53">
        <f>B29</f>
        <v>18784</v>
      </c>
    </row>
    <row r="2" spans="1:35" ht="18" customHeight="1" x14ac:dyDescent="0.2">
      <c r="S2" s="1" t="s">
        <v>49</v>
      </c>
      <c r="T2" s="1" t="s">
        <v>50</v>
      </c>
    </row>
    <row r="3" spans="1:35" ht="18" customHeight="1" x14ac:dyDescent="0.2">
      <c r="A3" s="8" t="s">
        <v>5</v>
      </c>
      <c r="B3" s="9">
        <f>J30</f>
        <v>0.69775253419567596</v>
      </c>
      <c r="G3" s="1" t="s">
        <v>39</v>
      </c>
      <c r="S3" s="54" t="s">
        <v>36</v>
      </c>
      <c r="T3" s="54"/>
    </row>
    <row r="4" spans="1:35" ht="18" customHeight="1" x14ac:dyDescent="0.2">
      <c r="G4" s="1" t="s">
        <v>31</v>
      </c>
      <c r="S4" s="8" t="s">
        <v>31</v>
      </c>
      <c r="T4" s="8" t="s">
        <v>30</v>
      </c>
    </row>
    <row r="5" spans="1:35" ht="18.75" customHeight="1" x14ac:dyDescent="0.2">
      <c r="A5" s="13" t="s">
        <v>12</v>
      </c>
      <c r="B5" s="9">
        <f>C29</f>
        <v>0.49233390119250425</v>
      </c>
      <c r="G5" s="1" t="s">
        <v>48</v>
      </c>
      <c r="P5" s="1" t="s">
        <v>39</v>
      </c>
      <c r="S5" s="8" t="s">
        <v>24</v>
      </c>
      <c r="T5" s="8" t="s">
        <v>27</v>
      </c>
    </row>
    <row r="6" spans="1:35" ht="17.25" customHeight="1" x14ac:dyDescent="0.2">
      <c r="F6" s="1" t="s">
        <v>51</v>
      </c>
      <c r="G6" s="1" t="s">
        <v>21</v>
      </c>
      <c r="P6" s="1" t="s">
        <v>30</v>
      </c>
      <c r="S6" s="8" t="s">
        <v>23</v>
      </c>
      <c r="T6" s="8" t="s">
        <v>26</v>
      </c>
      <c r="Z6" s="55" t="s">
        <v>40</v>
      </c>
      <c r="AA6" s="55"/>
      <c r="AB6" s="1" t="s">
        <v>41</v>
      </c>
      <c r="AC6" s="1" t="s">
        <v>42</v>
      </c>
      <c r="AD6" s="1" t="s">
        <v>43</v>
      </c>
    </row>
    <row r="7" spans="1:35" ht="25.5" x14ac:dyDescent="0.2">
      <c r="A7" s="1" t="s">
        <v>0</v>
      </c>
      <c r="B7" s="1" t="s">
        <v>9</v>
      </c>
      <c r="C7" s="1" t="s">
        <v>13</v>
      </c>
      <c r="D7" s="1" t="s">
        <v>14</v>
      </c>
      <c r="E7" s="1" t="s">
        <v>15</v>
      </c>
      <c r="F7" s="15" t="s">
        <v>20</v>
      </c>
      <c r="G7" s="15" t="s">
        <v>17</v>
      </c>
      <c r="H7" s="16" t="s">
        <v>18</v>
      </c>
      <c r="I7" s="16" t="s">
        <v>16</v>
      </c>
      <c r="J7" s="2" t="s">
        <v>2</v>
      </c>
      <c r="K7" s="1" t="s">
        <v>0</v>
      </c>
      <c r="L7" s="17" t="s">
        <v>10</v>
      </c>
      <c r="M7" s="18" t="s">
        <v>19</v>
      </c>
      <c r="N7" s="19" t="s">
        <v>11</v>
      </c>
      <c r="O7" s="2" t="s">
        <v>7</v>
      </c>
      <c r="P7" s="2" t="s">
        <v>6</v>
      </c>
      <c r="Q7" s="1" t="s">
        <v>29</v>
      </c>
      <c r="R7" s="1" t="s">
        <v>28</v>
      </c>
      <c r="S7" s="1" t="s">
        <v>22</v>
      </c>
      <c r="T7" s="1" t="s">
        <v>25</v>
      </c>
      <c r="U7" s="1" t="s">
        <v>37</v>
      </c>
      <c r="V7" s="1" t="s">
        <v>32</v>
      </c>
      <c r="W7" s="1" t="s">
        <v>33</v>
      </c>
      <c r="X7" s="1" t="s">
        <v>34</v>
      </c>
      <c r="Y7" s="1" t="s">
        <v>38</v>
      </c>
      <c r="Z7" s="1" t="s">
        <v>30</v>
      </c>
      <c r="AA7" s="1" t="s">
        <v>31</v>
      </c>
      <c r="AF7" s="1" t="s">
        <v>55</v>
      </c>
      <c r="AG7" s="1" t="s">
        <v>56</v>
      </c>
    </row>
    <row r="8" spans="1:35" ht="13.5" thickBot="1" x14ac:dyDescent="0.25">
      <c r="A8" s="1">
        <v>0</v>
      </c>
      <c r="C8" s="49">
        <v>1</v>
      </c>
      <c r="F8" s="14">
        <v>0</v>
      </c>
      <c r="G8" s="14">
        <v>0</v>
      </c>
      <c r="H8" s="16"/>
      <c r="I8" s="16"/>
      <c r="J8" s="2"/>
      <c r="L8" s="17"/>
      <c r="M8" s="18"/>
      <c r="N8" s="19"/>
      <c r="O8" s="2"/>
      <c r="P8" s="3">
        <v>0</v>
      </c>
      <c r="AH8" s="6">
        <f>G8-F8</f>
        <v>0</v>
      </c>
    </row>
    <row r="9" spans="1:35" x14ac:dyDescent="0.2">
      <c r="A9" s="22">
        <v>1</v>
      </c>
      <c r="B9" s="23">
        <f>D9+E9</f>
        <v>1044</v>
      </c>
      <c r="C9" s="26">
        <f>D9/B9</f>
        <v>0.97318007662835249</v>
      </c>
      <c r="D9" s="50">
        <v>1016</v>
      </c>
      <c r="E9" s="50">
        <v>28</v>
      </c>
      <c r="F9" s="25">
        <f>E9/E29</f>
        <v>2.9362416107382551E-3</v>
      </c>
      <c r="G9" s="25">
        <f>D9/D30</f>
        <v>0.10986159169550173</v>
      </c>
      <c r="H9" s="26">
        <f>F9</f>
        <v>2.9362416107382551E-3</v>
      </c>
      <c r="I9" s="26">
        <f>G9</f>
        <v>0.10986159169550173</v>
      </c>
      <c r="J9" s="26">
        <f>H9*I9</f>
        <v>3.2258017695826851E-4</v>
      </c>
      <c r="K9" s="22">
        <v>1</v>
      </c>
      <c r="L9" s="27">
        <f t="shared" ref="L9:L28" si="0">C9/$B$5</f>
        <v>1.9766667992416709</v>
      </c>
      <c r="M9" s="28">
        <f>D9</f>
        <v>1016</v>
      </c>
      <c r="N9" s="27">
        <f t="shared" ref="N9:N28" si="1">G9/P9</f>
        <v>1.9766667992416711</v>
      </c>
      <c r="O9" s="24">
        <f>B9</f>
        <v>1044</v>
      </c>
      <c r="P9" s="26">
        <f>O9/$B$29</f>
        <v>5.5579216354344124E-2</v>
      </c>
      <c r="Q9" s="24">
        <f t="shared" ref="Q9:Q27" si="2">Q10+B9</f>
        <v>18784</v>
      </c>
      <c r="R9" s="26">
        <f>Q9/$B$29</f>
        <v>1</v>
      </c>
      <c r="S9" s="26">
        <f>SUM(E9:$E$28)/$E$29</f>
        <v>1</v>
      </c>
      <c r="T9" s="26">
        <f>SUM(D9:$D$28)/$D$29</f>
        <v>1</v>
      </c>
      <c r="U9" s="29">
        <f>T9</f>
        <v>1</v>
      </c>
      <c r="V9" s="29">
        <f>T9-T10</f>
        <v>0.10986159169550169</v>
      </c>
      <c r="W9" s="29">
        <f>(S9+S10)/2</f>
        <v>0.99853187919463093</v>
      </c>
      <c r="X9" s="29">
        <f>V9*W9</f>
        <v>0.10970030160702257</v>
      </c>
      <c r="Y9" s="29">
        <f t="shared" ref="Y9:Y28" si="3">R9</f>
        <v>1</v>
      </c>
      <c r="Z9" s="29">
        <v>0</v>
      </c>
      <c r="AA9" s="29">
        <v>0</v>
      </c>
      <c r="AB9" s="29">
        <f>P9</f>
        <v>5.5579216354344124E-2</v>
      </c>
      <c r="AC9" s="29">
        <f>G9/2</f>
        <v>5.4930795847750867E-2</v>
      </c>
      <c r="AD9" s="29">
        <f t="shared" ref="AD9:AD27" si="4">AB9*AC9</f>
        <v>3.0530105869384532E-3</v>
      </c>
      <c r="AE9" s="30"/>
      <c r="AF9" s="24">
        <f t="shared" ref="AF9:AF28" si="5">D9*E9</f>
        <v>28448</v>
      </c>
      <c r="AG9" s="24">
        <f>D9*SUM(E10:$E$28)</f>
        <v>9660128</v>
      </c>
      <c r="AH9" s="29">
        <f>G9-F9</f>
        <v>0.10692535008476348</v>
      </c>
      <c r="AI9" s="3">
        <f>B9/$B$29</f>
        <v>5.5579216354344124E-2</v>
      </c>
    </row>
    <row r="10" spans="1:35" x14ac:dyDescent="0.2">
      <c r="A10" s="31">
        <v>2</v>
      </c>
      <c r="B10" s="32">
        <f>D10+E10</f>
        <v>1024</v>
      </c>
      <c r="C10" s="35">
        <f>D10/B10</f>
        <v>0.9296875</v>
      </c>
      <c r="D10" s="51">
        <v>952</v>
      </c>
      <c r="E10" s="51">
        <v>72</v>
      </c>
      <c r="F10" s="34">
        <f>(E10+E9)/E29</f>
        <v>1.0486577181208054E-2</v>
      </c>
      <c r="G10" s="34">
        <f>SUM(D9:D10)/D30</f>
        <v>0.21280276816608998</v>
      </c>
      <c r="H10" s="35">
        <f t="shared" ref="H10:H28" si="6">F9+F10</f>
        <v>1.342281879194631E-2</v>
      </c>
      <c r="I10" s="35">
        <f t="shared" ref="I10:I28" si="7">G10-G9</f>
        <v>0.10294117647058824</v>
      </c>
      <c r="J10" s="35">
        <f t="shared" ref="J10:J28" si="8">H10*I10</f>
        <v>1.3817607579944733E-3</v>
      </c>
      <c r="K10" s="31">
        <v>2</v>
      </c>
      <c r="L10" s="20">
        <f t="shared" si="0"/>
        <v>1.888327205882353</v>
      </c>
      <c r="M10" s="21">
        <f t="shared" ref="M10:M28" si="9">M9+D10</f>
        <v>1968</v>
      </c>
      <c r="N10" s="20">
        <f t="shared" si="1"/>
        <v>1.9329241766111382</v>
      </c>
      <c r="O10" s="33">
        <f t="shared" ref="O10:O28" si="10">O9+B10</f>
        <v>2068</v>
      </c>
      <c r="P10" s="35">
        <f>O10/$B$29</f>
        <v>0.11009369676320273</v>
      </c>
      <c r="Q10" s="33">
        <f t="shared" si="2"/>
        <v>17740</v>
      </c>
      <c r="R10" s="35">
        <f>Q10/$B$29</f>
        <v>0.94442078364565585</v>
      </c>
      <c r="S10" s="35">
        <f>SUM(E10:$E$28)/$E$29</f>
        <v>0.99706375838926176</v>
      </c>
      <c r="T10" s="35">
        <f>SUM(D10:$D$28)/$D$29</f>
        <v>0.89013840830449831</v>
      </c>
      <c r="U10" s="36">
        <f t="shared" ref="U10:U28" si="11">T10</f>
        <v>0.89013840830449831</v>
      </c>
      <c r="V10" s="36">
        <f t="shared" ref="V10:V28" si="12">T10-T11</f>
        <v>0.10294117647058831</v>
      </c>
      <c r="W10" s="36">
        <f t="shared" ref="W10:W27" si="13">(S10+S11)/2</f>
        <v>0.99328859060402686</v>
      </c>
      <c r="X10" s="36">
        <f t="shared" ref="X10:X28" si="14">V10*W10</f>
        <v>0.10225029609159107</v>
      </c>
      <c r="Y10" s="36">
        <f t="shared" si="3"/>
        <v>0.94442078364565585</v>
      </c>
      <c r="Z10" s="36">
        <f>D29/B29</f>
        <v>0.49233390119250425</v>
      </c>
      <c r="AA10" s="36">
        <v>1</v>
      </c>
      <c r="AB10" s="36">
        <f t="shared" ref="AB10:AB27" si="15">P10-P9</f>
        <v>5.4514480408858604E-2</v>
      </c>
      <c r="AC10" s="36">
        <f t="shared" ref="AC10:AC28" si="16">(G10+G9)/2</f>
        <v>0.16133217993079585</v>
      </c>
      <c r="AD10" s="36">
        <f t="shared" si="4"/>
        <v>8.7949399621558219E-3</v>
      </c>
      <c r="AE10" s="37"/>
      <c r="AF10" s="5">
        <f t="shared" si="5"/>
        <v>68544</v>
      </c>
      <c r="AG10" s="5">
        <f>D10*SUM(E11:$E$28)</f>
        <v>8983072</v>
      </c>
      <c r="AH10" s="36">
        <f>G10-F10</f>
        <v>0.20231619098488193</v>
      </c>
      <c r="AI10" s="3">
        <f t="shared" ref="AI10:AI28" si="17">B10/$B$29</f>
        <v>5.4514480408858604E-2</v>
      </c>
    </row>
    <row r="11" spans="1:35" x14ac:dyDescent="0.2">
      <c r="A11" s="31">
        <v>3</v>
      </c>
      <c r="B11" s="32">
        <f t="shared" ref="B11:B27" si="18">D11+E11</f>
        <v>948</v>
      </c>
      <c r="C11" s="35">
        <f t="shared" ref="C11:C27" si="19">D11/B11</f>
        <v>0.89451476793248941</v>
      </c>
      <c r="D11" s="51">
        <v>848</v>
      </c>
      <c r="E11" s="51">
        <v>100</v>
      </c>
      <c r="F11" s="34">
        <f>SUM(E9:E11)/E29</f>
        <v>2.0973154362416108E-2</v>
      </c>
      <c r="G11" s="34">
        <f>SUM(D9:D11)/D30</f>
        <v>0.30449826989619377</v>
      </c>
      <c r="H11" s="35">
        <f t="shared" si="6"/>
        <v>3.1459731543624164E-2</v>
      </c>
      <c r="I11" s="35">
        <f t="shared" si="7"/>
        <v>9.1695501730103796E-2</v>
      </c>
      <c r="J11" s="35">
        <f t="shared" si="8"/>
        <v>2.8847158681869906E-3</v>
      </c>
      <c r="K11" s="31">
        <v>3</v>
      </c>
      <c r="L11" s="20">
        <f t="shared" si="0"/>
        <v>1.8168863971500737</v>
      </c>
      <c r="M11" s="21">
        <f t="shared" si="9"/>
        <v>2816</v>
      </c>
      <c r="N11" s="20">
        <f t="shared" si="1"/>
        <v>1.8964507631731111</v>
      </c>
      <c r="O11" s="33">
        <f t="shared" si="10"/>
        <v>3016</v>
      </c>
      <c r="P11" s="35">
        <f>O11/$B$29</f>
        <v>0.16056218057921637</v>
      </c>
      <c r="Q11" s="33">
        <f t="shared" si="2"/>
        <v>16716</v>
      </c>
      <c r="R11" s="35">
        <f>Q11/$B$29</f>
        <v>0.88990630323679731</v>
      </c>
      <c r="S11" s="35">
        <f>SUM(E11:$E$28)/$E$29</f>
        <v>0.98951342281879195</v>
      </c>
      <c r="T11" s="35">
        <f>SUM(D11:$D$28)/$D$29</f>
        <v>0.78719723183390999</v>
      </c>
      <c r="U11" s="36">
        <f t="shared" si="11"/>
        <v>0.78719723183390999</v>
      </c>
      <c r="V11" s="36">
        <f t="shared" si="12"/>
        <v>9.1695501730103768E-2</v>
      </c>
      <c r="W11" s="36">
        <f t="shared" si="13"/>
        <v>0.98427013422818788</v>
      </c>
      <c r="X11" s="36">
        <f t="shared" si="14"/>
        <v>9.0253143796010266E-2</v>
      </c>
      <c r="Y11" s="36">
        <f t="shared" si="3"/>
        <v>0.88990630323679731</v>
      </c>
      <c r="Z11" s="36">
        <v>1</v>
      </c>
      <c r="AA11" s="36">
        <v>1</v>
      </c>
      <c r="AB11" s="36">
        <f t="shared" si="15"/>
        <v>5.046848381601364E-2</v>
      </c>
      <c r="AC11" s="36">
        <f t="shared" si="16"/>
        <v>0.25865051903114189</v>
      </c>
      <c r="AD11" s="36">
        <f t="shared" si="4"/>
        <v>1.3053699533726712E-2</v>
      </c>
      <c r="AE11" s="37"/>
      <c r="AF11" s="5">
        <f t="shared" si="5"/>
        <v>84800</v>
      </c>
      <c r="AG11" s="5">
        <f>D11*SUM(E12:$E$28)</f>
        <v>7916928</v>
      </c>
      <c r="AH11" s="36">
        <f t="shared" ref="AH11:AH27" si="20">G11-F11</f>
        <v>0.28352511553377768</v>
      </c>
      <c r="AI11" s="3">
        <f t="shared" si="17"/>
        <v>5.0468483816013626E-2</v>
      </c>
    </row>
    <row r="12" spans="1:35" x14ac:dyDescent="0.2">
      <c r="A12" s="31">
        <v>4</v>
      </c>
      <c r="B12" s="32">
        <f t="shared" si="18"/>
        <v>1096</v>
      </c>
      <c r="C12" s="35">
        <f t="shared" si="19"/>
        <v>0.85766423357664234</v>
      </c>
      <c r="D12" s="51">
        <v>940</v>
      </c>
      <c r="E12" s="51">
        <v>156</v>
      </c>
      <c r="F12" s="34">
        <f>SUM(E9:E12)/E29</f>
        <v>3.7332214765100673E-2</v>
      </c>
      <c r="G12" s="34">
        <f>SUM(D9:D12)/D30</f>
        <v>0.4061418685121107</v>
      </c>
      <c r="H12" s="35">
        <f t="shared" si="6"/>
        <v>5.8305369127516785E-2</v>
      </c>
      <c r="I12" s="35">
        <f t="shared" si="7"/>
        <v>0.10164359861591693</v>
      </c>
      <c r="J12" s="35">
        <f t="shared" si="8"/>
        <v>5.9263675367501904E-3</v>
      </c>
      <c r="K12" s="31">
        <v>4</v>
      </c>
      <c r="L12" s="20">
        <f t="shared" si="0"/>
        <v>1.7420377339428688</v>
      </c>
      <c r="M12" s="21">
        <f t="shared" si="9"/>
        <v>3756</v>
      </c>
      <c r="N12" s="20">
        <f t="shared" si="1"/>
        <v>1.8552939830086301</v>
      </c>
      <c r="O12" s="33">
        <f t="shared" si="10"/>
        <v>4112</v>
      </c>
      <c r="P12" s="35">
        <f>O12/$B$29</f>
        <v>0.21890971039182283</v>
      </c>
      <c r="Q12" s="33">
        <f t="shared" si="2"/>
        <v>15768</v>
      </c>
      <c r="R12" s="35">
        <f>Q12/$B$29</f>
        <v>0.83943781942078366</v>
      </c>
      <c r="S12" s="35">
        <f>SUM(E12:$E$28)/$E$29</f>
        <v>0.97902684563758391</v>
      </c>
      <c r="T12" s="35">
        <f>SUM(D12:$D$28)/$D$29</f>
        <v>0.69550173010380623</v>
      </c>
      <c r="U12" s="36">
        <f t="shared" si="11"/>
        <v>0.69550173010380623</v>
      </c>
      <c r="V12" s="36">
        <f t="shared" si="12"/>
        <v>0.10164359861591699</v>
      </c>
      <c r="W12" s="36">
        <f t="shared" si="13"/>
        <v>0.97084731543624159</v>
      </c>
      <c r="X12" s="36">
        <f t="shared" si="14"/>
        <v>9.8680414847541892E-2</v>
      </c>
      <c r="Y12" s="36">
        <f t="shared" si="3"/>
        <v>0.83943781942078366</v>
      </c>
      <c r="Z12" s="37"/>
      <c r="AA12" s="37"/>
      <c r="AB12" s="36">
        <f t="shared" si="15"/>
        <v>5.8347529812606463E-2</v>
      </c>
      <c r="AC12" s="36">
        <f t="shared" si="16"/>
        <v>0.35532006920415227</v>
      </c>
      <c r="AD12" s="36">
        <f t="shared" si="4"/>
        <v>2.0732048330906666E-2</v>
      </c>
      <c r="AE12" s="37"/>
      <c r="AF12" s="5">
        <f t="shared" si="5"/>
        <v>146640</v>
      </c>
      <c r="AG12" s="5">
        <f>D12*SUM(E13:$E$28)</f>
        <v>8629200</v>
      </c>
      <c r="AH12" s="36">
        <f t="shared" si="20"/>
        <v>0.36880965374701002</v>
      </c>
      <c r="AI12" s="3">
        <f t="shared" si="17"/>
        <v>5.834752981260647E-2</v>
      </c>
    </row>
    <row r="13" spans="1:35" x14ac:dyDescent="0.2">
      <c r="A13" s="31">
        <v>5</v>
      </c>
      <c r="B13" s="32">
        <f t="shared" si="18"/>
        <v>832</v>
      </c>
      <c r="C13" s="35">
        <f t="shared" si="19"/>
        <v>0.8125</v>
      </c>
      <c r="D13" s="51">
        <v>676</v>
      </c>
      <c r="E13" s="51">
        <v>156</v>
      </c>
      <c r="F13" s="34">
        <f>SUM(E9:E13)/E29</f>
        <v>5.3691275167785234E-2</v>
      </c>
      <c r="G13" s="34">
        <f>SUM(D9:D13)/D30</f>
        <v>0.47923875432525953</v>
      </c>
      <c r="H13" s="35">
        <f t="shared" si="6"/>
        <v>9.1023489932885907E-2</v>
      </c>
      <c r="I13" s="35">
        <f t="shared" si="7"/>
        <v>7.3096885813148826E-2</v>
      </c>
      <c r="J13" s="35">
        <f t="shared" si="8"/>
        <v>6.653533649938463E-3</v>
      </c>
      <c r="K13" s="31">
        <v>5</v>
      </c>
      <c r="L13" s="20">
        <f t="shared" si="0"/>
        <v>1.65030276816609</v>
      </c>
      <c r="M13" s="21">
        <f t="shared" si="9"/>
        <v>4432</v>
      </c>
      <c r="N13" s="20">
        <f t="shared" si="1"/>
        <v>1.820797079539983</v>
      </c>
      <c r="O13" s="33">
        <f t="shared" si="10"/>
        <v>4944</v>
      </c>
      <c r="P13" s="35">
        <f>O13/$B$29</f>
        <v>0.26320272572402043</v>
      </c>
      <c r="Q13" s="33">
        <f>Q14+B13</f>
        <v>14672</v>
      </c>
      <c r="R13" s="35">
        <f>Q13/$B$29</f>
        <v>0.78109028960817717</v>
      </c>
      <c r="S13" s="35">
        <f>SUM(E13:$E$28)/$E$29</f>
        <v>0.96266778523489938</v>
      </c>
      <c r="T13" s="35">
        <f>SUM(D13:$D$28)/$D$29</f>
        <v>0.59385813148788924</v>
      </c>
      <c r="U13" s="36">
        <f t="shared" si="11"/>
        <v>0.59385813148788924</v>
      </c>
      <c r="V13" s="36">
        <f>T13-T14</f>
        <v>7.3096885813148771E-2</v>
      </c>
      <c r="W13" s="36">
        <f>(S13+S14)/2</f>
        <v>0.95448825503355705</v>
      </c>
      <c r="X13" s="36">
        <f t="shared" si="14"/>
        <v>6.9770118988179544E-2</v>
      </c>
      <c r="Y13" s="36">
        <f t="shared" si="3"/>
        <v>0.78109028960817717</v>
      </c>
      <c r="Z13" s="37"/>
      <c r="AA13" s="37"/>
      <c r="AB13" s="36">
        <f t="shared" si="15"/>
        <v>4.4293015332197594E-2</v>
      </c>
      <c r="AC13" s="36">
        <f t="shared" si="16"/>
        <v>0.44269031141868509</v>
      </c>
      <c r="AD13" s="36">
        <f t="shared" si="4"/>
        <v>1.9608088751083146E-2</v>
      </c>
      <c r="AE13" s="37"/>
      <c r="AF13" s="5">
        <f t="shared" si="5"/>
        <v>105456</v>
      </c>
      <c r="AG13" s="5">
        <f>D13*SUM(E14:$E$28)</f>
        <v>6100224</v>
      </c>
      <c r="AH13" s="36">
        <f t="shared" si="20"/>
        <v>0.42554747915747432</v>
      </c>
      <c r="AI13" s="3">
        <f t="shared" si="17"/>
        <v>4.4293015332197615E-2</v>
      </c>
    </row>
    <row r="14" spans="1:35" x14ac:dyDescent="0.2">
      <c r="A14" s="31">
        <v>6</v>
      </c>
      <c r="B14" s="32">
        <f t="shared" si="18"/>
        <v>932</v>
      </c>
      <c r="C14" s="35">
        <f t="shared" si="19"/>
        <v>0.7381974248927039</v>
      </c>
      <c r="D14" s="51">
        <v>688</v>
      </c>
      <c r="E14" s="51">
        <v>244</v>
      </c>
      <c r="F14" s="34">
        <f>SUM(E9:E14)/E29</f>
        <v>7.9278523489932889E-2</v>
      </c>
      <c r="G14" s="34">
        <f>SUM(D9:D14)/D30</f>
        <v>0.55363321799307963</v>
      </c>
      <c r="H14" s="35">
        <f t="shared" si="6"/>
        <v>0.13296979865771813</v>
      </c>
      <c r="I14" s="35">
        <f t="shared" si="7"/>
        <v>7.4394463667820099E-2</v>
      </c>
      <c r="J14" s="35">
        <f t="shared" si="8"/>
        <v>9.892216855158965E-3</v>
      </c>
      <c r="K14" s="31">
        <v>6</v>
      </c>
      <c r="L14" s="20">
        <f t="shared" si="0"/>
        <v>1.499383696927395</v>
      </c>
      <c r="M14" s="21">
        <f t="shared" si="9"/>
        <v>5120</v>
      </c>
      <c r="N14" s="20">
        <f t="shared" si="1"/>
        <v>1.7698172850207636</v>
      </c>
      <c r="O14" s="33">
        <f t="shared" si="10"/>
        <v>5876</v>
      </c>
      <c r="P14" s="35">
        <f t="shared" ref="P14:P25" si="21">O14/$B$29</f>
        <v>0.31281942078364566</v>
      </c>
      <c r="Q14" s="33">
        <f t="shared" si="2"/>
        <v>13840</v>
      </c>
      <c r="R14" s="35">
        <f t="shared" ref="R14:R25" si="22">Q14/$B$29</f>
        <v>0.73679727427597952</v>
      </c>
      <c r="S14" s="35">
        <f>SUM(E14:$E$28)/$E$29</f>
        <v>0.94630872483221473</v>
      </c>
      <c r="T14" s="35">
        <f>SUM(D14:$D$28)/$D$29</f>
        <v>0.52076124567474047</v>
      </c>
      <c r="U14" s="36">
        <f t="shared" si="11"/>
        <v>0.52076124567474047</v>
      </c>
      <c r="V14" s="36">
        <f t="shared" si="12"/>
        <v>7.4394463667820043E-2</v>
      </c>
      <c r="W14" s="36">
        <f t="shared" si="13"/>
        <v>0.93351510067114085</v>
      </c>
      <c r="X14" s="36">
        <f t="shared" si="14"/>
        <v>6.9448355240240553E-2</v>
      </c>
      <c r="Y14" s="36">
        <f t="shared" si="3"/>
        <v>0.73679727427597952</v>
      </c>
      <c r="Z14" s="37"/>
      <c r="AA14" s="37"/>
      <c r="AB14" s="36">
        <f t="shared" si="15"/>
        <v>4.9616695059625238E-2</v>
      </c>
      <c r="AC14" s="36">
        <f t="shared" si="16"/>
        <v>0.51643598615916964</v>
      </c>
      <c r="AD14" s="36">
        <f t="shared" si="4"/>
        <v>2.5623846843076361E-2</v>
      </c>
      <c r="AE14" s="37"/>
      <c r="AF14" s="5">
        <f t="shared" si="5"/>
        <v>167872</v>
      </c>
      <c r="AG14" s="5">
        <f>D14*SUM(E15:$E$28)</f>
        <v>6040640</v>
      </c>
      <c r="AH14" s="36">
        <f t="shared" si="20"/>
        <v>0.47435469450314671</v>
      </c>
      <c r="AI14" s="3">
        <f t="shared" si="17"/>
        <v>4.961669505962521E-2</v>
      </c>
    </row>
    <row r="15" spans="1:35" x14ac:dyDescent="0.2">
      <c r="A15" s="31">
        <v>7</v>
      </c>
      <c r="B15" s="32">
        <f t="shared" si="18"/>
        <v>892</v>
      </c>
      <c r="C15" s="35">
        <f t="shared" si="19"/>
        <v>0.67264573991031396</v>
      </c>
      <c r="D15" s="51">
        <v>600</v>
      </c>
      <c r="E15" s="51">
        <v>292</v>
      </c>
      <c r="F15" s="34">
        <f>SUM(E9:E15)/E29</f>
        <v>0.1098993288590604</v>
      </c>
      <c r="G15" s="34">
        <f>SUM(D9:D15)/D30</f>
        <v>0.61851211072664358</v>
      </c>
      <c r="H15" s="35">
        <f t="shared" si="6"/>
        <v>0.18917785234899329</v>
      </c>
      <c r="I15" s="35">
        <f t="shared" si="7"/>
        <v>6.4878892733563953E-2</v>
      </c>
      <c r="J15" s="35">
        <f t="shared" si="8"/>
        <v>1.2273649590116335E-2</v>
      </c>
      <c r="K15" s="31">
        <v>7</v>
      </c>
      <c r="L15" s="20">
        <f t="shared" si="0"/>
        <v>1.3662389250081464</v>
      </c>
      <c r="M15" s="21">
        <f t="shared" si="9"/>
        <v>5720</v>
      </c>
      <c r="N15" s="20">
        <f t="shared" si="1"/>
        <v>1.7166269928914411</v>
      </c>
      <c r="O15" s="33">
        <f t="shared" si="10"/>
        <v>6768</v>
      </c>
      <c r="P15" s="35">
        <f t="shared" si="21"/>
        <v>0.36030664395229983</v>
      </c>
      <c r="Q15" s="33">
        <f t="shared" si="2"/>
        <v>12908</v>
      </c>
      <c r="R15" s="35">
        <f t="shared" si="22"/>
        <v>0.68718057921635434</v>
      </c>
      <c r="S15" s="35">
        <f>SUM(E15:$E$28)/$E$29</f>
        <v>0.92072147651006708</v>
      </c>
      <c r="T15" s="35">
        <f>SUM(D15:$D$28)/$D$29</f>
        <v>0.44636678200692043</v>
      </c>
      <c r="U15" s="36">
        <f t="shared" si="11"/>
        <v>0.44636678200692043</v>
      </c>
      <c r="V15" s="36">
        <f t="shared" si="12"/>
        <v>6.4878892733564009E-2</v>
      </c>
      <c r="W15" s="36">
        <f t="shared" si="13"/>
        <v>0.90541107382550334</v>
      </c>
      <c r="X15" s="36">
        <f t="shared" si="14"/>
        <v>5.8742067938505838E-2</v>
      </c>
      <c r="Y15" s="36">
        <f t="shared" si="3"/>
        <v>0.68718057921635434</v>
      </c>
      <c r="Z15" s="37"/>
      <c r="AA15" s="37"/>
      <c r="AB15" s="36">
        <f t="shared" si="15"/>
        <v>4.7487223168654169E-2</v>
      </c>
      <c r="AC15" s="36">
        <f t="shared" si="16"/>
        <v>0.58607266435986161</v>
      </c>
      <c r="AD15" s="36">
        <f t="shared" si="4"/>
        <v>2.7830963405504498E-2</v>
      </c>
      <c r="AE15" s="37"/>
      <c r="AF15" s="5">
        <f t="shared" si="5"/>
        <v>175200</v>
      </c>
      <c r="AG15" s="5">
        <f>D15*SUM(E16:$E$28)</f>
        <v>5092800</v>
      </c>
      <c r="AH15" s="36">
        <f t="shared" si="20"/>
        <v>0.50861278186758319</v>
      </c>
      <c r="AI15" s="3">
        <f t="shared" si="17"/>
        <v>4.7487223168654176E-2</v>
      </c>
    </row>
    <row r="16" spans="1:35" x14ac:dyDescent="0.2">
      <c r="A16" s="31">
        <v>8</v>
      </c>
      <c r="B16" s="32">
        <f t="shared" si="18"/>
        <v>852</v>
      </c>
      <c r="C16" s="35">
        <f t="shared" si="19"/>
        <v>0.60563380281690138</v>
      </c>
      <c r="D16" s="51">
        <v>516</v>
      </c>
      <c r="E16" s="51">
        <v>336</v>
      </c>
      <c r="F16" s="34">
        <f>SUM(E9:E16)/E29</f>
        <v>0.14513422818791946</v>
      </c>
      <c r="G16" s="34">
        <f>SUM(D9:D16)/D30</f>
        <v>0.67430795847750868</v>
      </c>
      <c r="H16" s="35">
        <f t="shared" si="6"/>
        <v>0.25503355704697983</v>
      </c>
      <c r="I16" s="35">
        <f t="shared" si="7"/>
        <v>5.5795847750865102E-2</v>
      </c>
      <c r="J16" s="35">
        <f t="shared" si="8"/>
        <v>1.4229813520354856E-2</v>
      </c>
      <c r="K16" s="31">
        <v>8</v>
      </c>
      <c r="L16" s="20">
        <f t="shared" si="0"/>
        <v>1.2301281738876164</v>
      </c>
      <c r="M16" s="21">
        <f t="shared" si="9"/>
        <v>6236</v>
      </c>
      <c r="N16" s="20">
        <f t="shared" si="1"/>
        <v>1.6622310619477063</v>
      </c>
      <c r="O16" s="33">
        <f t="shared" si="10"/>
        <v>7620</v>
      </c>
      <c r="P16" s="35">
        <f t="shared" si="21"/>
        <v>0.40566439522998299</v>
      </c>
      <c r="Q16" s="33">
        <f t="shared" si="2"/>
        <v>12016</v>
      </c>
      <c r="R16" s="35">
        <f t="shared" si="22"/>
        <v>0.63969335604770017</v>
      </c>
      <c r="S16" s="35">
        <f>SUM(E16:$E$28)/$E$29</f>
        <v>0.8901006711409396</v>
      </c>
      <c r="T16" s="35">
        <f>SUM(D16:$D$28)/$D$29</f>
        <v>0.38148788927335642</v>
      </c>
      <c r="U16" s="36">
        <f t="shared" si="11"/>
        <v>0.38148788927335642</v>
      </c>
      <c r="V16" s="36">
        <f t="shared" si="12"/>
        <v>5.5795847750865046E-2</v>
      </c>
      <c r="W16" s="36">
        <f t="shared" si="13"/>
        <v>0.87248322147651014</v>
      </c>
      <c r="X16" s="36">
        <f t="shared" si="14"/>
        <v>4.8680940990687628E-2</v>
      </c>
      <c r="Y16" s="36">
        <f t="shared" si="3"/>
        <v>0.63969335604770017</v>
      </c>
      <c r="Z16" s="37"/>
      <c r="AA16" s="37"/>
      <c r="AB16" s="36">
        <f t="shared" si="15"/>
        <v>4.5357751277683156E-2</v>
      </c>
      <c r="AC16" s="36">
        <f t="shared" si="16"/>
        <v>0.64641003460207613</v>
      </c>
      <c r="AD16" s="36">
        <f t="shared" si="4"/>
        <v>2.9319705572879533E-2</v>
      </c>
      <c r="AE16" s="37"/>
      <c r="AF16" s="5">
        <f t="shared" si="5"/>
        <v>173376</v>
      </c>
      <c r="AG16" s="5">
        <f>D16*SUM(E17:$E$28)</f>
        <v>4206432</v>
      </c>
      <c r="AH16" s="36">
        <f t="shared" si="20"/>
        <v>0.52917373028958925</v>
      </c>
      <c r="AI16" s="3">
        <f t="shared" si="17"/>
        <v>4.5357751277683135E-2</v>
      </c>
    </row>
    <row r="17" spans="1:35" x14ac:dyDescent="0.2">
      <c r="A17" s="31">
        <v>9</v>
      </c>
      <c r="B17" s="32">
        <f t="shared" si="18"/>
        <v>912</v>
      </c>
      <c r="C17" s="35">
        <f t="shared" si="19"/>
        <v>0.54824561403508776</v>
      </c>
      <c r="D17" s="51">
        <v>500</v>
      </c>
      <c r="E17" s="51">
        <v>412</v>
      </c>
      <c r="F17" s="34">
        <f>SUM(E9:E17)/E29</f>
        <v>0.18833892617449666</v>
      </c>
      <c r="G17" s="34">
        <f>SUM(D9:D17)/D30</f>
        <v>0.72837370242214527</v>
      </c>
      <c r="H17" s="35">
        <f t="shared" si="6"/>
        <v>0.33347315436241609</v>
      </c>
      <c r="I17" s="35">
        <f t="shared" si="7"/>
        <v>5.4065743944636591E-2</v>
      </c>
      <c r="J17" s="35">
        <f t="shared" si="8"/>
        <v>1.802947417616866E-2</v>
      </c>
      <c r="K17" s="31">
        <v>9</v>
      </c>
      <c r="L17" s="20">
        <f t="shared" si="0"/>
        <v>1.1135646208947976</v>
      </c>
      <c r="M17" s="21">
        <f t="shared" si="9"/>
        <v>6736</v>
      </c>
      <c r="N17" s="20">
        <f t="shared" si="1"/>
        <v>1.6035831723274234</v>
      </c>
      <c r="O17" s="33">
        <f t="shared" si="10"/>
        <v>8532</v>
      </c>
      <c r="P17" s="35">
        <f t="shared" si="21"/>
        <v>0.45421635434412266</v>
      </c>
      <c r="Q17" s="33">
        <f t="shared" si="2"/>
        <v>11164</v>
      </c>
      <c r="R17" s="35">
        <f t="shared" si="22"/>
        <v>0.59433560477001701</v>
      </c>
      <c r="S17" s="35">
        <f>SUM(E17:$E$28)/$E$29</f>
        <v>0.85486577181208057</v>
      </c>
      <c r="T17" s="35">
        <f>SUM(D17:$D$28)/$D$29</f>
        <v>0.32569204152249137</v>
      </c>
      <c r="U17" s="36">
        <f t="shared" si="11"/>
        <v>0.32569204152249137</v>
      </c>
      <c r="V17" s="36">
        <f t="shared" si="12"/>
        <v>5.4065743944636702E-2</v>
      </c>
      <c r="W17" s="36">
        <f t="shared" si="13"/>
        <v>0.83326342281879195</v>
      </c>
      <c r="X17" s="36">
        <f t="shared" si="14"/>
        <v>4.5051006856552354E-2</v>
      </c>
      <c r="Y17" s="36">
        <f t="shared" si="3"/>
        <v>0.59433560477001701</v>
      </c>
      <c r="Z17" s="37"/>
      <c r="AA17" s="37"/>
      <c r="AB17" s="36">
        <f t="shared" si="15"/>
        <v>4.8551959114139676E-2</v>
      </c>
      <c r="AC17" s="36">
        <f t="shared" si="16"/>
        <v>0.70134083044982698</v>
      </c>
      <c r="AD17" s="36">
        <f t="shared" si="4"/>
        <v>3.4051471325076764E-2</v>
      </c>
      <c r="AE17" s="37"/>
      <c r="AF17" s="5">
        <f t="shared" si="5"/>
        <v>206000</v>
      </c>
      <c r="AG17" s="5">
        <f>D17*SUM(E18:$E$28)</f>
        <v>3870000</v>
      </c>
      <c r="AH17" s="36">
        <f t="shared" si="20"/>
        <v>0.54003477624764862</v>
      </c>
      <c r="AI17" s="3">
        <f t="shared" si="17"/>
        <v>4.8551959114139696E-2</v>
      </c>
    </row>
    <row r="18" spans="1:35" x14ac:dyDescent="0.2">
      <c r="A18" s="31">
        <v>10</v>
      </c>
      <c r="B18" s="32">
        <f t="shared" si="18"/>
        <v>768</v>
      </c>
      <c r="C18" s="35">
        <f t="shared" si="19"/>
        <v>0.44791666666666669</v>
      </c>
      <c r="D18" s="51">
        <v>344</v>
      </c>
      <c r="E18" s="51">
        <v>424</v>
      </c>
      <c r="F18" s="34">
        <f>SUM(E9:E18)/E29</f>
        <v>0.23280201342281878</v>
      </c>
      <c r="G18" s="34">
        <f>SUM(D9:D18)/D30</f>
        <v>0.76557093425605538</v>
      </c>
      <c r="H18" s="35">
        <f t="shared" si="6"/>
        <v>0.42114093959731547</v>
      </c>
      <c r="I18" s="35">
        <f t="shared" si="7"/>
        <v>3.7197231833910105E-2</v>
      </c>
      <c r="J18" s="35">
        <f t="shared" si="8"/>
        <v>1.5665277164952075E-2</v>
      </c>
      <c r="K18" s="31">
        <v>10</v>
      </c>
      <c r="L18" s="20">
        <f t="shared" si="0"/>
        <v>0.90978229527104959</v>
      </c>
      <c r="M18" s="21">
        <f t="shared" si="9"/>
        <v>7080</v>
      </c>
      <c r="N18" s="20">
        <f t="shared" si="1"/>
        <v>1.5462886482866391</v>
      </c>
      <c r="O18" s="33">
        <f t="shared" si="10"/>
        <v>9300</v>
      </c>
      <c r="P18" s="35">
        <f t="shared" si="21"/>
        <v>0.49510221465076659</v>
      </c>
      <c r="Q18" s="33">
        <f t="shared" si="2"/>
        <v>10252</v>
      </c>
      <c r="R18" s="35">
        <f t="shared" si="22"/>
        <v>0.54578364565587734</v>
      </c>
      <c r="S18" s="35">
        <f>SUM(E18:$E$28)/$E$29</f>
        <v>0.81166107382550334</v>
      </c>
      <c r="T18" s="35">
        <f>SUM(D18:$D$28)/$D$29</f>
        <v>0.27162629757785467</v>
      </c>
      <c r="U18" s="36">
        <f t="shared" si="11"/>
        <v>0.27162629757785467</v>
      </c>
      <c r="V18" s="36">
        <f t="shared" si="12"/>
        <v>3.7197231833910022E-2</v>
      </c>
      <c r="W18" s="36">
        <f t="shared" si="13"/>
        <v>0.78942953020134232</v>
      </c>
      <c r="X18" s="36">
        <f t="shared" si="14"/>
        <v>2.9364593251434003E-2</v>
      </c>
      <c r="Y18" s="36">
        <f t="shared" si="3"/>
        <v>0.54578364565587734</v>
      </c>
      <c r="Z18" s="37"/>
      <c r="AA18" s="37"/>
      <c r="AB18" s="36">
        <f t="shared" si="15"/>
        <v>4.0885860306643929E-2</v>
      </c>
      <c r="AC18" s="36">
        <f t="shared" si="16"/>
        <v>0.74697231833910038</v>
      </c>
      <c r="AD18" s="36">
        <f t="shared" si="4"/>
        <v>3.0540605860542417E-2</v>
      </c>
      <c r="AE18" s="37"/>
      <c r="AF18" s="5">
        <f t="shared" si="5"/>
        <v>145856</v>
      </c>
      <c r="AG18" s="5">
        <f>D18*SUM(E19:$E$28)</f>
        <v>2516704</v>
      </c>
      <c r="AH18" s="36">
        <f t="shared" si="20"/>
        <v>0.53276892083323657</v>
      </c>
      <c r="AI18" s="3">
        <f t="shared" si="17"/>
        <v>4.0885860306643949E-2</v>
      </c>
    </row>
    <row r="19" spans="1:35" x14ac:dyDescent="0.2">
      <c r="A19" s="31">
        <v>11</v>
      </c>
      <c r="B19" s="32">
        <f t="shared" si="18"/>
        <v>1032</v>
      </c>
      <c r="C19" s="35">
        <f t="shared" si="19"/>
        <v>0.37209302325581395</v>
      </c>
      <c r="D19" s="51">
        <v>384</v>
      </c>
      <c r="E19" s="51">
        <v>648</v>
      </c>
      <c r="F19" s="34">
        <f>SUM(E9:E19)/E29</f>
        <v>0.30075503355704697</v>
      </c>
      <c r="G19" s="34">
        <f>SUM(D9:D19)/D30</f>
        <v>0.80709342560553632</v>
      </c>
      <c r="H19" s="35">
        <f t="shared" si="6"/>
        <v>0.53355704697986572</v>
      </c>
      <c r="I19" s="35">
        <f t="shared" si="7"/>
        <v>4.1522491349480939E-2</v>
      </c>
      <c r="J19" s="35">
        <f t="shared" si="8"/>
        <v>2.2154617867676068E-2</v>
      </c>
      <c r="K19" s="31">
        <v>11</v>
      </c>
      <c r="L19" s="20">
        <f t="shared" si="0"/>
        <v>0.75577371851613417</v>
      </c>
      <c r="M19" s="21">
        <f t="shared" si="9"/>
        <v>7464</v>
      </c>
      <c r="N19" s="20">
        <f t="shared" si="1"/>
        <v>1.467328968890282</v>
      </c>
      <c r="O19" s="33">
        <f t="shared" si="10"/>
        <v>10332</v>
      </c>
      <c r="P19" s="35">
        <f t="shared" si="21"/>
        <v>0.55004258943781947</v>
      </c>
      <c r="Q19" s="33">
        <f t="shared" si="2"/>
        <v>9484</v>
      </c>
      <c r="R19" s="35">
        <f t="shared" si="22"/>
        <v>0.50489778534923335</v>
      </c>
      <c r="S19" s="35">
        <f>SUM(E19:$E$28)/$E$29</f>
        <v>0.76719798657718119</v>
      </c>
      <c r="T19" s="35">
        <f>SUM(D19:$D$28)/$D$29</f>
        <v>0.23442906574394465</v>
      </c>
      <c r="U19" s="36">
        <f t="shared" si="11"/>
        <v>0.23442906574394465</v>
      </c>
      <c r="V19" s="36">
        <f t="shared" si="12"/>
        <v>4.1522491349480967E-2</v>
      </c>
      <c r="W19" s="36">
        <f t="shared" si="13"/>
        <v>0.73322147651006708</v>
      </c>
      <c r="X19" s="36">
        <f t="shared" si="14"/>
        <v>3.0445182415642921E-2</v>
      </c>
      <c r="Y19" s="36">
        <f t="shared" si="3"/>
        <v>0.50489778534923335</v>
      </c>
      <c r="Z19" s="37"/>
      <c r="AA19" s="37"/>
      <c r="AB19" s="36">
        <f t="shared" si="15"/>
        <v>5.4940374787052881E-2</v>
      </c>
      <c r="AC19" s="36">
        <f t="shared" si="16"/>
        <v>0.78633217993079585</v>
      </c>
      <c r="AD19" s="36">
        <f t="shared" si="4"/>
        <v>4.3201384672518224E-2</v>
      </c>
      <c r="AE19" s="37"/>
      <c r="AF19" s="5">
        <f t="shared" si="5"/>
        <v>248832</v>
      </c>
      <c r="AG19" s="5">
        <f>D19*SUM(E20:$E$28)</f>
        <v>2560512</v>
      </c>
      <c r="AH19" s="36">
        <f t="shared" si="20"/>
        <v>0.50633839204848941</v>
      </c>
      <c r="AI19" s="3">
        <f t="shared" si="17"/>
        <v>5.4940374787052812E-2</v>
      </c>
    </row>
    <row r="20" spans="1:35" x14ac:dyDescent="0.2">
      <c r="A20" s="31">
        <v>12</v>
      </c>
      <c r="B20" s="32">
        <f t="shared" si="18"/>
        <v>752</v>
      </c>
      <c r="C20" s="35">
        <f t="shared" si="19"/>
        <v>0.41489361702127658</v>
      </c>
      <c r="D20" s="51">
        <v>312</v>
      </c>
      <c r="E20" s="51">
        <v>440</v>
      </c>
      <c r="F20" s="34">
        <f>SUM(E9:E20)/E29</f>
        <v>0.34689597315436244</v>
      </c>
      <c r="G20" s="34">
        <f>SUM(D9:D20)/D30</f>
        <v>0.84083044982698962</v>
      </c>
      <c r="H20" s="35">
        <f t="shared" si="6"/>
        <v>0.6476510067114094</v>
      </c>
      <c r="I20" s="35">
        <f t="shared" si="7"/>
        <v>3.3737024221453304E-2</v>
      </c>
      <c r="J20" s="35">
        <f t="shared" si="8"/>
        <v>2.1849817700471435E-2</v>
      </c>
      <c r="K20" s="31">
        <v>12</v>
      </c>
      <c r="L20" s="20">
        <f t="shared" si="0"/>
        <v>0.84270779651034378</v>
      </c>
      <c r="M20" s="21">
        <f t="shared" si="9"/>
        <v>7776</v>
      </c>
      <c r="N20" s="20">
        <f t="shared" si="1"/>
        <v>1.4249512062026499</v>
      </c>
      <c r="O20" s="33">
        <f t="shared" si="10"/>
        <v>11084</v>
      </c>
      <c r="P20" s="35">
        <f t="shared" si="21"/>
        <v>0.59007666098807499</v>
      </c>
      <c r="Q20" s="33">
        <f t="shared" si="2"/>
        <v>8452</v>
      </c>
      <c r="R20" s="35">
        <f t="shared" si="22"/>
        <v>0.44995741056218058</v>
      </c>
      <c r="S20" s="35">
        <f>SUM(E20:$E$28)/$E$29</f>
        <v>0.69924496644295298</v>
      </c>
      <c r="T20" s="35">
        <f>SUM(D20:$D$28)/$D$29</f>
        <v>0.19290657439446368</v>
      </c>
      <c r="U20" s="36">
        <f t="shared" si="11"/>
        <v>0.19290657439446368</v>
      </c>
      <c r="V20" s="36">
        <f t="shared" si="12"/>
        <v>3.3737024221453304E-2</v>
      </c>
      <c r="W20" s="36">
        <f t="shared" si="13"/>
        <v>0.6761744966442953</v>
      </c>
      <c r="X20" s="36">
        <f t="shared" si="14"/>
        <v>2.2812115371217585E-2</v>
      </c>
      <c r="Y20" s="36">
        <f t="shared" si="3"/>
        <v>0.44995741056218058</v>
      </c>
      <c r="Z20" s="37"/>
      <c r="AA20" s="37"/>
      <c r="AB20" s="36">
        <f t="shared" si="15"/>
        <v>4.0034071550255512E-2</v>
      </c>
      <c r="AC20" s="36">
        <f t="shared" si="16"/>
        <v>0.82396193771626303</v>
      </c>
      <c r="AD20" s="36">
        <f t="shared" si="4"/>
        <v>3.2986551169220051E-2</v>
      </c>
      <c r="AE20" s="37"/>
      <c r="AF20" s="5">
        <f t="shared" si="5"/>
        <v>137280</v>
      </c>
      <c r="AG20" s="5">
        <f>D20*SUM(E21:$E$28)</f>
        <v>1943136</v>
      </c>
      <c r="AH20" s="36">
        <f t="shared" si="20"/>
        <v>0.49393447667262719</v>
      </c>
      <c r="AI20" s="3">
        <f t="shared" si="17"/>
        <v>4.003407155025554E-2</v>
      </c>
    </row>
    <row r="21" spans="1:35" x14ac:dyDescent="0.2">
      <c r="A21" s="31">
        <v>13</v>
      </c>
      <c r="B21" s="32">
        <f t="shared" si="18"/>
        <v>1044</v>
      </c>
      <c r="C21" s="35">
        <f t="shared" si="19"/>
        <v>0.32183908045977011</v>
      </c>
      <c r="D21" s="51">
        <v>336</v>
      </c>
      <c r="E21" s="51">
        <v>708</v>
      </c>
      <c r="F21" s="34">
        <f>SUM(E9:E21)/E29</f>
        <v>0.42114093959731541</v>
      </c>
      <c r="G21" s="34">
        <f>SUM(D9:D21)/D30</f>
        <v>0.87716262975778547</v>
      </c>
      <c r="H21" s="35">
        <f t="shared" si="6"/>
        <v>0.76803691275167785</v>
      </c>
      <c r="I21" s="35">
        <f t="shared" si="7"/>
        <v>3.6332179930795849E-2</v>
      </c>
      <c r="J21" s="35">
        <f t="shared" si="8"/>
        <v>2.7904455307586912E-2</v>
      </c>
      <c r="K21" s="31">
        <v>13</v>
      </c>
      <c r="L21" s="20">
        <f t="shared" si="0"/>
        <v>0.653700831245277</v>
      </c>
      <c r="M21" s="21">
        <f t="shared" si="9"/>
        <v>8112</v>
      </c>
      <c r="N21" s="20">
        <f t="shared" si="1"/>
        <v>1.3585605901525597</v>
      </c>
      <c r="O21" s="33">
        <f t="shared" si="10"/>
        <v>12128</v>
      </c>
      <c r="P21" s="35">
        <f t="shared" si="21"/>
        <v>0.64565587734241903</v>
      </c>
      <c r="Q21" s="33">
        <f t="shared" si="2"/>
        <v>7700</v>
      </c>
      <c r="R21" s="35">
        <f t="shared" si="22"/>
        <v>0.40992333901192507</v>
      </c>
      <c r="S21" s="35">
        <f>SUM(E21:$E$28)/$E$29</f>
        <v>0.65310402684563762</v>
      </c>
      <c r="T21" s="35">
        <f>SUM(D21:$D$28)/$D$29</f>
        <v>0.15916955017301038</v>
      </c>
      <c r="U21" s="36">
        <f t="shared" si="11"/>
        <v>0.15916955017301038</v>
      </c>
      <c r="V21" s="36">
        <f t="shared" si="12"/>
        <v>3.6332179930795849E-2</v>
      </c>
      <c r="W21" s="36">
        <f t="shared" si="13"/>
        <v>0.61598154362416113</v>
      </c>
      <c r="X21" s="36">
        <f t="shared" si="14"/>
        <v>2.2379952277002395E-2</v>
      </c>
      <c r="Y21" s="36">
        <f t="shared" si="3"/>
        <v>0.40992333901192507</v>
      </c>
      <c r="Z21" s="37"/>
      <c r="AA21" s="37"/>
      <c r="AB21" s="36">
        <f t="shared" si="15"/>
        <v>5.5579216354344041E-2</v>
      </c>
      <c r="AC21" s="36">
        <f t="shared" si="16"/>
        <v>0.85899653979238755</v>
      </c>
      <c r="AD21" s="36">
        <f t="shared" si="4"/>
        <v>4.7742354532754008E-2</v>
      </c>
      <c r="AE21" s="37"/>
      <c r="AF21" s="5">
        <f t="shared" si="5"/>
        <v>237888</v>
      </c>
      <c r="AG21" s="5">
        <f>D21*SUM(E22:$E$28)</f>
        <v>1854720</v>
      </c>
      <c r="AH21" s="36">
        <f t="shared" si="20"/>
        <v>0.45602169016047006</v>
      </c>
      <c r="AI21" s="3">
        <f t="shared" si="17"/>
        <v>5.5579216354344124E-2</v>
      </c>
    </row>
    <row r="22" spans="1:35" x14ac:dyDescent="0.2">
      <c r="A22" s="31">
        <v>14</v>
      </c>
      <c r="B22" s="32">
        <f t="shared" si="18"/>
        <v>836</v>
      </c>
      <c r="C22" s="35">
        <f t="shared" si="19"/>
        <v>0.35406698564593303</v>
      </c>
      <c r="D22" s="51">
        <v>296</v>
      </c>
      <c r="E22" s="51">
        <v>540</v>
      </c>
      <c r="F22" s="34">
        <f>SUM(E9:E22)/E29</f>
        <v>0.47776845637583892</v>
      </c>
      <c r="G22" s="34">
        <f>SUM(D9:D22)/D30</f>
        <v>0.90916955017301038</v>
      </c>
      <c r="H22" s="35">
        <f t="shared" si="6"/>
        <v>0.89890939597315433</v>
      </c>
      <c r="I22" s="35">
        <f t="shared" si="7"/>
        <v>3.2006920415224904E-2</v>
      </c>
      <c r="J22" s="35">
        <f t="shared" si="8"/>
        <v>2.8771321497410639E-2</v>
      </c>
      <c r="K22" s="31">
        <v>14</v>
      </c>
      <c r="L22" s="20">
        <f t="shared" si="0"/>
        <v>0.71916027880333111</v>
      </c>
      <c r="M22" s="21">
        <f t="shared" si="9"/>
        <v>8408</v>
      </c>
      <c r="N22" s="20">
        <f t="shared" si="1"/>
        <v>1.3173280492479038</v>
      </c>
      <c r="O22" s="33">
        <f t="shared" si="10"/>
        <v>12964</v>
      </c>
      <c r="P22" s="35">
        <f t="shared" si="21"/>
        <v>0.69016183986371382</v>
      </c>
      <c r="Q22" s="33">
        <f t="shared" si="2"/>
        <v>6656</v>
      </c>
      <c r="R22" s="35">
        <f t="shared" si="22"/>
        <v>0.35434412265758092</v>
      </c>
      <c r="S22" s="35">
        <f>SUM(E22:$E$28)/$E$29</f>
        <v>0.57885906040268453</v>
      </c>
      <c r="T22" s="35">
        <f>SUM(D22:$D$28)/$D$29</f>
        <v>0.12283737024221453</v>
      </c>
      <c r="U22" s="36">
        <f t="shared" si="11"/>
        <v>0.12283737024221453</v>
      </c>
      <c r="V22" s="36">
        <f t="shared" si="12"/>
        <v>3.2006920415224904E-2</v>
      </c>
      <c r="W22" s="36">
        <f t="shared" si="13"/>
        <v>0.55054530201342278</v>
      </c>
      <c r="X22" s="36">
        <f t="shared" si="14"/>
        <v>1.7621259666519583E-2</v>
      </c>
      <c r="Y22" s="36">
        <f t="shared" si="3"/>
        <v>0.35434412265758092</v>
      </c>
      <c r="Z22" s="37"/>
      <c r="AA22" s="37"/>
      <c r="AB22" s="36">
        <f t="shared" si="15"/>
        <v>4.4505962521294795E-2</v>
      </c>
      <c r="AC22" s="36">
        <f t="shared" si="16"/>
        <v>0.89316608996539792</v>
      </c>
      <c r="AD22" s="36">
        <f t="shared" si="4"/>
        <v>3.9751216525291413E-2</v>
      </c>
      <c r="AE22" s="37"/>
      <c r="AF22" s="5">
        <f t="shared" si="5"/>
        <v>159840</v>
      </c>
      <c r="AG22" s="5">
        <f>D22*SUM(E23:$E$28)</f>
        <v>1474080</v>
      </c>
      <c r="AH22" s="36">
        <f t="shared" si="20"/>
        <v>0.43140109379717145</v>
      </c>
      <c r="AI22" s="3">
        <f t="shared" si="17"/>
        <v>4.4505962521294719E-2</v>
      </c>
    </row>
    <row r="23" spans="1:35" x14ac:dyDescent="0.2">
      <c r="A23" s="31">
        <v>15</v>
      </c>
      <c r="B23" s="32">
        <f t="shared" si="18"/>
        <v>940</v>
      </c>
      <c r="C23" s="35">
        <f t="shared" si="19"/>
        <v>0.27659574468085107</v>
      </c>
      <c r="D23" s="51">
        <v>260</v>
      </c>
      <c r="E23" s="51">
        <v>680</v>
      </c>
      <c r="F23" s="34">
        <f>SUM(E9:E23)/E29</f>
        <v>0.54907718120805371</v>
      </c>
      <c r="G23" s="34">
        <f>SUM(D9:D23)/D30</f>
        <v>0.93728373702422141</v>
      </c>
      <c r="H23" s="35">
        <f t="shared" si="6"/>
        <v>1.0268456375838926</v>
      </c>
      <c r="I23" s="35">
        <f t="shared" si="7"/>
        <v>2.8114186851211032E-2</v>
      </c>
      <c r="J23" s="35">
        <f t="shared" si="8"/>
        <v>2.8868930122384482E-2</v>
      </c>
      <c r="K23" s="31">
        <v>15</v>
      </c>
      <c r="L23" s="20">
        <f t="shared" si="0"/>
        <v>0.56180519767356252</v>
      </c>
      <c r="M23" s="21">
        <f t="shared" si="9"/>
        <v>8668</v>
      </c>
      <c r="N23" s="20">
        <f t="shared" si="1"/>
        <v>1.2662498357496386</v>
      </c>
      <c r="O23" s="33">
        <f t="shared" si="10"/>
        <v>13904</v>
      </c>
      <c r="P23" s="35">
        <f t="shared" si="21"/>
        <v>0.74020442930153318</v>
      </c>
      <c r="Q23" s="33">
        <f t="shared" si="2"/>
        <v>5820</v>
      </c>
      <c r="R23" s="35">
        <f t="shared" si="22"/>
        <v>0.30983816013628618</v>
      </c>
      <c r="S23" s="35">
        <f>SUM(E23:$E$28)/$E$29</f>
        <v>0.52223154362416102</v>
      </c>
      <c r="T23" s="35">
        <f>SUM(D23:$D$28)/$D$29</f>
        <v>9.0830449826989623E-2</v>
      </c>
      <c r="U23" s="36">
        <f t="shared" si="11"/>
        <v>9.0830449826989623E-2</v>
      </c>
      <c r="V23" s="36">
        <f t="shared" si="12"/>
        <v>2.8114186851211073E-2</v>
      </c>
      <c r="W23" s="36">
        <f t="shared" si="13"/>
        <v>0.48657718120805366</v>
      </c>
      <c r="X23" s="36">
        <f t="shared" si="14"/>
        <v>1.367972179001881E-2</v>
      </c>
      <c r="Y23" s="36">
        <f t="shared" si="3"/>
        <v>0.30983816013628618</v>
      </c>
      <c r="Z23" s="37"/>
      <c r="AA23" s="37"/>
      <c r="AB23" s="36">
        <f t="shared" si="15"/>
        <v>5.0042589437819363E-2</v>
      </c>
      <c r="AC23" s="36">
        <f t="shared" si="16"/>
        <v>0.92322664359861584</v>
      </c>
      <c r="AD23" s="36">
        <f t="shared" si="4"/>
        <v>4.6200651883661514E-2</v>
      </c>
      <c r="AE23" s="37"/>
      <c r="AF23" s="5">
        <f t="shared" si="5"/>
        <v>176800</v>
      </c>
      <c r="AG23" s="5">
        <f>D23*SUM(E24:$E$28)</f>
        <v>1118000</v>
      </c>
      <c r="AH23" s="36">
        <f t="shared" si="20"/>
        <v>0.3882065558161677</v>
      </c>
      <c r="AI23" s="3">
        <f t="shared" si="17"/>
        <v>5.0042589437819418E-2</v>
      </c>
    </row>
    <row r="24" spans="1:35" x14ac:dyDescent="0.2">
      <c r="A24" s="31">
        <v>16</v>
      </c>
      <c r="B24" s="32">
        <f t="shared" si="18"/>
        <v>876</v>
      </c>
      <c r="C24" s="35">
        <f t="shared" si="19"/>
        <v>0.20547945205479451</v>
      </c>
      <c r="D24" s="51">
        <v>180</v>
      </c>
      <c r="E24" s="51">
        <v>696</v>
      </c>
      <c r="F24" s="34">
        <f>SUM(E9:E24)/E29</f>
        <v>0.62206375838926176</v>
      </c>
      <c r="G24" s="34">
        <f>SUM(D9:D24)/D30</f>
        <v>0.95674740484429066</v>
      </c>
      <c r="H24" s="35">
        <f t="shared" si="6"/>
        <v>1.1711409395973154</v>
      </c>
      <c r="I24" s="35">
        <f t="shared" si="7"/>
        <v>1.9463667820069253E-2</v>
      </c>
      <c r="J24" s="35">
        <f t="shared" si="8"/>
        <v>2.2794698218805934E-2</v>
      </c>
      <c r="K24" s="31">
        <v>16</v>
      </c>
      <c r="L24" s="20">
        <f t="shared" si="0"/>
        <v>0.41735791818742002</v>
      </c>
      <c r="M24" s="21">
        <f t="shared" si="9"/>
        <v>8848</v>
      </c>
      <c r="N24" s="20">
        <f t="shared" si="1"/>
        <v>1.2159366206086033</v>
      </c>
      <c r="O24" s="33">
        <f t="shared" si="10"/>
        <v>14780</v>
      </c>
      <c r="P24" s="35">
        <f t="shared" si="21"/>
        <v>0.78683986371379899</v>
      </c>
      <c r="Q24" s="33">
        <f t="shared" si="2"/>
        <v>4880</v>
      </c>
      <c r="R24" s="35">
        <f t="shared" si="22"/>
        <v>0.25979557069846676</v>
      </c>
      <c r="S24" s="35">
        <f>SUM(E24:$E$28)/$E$29</f>
        <v>0.45092281879194629</v>
      </c>
      <c r="T24" s="35">
        <f>SUM(D24:$D$28)/$D$29</f>
        <v>6.271626297577855E-2</v>
      </c>
      <c r="U24" s="36">
        <f t="shared" si="11"/>
        <v>6.271626297577855E-2</v>
      </c>
      <c r="V24" s="36">
        <f t="shared" si="12"/>
        <v>1.9463667820069211E-2</v>
      </c>
      <c r="W24" s="36">
        <f t="shared" si="13"/>
        <v>0.41442953020134227</v>
      </c>
      <c r="X24" s="36">
        <f t="shared" si="14"/>
        <v>8.0663187106662666E-3</v>
      </c>
      <c r="Y24" s="36">
        <f t="shared" si="3"/>
        <v>0.25979557069846676</v>
      </c>
      <c r="Z24" s="37"/>
      <c r="AA24" s="37"/>
      <c r="AB24" s="36">
        <f t="shared" si="15"/>
        <v>4.6635434412265808E-2</v>
      </c>
      <c r="AC24" s="36">
        <f t="shared" si="16"/>
        <v>0.94701557093425603</v>
      </c>
      <c r="AD24" s="36">
        <f t="shared" si="4"/>
        <v>4.4164482545698956E-2</v>
      </c>
      <c r="AE24" s="37"/>
      <c r="AF24" s="5">
        <f t="shared" si="5"/>
        <v>125280</v>
      </c>
      <c r="AG24" s="5">
        <f>D24*SUM(E25:$E$28)</f>
        <v>648720</v>
      </c>
      <c r="AH24" s="36">
        <f t="shared" si="20"/>
        <v>0.3346836464550289</v>
      </c>
      <c r="AI24" s="3">
        <f t="shared" si="17"/>
        <v>4.663543441226576E-2</v>
      </c>
    </row>
    <row r="25" spans="1:35" x14ac:dyDescent="0.2">
      <c r="A25" s="31">
        <v>17</v>
      </c>
      <c r="B25" s="32">
        <f t="shared" si="18"/>
        <v>1032</v>
      </c>
      <c r="C25" s="35">
        <f t="shared" si="19"/>
        <v>0.21705426356589147</v>
      </c>
      <c r="D25" s="51">
        <v>224</v>
      </c>
      <c r="E25" s="51">
        <v>808</v>
      </c>
      <c r="F25" s="34">
        <f>SUM(E9:E25)/E29</f>
        <v>0.70679530201342278</v>
      </c>
      <c r="G25" s="34">
        <f>SUM(D9:D25)/D30</f>
        <v>0.98096885813148793</v>
      </c>
      <c r="H25" s="35">
        <f t="shared" si="6"/>
        <v>1.3288590604026846</v>
      </c>
      <c r="I25" s="35">
        <f t="shared" si="7"/>
        <v>2.422145328719727E-2</v>
      </c>
      <c r="J25" s="35">
        <f t="shared" si="8"/>
        <v>3.2186897656812478E-2</v>
      </c>
      <c r="K25" s="31">
        <v>17</v>
      </c>
      <c r="L25" s="20">
        <f t="shared" si="0"/>
        <v>0.44086800246774499</v>
      </c>
      <c r="M25" s="21">
        <f t="shared" si="9"/>
        <v>9072</v>
      </c>
      <c r="N25" s="20">
        <f t="shared" si="1"/>
        <v>1.1653503055364198</v>
      </c>
      <c r="O25" s="33">
        <f t="shared" si="10"/>
        <v>15812</v>
      </c>
      <c r="P25" s="35">
        <f t="shared" si="21"/>
        <v>0.84178023850085182</v>
      </c>
      <c r="Q25" s="33">
        <f t="shared" si="2"/>
        <v>4004</v>
      </c>
      <c r="R25" s="35">
        <f t="shared" si="22"/>
        <v>0.21316013628620104</v>
      </c>
      <c r="S25" s="35">
        <f>SUM(E25:$E$28)/$E$29</f>
        <v>0.37793624161073824</v>
      </c>
      <c r="T25" s="35">
        <f>SUM(D25:$D$28)/$D$29</f>
        <v>4.3252595155709339E-2</v>
      </c>
      <c r="U25" s="36">
        <f t="shared" si="11"/>
        <v>4.3252595155709339E-2</v>
      </c>
      <c r="V25" s="36">
        <f t="shared" si="12"/>
        <v>2.4221453287197228E-2</v>
      </c>
      <c r="W25" s="36">
        <f t="shared" si="13"/>
        <v>0.33557046979865768</v>
      </c>
      <c r="X25" s="36">
        <f t="shared" si="14"/>
        <v>8.128004458791015E-3</v>
      </c>
      <c r="Y25" s="36">
        <f t="shared" si="3"/>
        <v>0.21316013628620104</v>
      </c>
      <c r="Z25" s="37"/>
      <c r="AA25" s="37"/>
      <c r="AB25" s="36">
        <f t="shared" si="15"/>
        <v>5.4940374787052826E-2</v>
      </c>
      <c r="AC25" s="36">
        <f t="shared" si="16"/>
        <v>0.96885813148788924</v>
      </c>
      <c r="AD25" s="36">
        <f t="shared" si="4"/>
        <v>5.3229428859428343E-2</v>
      </c>
      <c r="AE25" s="37"/>
      <c r="AF25" s="5">
        <f t="shared" si="5"/>
        <v>180992</v>
      </c>
      <c r="AG25" s="5">
        <f>D25*SUM(E26:$E$28)</f>
        <v>626304</v>
      </c>
      <c r="AH25" s="36">
        <f t="shared" si="20"/>
        <v>0.27417355611806515</v>
      </c>
      <c r="AI25" s="3">
        <f t="shared" si="17"/>
        <v>5.4940374787052812E-2</v>
      </c>
    </row>
    <row r="26" spans="1:35" x14ac:dyDescent="0.2">
      <c r="A26" s="31">
        <v>18</v>
      </c>
      <c r="B26" s="32">
        <f t="shared" si="18"/>
        <v>940</v>
      </c>
      <c r="C26" s="35">
        <f t="shared" si="19"/>
        <v>0.1148936170212766</v>
      </c>
      <c r="D26" s="51">
        <v>108</v>
      </c>
      <c r="E26" s="51">
        <v>832</v>
      </c>
      <c r="F26" s="34">
        <f>SUM(E9:E26)/E29</f>
        <v>0.79404362416107388</v>
      </c>
      <c r="G26" s="34">
        <f>SUM(D9:D26)/D30</f>
        <v>0.99264705882352944</v>
      </c>
      <c r="H26" s="35">
        <f>F25+F26</f>
        <v>1.5008389261744965</v>
      </c>
      <c r="I26" s="35">
        <f>G26-G25</f>
        <v>1.1678200692041507E-2</v>
      </c>
      <c r="J26" s="35">
        <f t="shared" si="8"/>
        <v>1.7527098186293839E-2</v>
      </c>
      <c r="K26" s="31">
        <v>18</v>
      </c>
      <c r="L26" s="20">
        <f t="shared" si="0"/>
        <v>0.2333652359567106</v>
      </c>
      <c r="M26" s="21">
        <f>M25+D26</f>
        <v>9180</v>
      </c>
      <c r="N26" s="20">
        <f t="shared" si="1"/>
        <v>1.1130541041631552</v>
      </c>
      <c r="O26" s="33">
        <f>O25+B26</f>
        <v>16752</v>
      </c>
      <c r="P26" s="35">
        <f>O26/$B$29</f>
        <v>0.89182282793867118</v>
      </c>
      <c r="Q26" s="33">
        <f t="shared" si="2"/>
        <v>2972</v>
      </c>
      <c r="R26" s="35">
        <f>Q26/$B$29</f>
        <v>0.15821976149914821</v>
      </c>
      <c r="S26" s="35">
        <f>SUM(E26:$E$28)/$E$29</f>
        <v>0.29320469798657717</v>
      </c>
      <c r="T26" s="35">
        <f>SUM(D26:$D$28)/$D$29</f>
        <v>1.9031141868512111E-2</v>
      </c>
      <c r="U26" s="36">
        <f t="shared" si="11"/>
        <v>1.9031141868512111E-2</v>
      </c>
      <c r="V26" s="36">
        <f t="shared" si="12"/>
        <v>1.1678200692041523E-2</v>
      </c>
      <c r="W26" s="36">
        <f t="shared" si="13"/>
        <v>0.24958053691275167</v>
      </c>
      <c r="X26" s="36">
        <f t="shared" si="14"/>
        <v>2.9146515988945913E-3</v>
      </c>
      <c r="Y26" s="36">
        <f t="shared" si="3"/>
        <v>0.15821976149914821</v>
      </c>
      <c r="Z26" s="37"/>
      <c r="AA26" s="37"/>
      <c r="AB26" s="36">
        <f>P26-P25</f>
        <v>5.0042589437819363E-2</v>
      </c>
      <c r="AC26" s="36">
        <f>(G26+G25)/2</f>
        <v>0.98680795847750868</v>
      </c>
      <c r="AD26" s="36">
        <f t="shared" si="4"/>
        <v>4.9382425520062667E-2</v>
      </c>
      <c r="AE26" s="37"/>
      <c r="AF26" s="5">
        <f t="shared" si="5"/>
        <v>89856</v>
      </c>
      <c r="AG26" s="5">
        <f>D26*SUM(E27:$E$28)</f>
        <v>212112</v>
      </c>
      <c r="AH26" s="36">
        <f t="shared" si="20"/>
        <v>0.19860343466245556</v>
      </c>
      <c r="AI26" s="3">
        <f t="shared" si="17"/>
        <v>5.0042589437819418E-2</v>
      </c>
    </row>
    <row r="27" spans="1:35" x14ac:dyDescent="0.2">
      <c r="A27" s="31">
        <v>19</v>
      </c>
      <c r="B27" s="32">
        <f t="shared" si="18"/>
        <v>976</v>
      </c>
      <c r="C27" s="35">
        <f t="shared" si="19"/>
        <v>4.5081967213114756E-2</v>
      </c>
      <c r="D27" s="51">
        <v>44</v>
      </c>
      <c r="E27" s="51">
        <v>932</v>
      </c>
      <c r="F27" s="34">
        <f>SUM(E9:E27)/E29</f>
        <v>0.89177852348993292</v>
      </c>
      <c r="G27" s="34">
        <f>SUM(D9:D27)/D30</f>
        <v>0.99740484429065746</v>
      </c>
      <c r="H27" s="35">
        <f t="shared" si="6"/>
        <v>1.6858221476510069</v>
      </c>
      <c r="I27" s="35">
        <f t="shared" si="7"/>
        <v>4.7577854671280173E-3</v>
      </c>
      <c r="J27" s="35">
        <f t="shared" si="8"/>
        <v>8.0207801142565035E-3</v>
      </c>
      <c r="K27" s="31">
        <v>19</v>
      </c>
      <c r="L27" s="20">
        <f t="shared" si="0"/>
        <v>9.1567871121447625E-2</v>
      </c>
      <c r="M27" s="21">
        <f t="shared" si="9"/>
        <v>9224</v>
      </c>
      <c r="N27" s="20">
        <f t="shared" si="1"/>
        <v>1.056817046206888</v>
      </c>
      <c r="O27" s="33">
        <f t="shared" si="10"/>
        <v>17728</v>
      </c>
      <c r="P27" s="35">
        <f>O27/$B$29</f>
        <v>0.94378194207836452</v>
      </c>
      <c r="Q27" s="33">
        <f t="shared" si="2"/>
        <v>2032</v>
      </c>
      <c r="R27" s="35">
        <f>Q27/$B$29</f>
        <v>0.10817717206132879</v>
      </c>
      <c r="S27" s="35">
        <f>SUM(E27:$E$28)/$E$29</f>
        <v>0.20595637583892618</v>
      </c>
      <c r="T27" s="35">
        <f>SUM(D27:$D$28)/$D$29</f>
        <v>7.3529411764705881E-3</v>
      </c>
      <c r="U27" s="36">
        <f t="shared" si="11"/>
        <v>7.3529411764705881E-3</v>
      </c>
      <c r="V27" s="36">
        <f t="shared" si="12"/>
        <v>4.7577854671280277E-3</v>
      </c>
      <c r="W27" s="36">
        <f t="shared" si="13"/>
        <v>0.15708892617449666</v>
      </c>
      <c r="X27" s="36">
        <f t="shared" si="14"/>
        <v>7.4739540999976784E-4</v>
      </c>
      <c r="Y27" s="36">
        <f t="shared" si="3"/>
        <v>0.10817717206132879</v>
      </c>
      <c r="Z27" s="37"/>
      <c r="AA27" s="37"/>
      <c r="AB27" s="36">
        <f t="shared" si="15"/>
        <v>5.1959114139693341E-2</v>
      </c>
      <c r="AC27" s="36">
        <f t="shared" si="16"/>
        <v>0.99502595155709339</v>
      </c>
      <c r="AD27" s="36">
        <f t="shared" si="4"/>
        <v>5.1700666988911993E-2</v>
      </c>
      <c r="AE27" s="37"/>
      <c r="AF27" s="5">
        <f t="shared" si="5"/>
        <v>41008</v>
      </c>
      <c r="AG27" s="5">
        <f>D27*SUM(E28:$E$28)</f>
        <v>45408</v>
      </c>
      <c r="AH27" s="36">
        <f t="shared" si="20"/>
        <v>0.10562632080072454</v>
      </c>
      <c r="AI27" s="3">
        <f t="shared" si="17"/>
        <v>5.1959114139693355E-2</v>
      </c>
    </row>
    <row r="28" spans="1:35" ht="13.5" thickBot="1" x14ac:dyDescent="0.25">
      <c r="A28" s="38">
        <v>20</v>
      </c>
      <c r="B28" s="39">
        <f>D28+E28</f>
        <v>1056</v>
      </c>
      <c r="C28" s="42">
        <f>D28/B28</f>
        <v>2.2727272727272728E-2</v>
      </c>
      <c r="D28" s="52">
        <v>24</v>
      </c>
      <c r="E28" s="52">
        <v>1032</v>
      </c>
      <c r="F28" s="41">
        <f>SUM(E9:E28)/E29</f>
        <v>1</v>
      </c>
      <c r="G28" s="41">
        <f>SUM(D9:D28)/D30</f>
        <v>1</v>
      </c>
      <c r="H28" s="42">
        <f t="shared" si="6"/>
        <v>1.8917785234899329</v>
      </c>
      <c r="I28" s="42">
        <f t="shared" si="7"/>
        <v>2.5951557093425448E-3</v>
      </c>
      <c r="J28" s="42">
        <f t="shared" si="8"/>
        <v>4.9094598360465086E-3</v>
      </c>
      <c r="K28" s="38">
        <v>20</v>
      </c>
      <c r="L28" s="43">
        <f t="shared" si="0"/>
        <v>4.6162315193457065E-2</v>
      </c>
      <c r="M28" s="44">
        <f t="shared" si="9"/>
        <v>9248</v>
      </c>
      <c r="N28" s="43">
        <f t="shared" si="1"/>
        <v>1</v>
      </c>
      <c r="O28" s="40">
        <f t="shared" si="10"/>
        <v>18784</v>
      </c>
      <c r="P28" s="42">
        <f>O28/$B$29</f>
        <v>1</v>
      </c>
      <c r="Q28" s="40">
        <f>B28</f>
        <v>1056</v>
      </c>
      <c r="R28" s="42">
        <f>Q28/$B$29</f>
        <v>5.6218057921635436E-2</v>
      </c>
      <c r="S28" s="42">
        <f>SUM(E28:$E$28)/$E$29</f>
        <v>0.10822147651006711</v>
      </c>
      <c r="T28" s="42">
        <f>SUM(D28:$D$28)/$D$29</f>
        <v>2.5951557093425604E-3</v>
      </c>
      <c r="U28" s="45">
        <f t="shared" si="11"/>
        <v>2.5951557093425604E-3</v>
      </c>
      <c r="V28" s="45">
        <f t="shared" si="12"/>
        <v>2.5951557093425604E-3</v>
      </c>
      <c r="W28" s="45">
        <f>(S28)/2</f>
        <v>5.4110738255033555E-2</v>
      </c>
      <c r="X28" s="45">
        <f t="shared" si="14"/>
        <v>1.4042579131929122E-4</v>
      </c>
      <c r="Y28" s="45">
        <f t="shared" si="3"/>
        <v>5.6218057921635436E-2</v>
      </c>
      <c r="Z28" s="46"/>
      <c r="AA28" s="46"/>
      <c r="AB28" s="45">
        <f>P28-P27</f>
        <v>5.6218057921635478E-2</v>
      </c>
      <c r="AC28" s="45">
        <f t="shared" si="16"/>
        <v>0.99870242214532867</v>
      </c>
      <c r="AD28" s="45">
        <f>AB28*AC28</f>
        <v>5.6145110614643737E-2</v>
      </c>
      <c r="AE28" s="46"/>
      <c r="AF28" s="40">
        <f t="shared" si="5"/>
        <v>24768</v>
      </c>
      <c r="AG28" s="40">
        <v>0</v>
      </c>
      <c r="AH28" s="45">
        <f>G28-F28</f>
        <v>0</v>
      </c>
      <c r="AI28" s="3">
        <f t="shared" si="17"/>
        <v>5.6218057921635436E-2</v>
      </c>
    </row>
    <row r="29" spans="1:35" ht="12.75" customHeight="1" thickBot="1" x14ac:dyDescent="0.25">
      <c r="B29" s="1">
        <f>SUM(B9:B28)</f>
        <v>18784</v>
      </c>
      <c r="C29" s="6">
        <f>D29/B29</f>
        <v>0.49233390119250425</v>
      </c>
      <c r="D29" s="7">
        <f>SUM(D9:D28)</f>
        <v>9248</v>
      </c>
      <c r="E29" s="7">
        <f>SUM(E9:E28)</f>
        <v>9536</v>
      </c>
      <c r="F29" s="47" t="s">
        <v>59</v>
      </c>
      <c r="G29" s="48">
        <f>MAX(AH8:AH28)</f>
        <v>0.54003477624764862</v>
      </c>
      <c r="H29" s="3"/>
      <c r="I29" s="10" t="s">
        <v>3</v>
      </c>
      <c r="J29" s="3">
        <f>SUM(J9:J28)</f>
        <v>0.30224746580432404</v>
      </c>
      <c r="K29" s="3"/>
      <c r="M29" s="12"/>
      <c r="N29" s="1" t="s">
        <v>1</v>
      </c>
      <c r="R29" s="6">
        <v>0</v>
      </c>
      <c r="S29" s="6">
        <v>0</v>
      </c>
      <c r="T29" s="6">
        <v>0</v>
      </c>
      <c r="W29" s="1" t="s">
        <v>35</v>
      </c>
      <c r="X29" s="6">
        <f>SUM(X9:X28)</f>
        <v>0.84887626709783814</v>
      </c>
      <c r="Y29" s="6">
        <v>0</v>
      </c>
      <c r="AC29" s="1" t="s">
        <v>44</v>
      </c>
      <c r="AD29" s="6">
        <f>SUM(AD9:AD28)-0.5</f>
        <v>0.17711265348408123</v>
      </c>
      <c r="AF29" s="5">
        <f>SUM(AF9:AF28)</f>
        <v>2724736</v>
      </c>
      <c r="AG29" s="5">
        <f>SUM(AG9:AG28)</f>
        <v>73499120</v>
      </c>
    </row>
    <row r="30" spans="1:35" ht="13.5" thickBot="1" x14ac:dyDescent="0.25">
      <c r="C30" s="3">
        <f>D29/B29</f>
        <v>0.49233390119250425</v>
      </c>
      <c r="D30" s="4">
        <f>SUM(D9:D28)</f>
        <v>9248</v>
      </c>
      <c r="E30" s="4"/>
      <c r="F30" s="4"/>
      <c r="G30" s="3"/>
      <c r="H30" s="3"/>
      <c r="I30" s="10" t="s">
        <v>4</v>
      </c>
      <c r="J30" s="11">
        <f>1-J29</f>
        <v>0.69775253419567596</v>
      </c>
      <c r="M30" s="12"/>
      <c r="W30" s="1" t="s">
        <v>8</v>
      </c>
      <c r="X30" s="6">
        <f>2*X29-1</f>
        <v>0.69775253419567629</v>
      </c>
      <c r="AC30" s="1" t="s">
        <v>45</v>
      </c>
      <c r="AD30" s="6">
        <f>Z10/2+(1-Z10)-0.5</f>
        <v>0.25383304940374785</v>
      </c>
    </row>
    <row r="31" spans="1:35" ht="25.5" x14ac:dyDescent="0.2">
      <c r="I31" s="1" t="s">
        <v>52</v>
      </c>
      <c r="J31" s="3">
        <f>2*J29/2-1</f>
        <v>-0.69775253419567596</v>
      </c>
      <c r="K31" s="3"/>
      <c r="AB31" s="1" t="s">
        <v>47</v>
      </c>
      <c r="AC31" s="1" t="s">
        <v>46</v>
      </c>
      <c r="AD31" s="6">
        <f>AD29/AD30</f>
        <v>0.69775253419567573</v>
      </c>
    </row>
    <row r="41" spans="27:29" ht="25.5" x14ac:dyDescent="0.2">
      <c r="AB41" s="1" t="s">
        <v>53</v>
      </c>
      <c r="AC41" s="1">
        <f>D29*E29</f>
        <v>88188928</v>
      </c>
    </row>
    <row r="42" spans="27:29" ht="25.5" x14ac:dyDescent="0.2">
      <c r="AB42" s="1" t="s">
        <v>54</v>
      </c>
      <c r="AC42" s="4">
        <f>AF29</f>
        <v>2724736</v>
      </c>
    </row>
    <row r="43" spans="27:29" ht="25.5" x14ac:dyDescent="0.2">
      <c r="AB43" s="1" t="s">
        <v>57</v>
      </c>
      <c r="AC43" s="4">
        <f>AG29</f>
        <v>73499120</v>
      </c>
    </row>
    <row r="44" spans="27:29" ht="25.5" x14ac:dyDescent="0.2">
      <c r="AB44" s="1" t="s">
        <v>58</v>
      </c>
      <c r="AC44" s="4">
        <f>AC41-AC42-AC43</f>
        <v>11965072</v>
      </c>
    </row>
    <row r="46" spans="27:29" x14ac:dyDescent="0.2">
      <c r="AA46" s="1" t="s">
        <v>8</v>
      </c>
      <c r="AB46" s="1" t="s">
        <v>60</v>
      </c>
      <c r="AC46" s="6">
        <f>(AC43-AC44)/AC41</f>
        <v>0.69775253419567596</v>
      </c>
    </row>
  </sheetData>
  <mergeCells count="2">
    <mergeCell ref="S3:T3"/>
    <mergeCell ref="Z6:AA6"/>
  </mergeCells>
  <pageMargins left="0" right="0" top="0" bottom="0" header="0" footer="0"/>
  <pageSetup paperSize="9" scale="133" orientation="landscape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Karol Przanowski</cp:lastModifiedBy>
  <cp:lastPrinted>2015-03-11T22:21:54Z</cp:lastPrinted>
  <dcterms:created xsi:type="dcterms:W3CDTF">2008-06-27T13:02:34Z</dcterms:created>
  <dcterms:modified xsi:type="dcterms:W3CDTF">2017-11-28T00:46:14Z</dcterms:modified>
</cp:coreProperties>
</file>