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s\ostim\satellite\"/>
    </mc:Choice>
  </mc:AlternateContent>
  <xr:revisionPtr revIDLastSave="0" documentId="13_ncr:1_{C5BBE664-9D49-483A-8AE5-69365E0D679D}" xr6:coauthVersionLast="47" xr6:coauthVersionMax="47" xr10:uidLastSave="{00000000-0000-0000-0000-000000000000}"/>
  <bookViews>
    <workbookView xWindow="-110" yWindow="-110" windowWidth="19420" windowHeight="10300" tabRatio="483" firstSheet="9" activeTab="10" xr2:uid="{00000000-000D-0000-FFFF-FFFF00000000}"/>
  </bookViews>
  <sheets>
    <sheet name="kepler" sheetId="22" r:id="rId1"/>
    <sheet name="antenna" sheetId="12" r:id="rId2"/>
    <sheet name="Solar" sheetId="17" r:id="rId3"/>
    <sheet name="battery" sheetId="19" r:id="rId4"/>
    <sheet name="GPS" sheetId="21" r:id="rId5"/>
    <sheet name="rocket" sheetId="20" r:id="rId6"/>
    <sheet name="CIM3" sheetId="15" r:id="rId7"/>
    <sheet name="azel" sheetId="14" r:id="rId8"/>
    <sheet name="tle" sheetId="16" r:id="rId9"/>
    <sheet name="orbit" sheetId="1" r:id="rId10"/>
    <sheet name="link budget" sheetId="13" r:id="rId11"/>
    <sheet name="propellant" sheetId="2" r:id="rId12"/>
    <sheet name="Downlink" sheetId="3" r:id="rId13"/>
    <sheet name="rain" sheetId="4" r:id="rId14"/>
    <sheet name="coding" sheetId="5" r:id="rId15"/>
    <sheet name="satellite" sheetId="6" r:id="rId16"/>
    <sheet name="grasp" sheetId="7" r:id="rId17"/>
    <sheet name="twta" sheetId="8" r:id="rId18"/>
    <sheet name="mt" sheetId="9" r:id="rId19"/>
    <sheet name="Shannon" sheetId="10" r:id="rId20"/>
    <sheet name="final" sheetId="11" r:id="rId21"/>
  </sheets>
  <definedNames>
    <definedName name="date">orbit!$E$14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5" l="1"/>
  <c r="B34" i="5"/>
  <c r="B4" i="10"/>
  <c r="B11" i="12"/>
  <c r="B6" i="17"/>
  <c r="B12" i="12"/>
  <c r="F3" i="16"/>
  <c r="F4" i="16"/>
  <c r="F5" i="16"/>
  <c r="F6" i="16"/>
  <c r="F7" i="16"/>
  <c r="F8" i="16"/>
  <c r="B4" i="22"/>
  <c r="B3" i="22"/>
  <c r="B10" i="22"/>
  <c r="B11" i="22"/>
  <c r="B12" i="22"/>
  <c r="B13" i="22"/>
  <c r="B18" i="21"/>
  <c r="B17" i="21"/>
  <c r="B16" i="21"/>
  <c r="B15" i="21"/>
  <c r="B14" i="21"/>
  <c r="B13" i="21"/>
  <c r="B12" i="21"/>
  <c r="B11" i="21"/>
  <c r="B10" i="21"/>
  <c r="B10" i="19"/>
  <c r="B11" i="19"/>
  <c r="B9" i="19"/>
  <c r="B9" i="20"/>
  <c r="B10" i="20"/>
  <c r="B8" i="19"/>
  <c r="B7" i="19"/>
  <c r="B7" i="13"/>
  <c r="I9" i="13"/>
  <c r="E4" i="13"/>
  <c r="E7" i="13" s="1"/>
  <c r="E10" i="13" s="1"/>
  <c r="L10" i="13" s="1"/>
  <c r="B7" i="15"/>
  <c r="B6" i="15"/>
  <c r="E2" i="14"/>
  <c r="E3" i="14" s="1"/>
  <c r="E3" i="16"/>
  <c r="E8" i="16"/>
  <c r="D3" i="16"/>
  <c r="D8" i="16"/>
  <c r="C3" i="16"/>
  <c r="C8" i="16"/>
  <c r="B3" i="16"/>
  <c r="B8" i="16"/>
  <c r="E6" i="16"/>
  <c r="E7" i="16"/>
  <c r="D6" i="16"/>
  <c r="D7" i="16"/>
  <c r="C6" i="16"/>
  <c r="C7" i="16"/>
  <c r="B6" i="16"/>
  <c r="B7" i="16"/>
  <c r="E4" i="16"/>
  <c r="E5" i="16"/>
  <c r="D4" i="16"/>
  <c r="D5" i="16"/>
  <c r="C4" i="16"/>
  <c r="C5" i="16"/>
  <c r="B4" i="16"/>
  <c r="B5" i="16"/>
  <c r="B4" i="15"/>
  <c r="B3" i="15"/>
  <c r="B6" i="12"/>
  <c r="E5" i="14"/>
  <c r="E4" i="14"/>
  <c r="C132" i="1"/>
  <c r="C133" i="1"/>
  <c r="C134" i="1"/>
  <c r="C135" i="1"/>
  <c r="C136" i="1"/>
  <c r="C137" i="1"/>
  <c r="B132" i="1"/>
  <c r="D132" i="1"/>
  <c r="B133" i="1"/>
  <c r="D133" i="1"/>
  <c r="E132" i="1"/>
  <c r="D134" i="1"/>
  <c r="E133" i="1"/>
  <c r="E134" i="1"/>
  <c r="B134" i="1"/>
  <c r="E135" i="1"/>
  <c r="E136" i="1"/>
  <c r="E137" i="1"/>
  <c r="D135" i="1"/>
  <c r="D136" i="1"/>
  <c r="D137" i="1"/>
  <c r="L2" i="13"/>
  <c r="L3" i="13"/>
  <c r="L4" i="13"/>
  <c r="L5" i="13"/>
  <c r="E8" i="13"/>
  <c r="L9" i="13"/>
  <c r="E3" i="13"/>
  <c r="E2" i="13"/>
  <c r="E9" i="13"/>
  <c r="E5" i="13"/>
  <c r="E6" i="13"/>
  <c r="L6" i="13"/>
  <c r="L7" i="13"/>
  <c r="E11" i="13"/>
  <c r="B7" i="12"/>
  <c r="B2" i="12"/>
  <c r="B4" i="11"/>
  <c r="B6" i="11"/>
  <c r="B8" i="11"/>
  <c r="C8" i="11"/>
  <c r="J34" i="3"/>
  <c r="B5" i="11"/>
  <c r="B9" i="11"/>
  <c r="B7" i="11"/>
  <c r="C33" i="3"/>
  <c r="C34" i="3"/>
  <c r="J31" i="3"/>
  <c r="J32" i="3"/>
  <c r="J30" i="3"/>
  <c r="G34" i="3"/>
  <c r="E4" i="2"/>
  <c r="F4" i="2"/>
  <c r="B5" i="2"/>
  <c r="E5" i="2"/>
  <c r="F5" i="2"/>
  <c r="B6" i="2"/>
  <c r="E6" i="2"/>
  <c r="F6" i="2"/>
  <c r="E7" i="2"/>
  <c r="F7" i="2"/>
  <c r="B8" i="2"/>
  <c r="E8" i="2"/>
  <c r="E9" i="2"/>
  <c r="E11" i="2"/>
  <c r="C35" i="2"/>
  <c r="B16" i="2"/>
  <c r="B19" i="2"/>
  <c r="B23" i="2"/>
  <c r="B30" i="2"/>
  <c r="B29" i="2"/>
  <c r="B28" i="2"/>
  <c r="E28" i="2"/>
  <c r="F28" i="2"/>
  <c r="E29" i="2"/>
  <c r="F29" i="2"/>
  <c r="E30" i="2"/>
  <c r="F30" i="2"/>
  <c r="E31" i="2"/>
  <c r="F31" i="2"/>
  <c r="E32" i="2"/>
  <c r="E33" i="2"/>
  <c r="E34" i="2"/>
  <c r="F32" i="2"/>
  <c r="E16" i="2"/>
  <c r="F16" i="2"/>
  <c r="E17" i="2"/>
  <c r="F17" i="2"/>
  <c r="E18" i="2"/>
  <c r="F18" i="2"/>
  <c r="E19" i="2"/>
  <c r="F19" i="2"/>
  <c r="E20" i="2"/>
  <c r="E21" i="2"/>
  <c r="F23" i="2"/>
  <c r="F8" i="2"/>
  <c r="B90" i="2"/>
  <c r="B77" i="2"/>
  <c r="B78" i="2"/>
  <c r="B83" i="2"/>
  <c r="B82" i="2"/>
  <c r="B85" i="2"/>
  <c r="B79" i="2"/>
  <c r="B84" i="2"/>
  <c r="B86" i="2"/>
  <c r="B80" i="2"/>
  <c r="B13" i="4"/>
  <c r="D31" i="4"/>
  <c r="D30" i="4"/>
  <c r="G23" i="3"/>
  <c r="G22" i="3"/>
  <c r="G25" i="3"/>
  <c r="G20" i="3"/>
  <c r="G28" i="3"/>
  <c r="K23" i="3"/>
  <c r="M8" i="3"/>
  <c r="B161" i="1"/>
  <c r="B159" i="1"/>
  <c r="C159" i="1"/>
  <c r="B160" i="1"/>
  <c r="B88" i="9"/>
  <c r="B94" i="9"/>
  <c r="B95" i="9"/>
  <c r="B96" i="9"/>
  <c r="B92" i="9"/>
  <c r="B91" i="9"/>
  <c r="B89" i="9"/>
  <c r="B40" i="9"/>
  <c r="B38" i="9"/>
  <c r="B39" i="9"/>
  <c r="B38" i="4"/>
  <c r="J16" i="3"/>
  <c r="J17" i="3"/>
  <c r="J18" i="3"/>
  <c r="J20" i="3"/>
  <c r="J22" i="3"/>
  <c r="F23" i="3"/>
  <c r="F22" i="3"/>
  <c r="F25" i="3"/>
  <c r="F20" i="3"/>
  <c r="F28" i="3"/>
  <c r="J23" i="3"/>
  <c r="J24" i="3"/>
  <c r="B27" i="4"/>
  <c r="B28" i="4"/>
  <c r="B29" i="4"/>
  <c r="D26" i="4"/>
  <c r="D25" i="4"/>
  <c r="B11" i="4"/>
  <c r="D17" i="4"/>
  <c r="B4" i="4"/>
  <c r="B5" i="4"/>
  <c r="B12" i="4"/>
  <c r="B14" i="4"/>
  <c r="B6" i="4"/>
  <c r="K32" i="3"/>
  <c r="B26" i="4"/>
  <c r="B30" i="4"/>
  <c r="C22" i="3"/>
  <c r="B22" i="3"/>
  <c r="B25" i="3"/>
  <c r="C25" i="3"/>
  <c r="K16" i="3"/>
  <c r="K17" i="3"/>
  <c r="K18" i="3"/>
  <c r="K20" i="3"/>
  <c r="K22" i="3"/>
  <c r="K24" i="3"/>
  <c r="G17" i="3"/>
  <c r="G19" i="3"/>
  <c r="K26" i="3"/>
  <c r="G18" i="3"/>
  <c r="G30" i="3"/>
  <c r="K27" i="3"/>
  <c r="K28" i="3"/>
  <c r="F18" i="3"/>
  <c r="F17" i="3"/>
  <c r="F30" i="3"/>
  <c r="C23" i="3"/>
  <c r="B23" i="3"/>
  <c r="B50" i="3"/>
  <c r="G24" i="3"/>
  <c r="F24" i="3"/>
  <c r="C24" i="3"/>
  <c r="B24" i="3"/>
  <c r="G27" i="3"/>
  <c r="F27" i="3"/>
  <c r="C27" i="3"/>
  <c r="B27" i="3"/>
  <c r="B27" i="5"/>
  <c r="D21" i="5"/>
  <c r="D22" i="5"/>
  <c r="B20" i="5"/>
  <c r="C21" i="5"/>
  <c r="C22" i="5"/>
  <c r="B21" i="5"/>
  <c r="B22" i="5"/>
  <c r="C26" i="9"/>
  <c r="C25" i="9"/>
  <c r="B82" i="9"/>
  <c r="B81" i="9"/>
  <c r="B83" i="9"/>
  <c r="B84" i="9"/>
  <c r="B42" i="9"/>
  <c r="B43" i="9"/>
  <c r="B72" i="9"/>
  <c r="B73" i="9"/>
  <c r="B75" i="9"/>
  <c r="B74" i="9"/>
  <c r="B61" i="9"/>
  <c r="B63" i="9"/>
  <c r="B62" i="9"/>
  <c r="B53" i="9"/>
  <c r="C53" i="9"/>
  <c r="C55" i="9"/>
  <c r="B54" i="9"/>
  <c r="C54" i="9"/>
  <c r="B56" i="9"/>
  <c r="B48" i="9"/>
  <c r="B49" i="9"/>
  <c r="B50" i="9"/>
  <c r="B28" i="9"/>
  <c r="B27" i="9"/>
  <c r="B24" i="9"/>
  <c r="B23" i="9"/>
  <c r="B20" i="9"/>
  <c r="C16" i="9"/>
  <c r="B13" i="9"/>
  <c r="B8" i="9"/>
  <c r="B3" i="9"/>
  <c r="B9" i="9"/>
  <c r="C10" i="9"/>
  <c r="C8" i="9"/>
  <c r="C7" i="9"/>
  <c r="B10" i="9"/>
  <c r="B7" i="9"/>
  <c r="C9" i="9"/>
  <c r="C6" i="9"/>
  <c r="B6" i="9"/>
  <c r="F20" i="2"/>
  <c r="E22" i="2"/>
  <c r="B150" i="1"/>
  <c r="B155" i="1"/>
  <c r="B151" i="1"/>
  <c r="B152" i="1"/>
  <c r="B153" i="1"/>
  <c r="B154" i="1"/>
  <c r="B144" i="1"/>
  <c r="B156" i="1"/>
  <c r="B148" i="1"/>
  <c r="B147" i="1"/>
  <c r="B141" i="1"/>
  <c r="B140" i="1"/>
  <c r="B142" i="1"/>
  <c r="B143" i="1"/>
  <c r="B146" i="1"/>
  <c r="B145" i="1"/>
  <c r="B137" i="1"/>
  <c r="B135" i="1"/>
  <c r="B136" i="1"/>
  <c r="E43" i="2"/>
  <c r="E44" i="2"/>
  <c r="B42" i="2"/>
  <c r="E47" i="2"/>
  <c r="F43" i="2"/>
  <c r="F44" i="2"/>
  <c r="F47" i="2"/>
  <c r="E42" i="2"/>
  <c r="F42" i="2"/>
  <c r="F41" i="2"/>
  <c r="E41" i="2"/>
  <c r="F45" i="2"/>
  <c r="B42" i="6"/>
  <c r="B45" i="6"/>
  <c r="B47" i="6"/>
  <c r="B46" i="6"/>
  <c r="B5" i="7"/>
  <c r="B47" i="8"/>
  <c r="B46" i="8"/>
  <c r="B42" i="8"/>
  <c r="B36" i="8"/>
  <c r="B37" i="8"/>
  <c r="B29" i="8"/>
  <c r="B28" i="8"/>
  <c r="A24" i="8"/>
  <c r="C118" i="1"/>
  <c r="B118" i="1"/>
  <c r="D118" i="1"/>
  <c r="D117" i="1"/>
  <c r="D122" i="1"/>
  <c r="D119" i="1"/>
  <c r="D120" i="1"/>
  <c r="D121" i="1"/>
  <c r="D124" i="1"/>
  <c r="D123" i="1"/>
  <c r="D126" i="1"/>
  <c r="D125" i="1"/>
  <c r="C119" i="1"/>
  <c r="C120" i="1"/>
  <c r="C121" i="1"/>
  <c r="C127" i="1"/>
  <c r="C126" i="1"/>
  <c r="B119" i="1"/>
  <c r="B120" i="1"/>
  <c r="B121" i="1"/>
  <c r="B127" i="1"/>
  <c r="B126" i="1"/>
  <c r="B104" i="1"/>
  <c r="B105" i="1"/>
  <c r="B106" i="1"/>
  <c r="B111" i="1"/>
  <c r="C104" i="1"/>
  <c r="C105" i="1"/>
  <c r="C106" i="1"/>
  <c r="C107" i="1"/>
  <c r="B107" i="1"/>
  <c r="C111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  <c r="K19" i="3"/>
  <c r="C18" i="3"/>
  <c r="B18" i="3"/>
  <c r="G29" i="3"/>
  <c r="G31" i="3"/>
  <c r="G32" i="3"/>
  <c r="F19" i="3"/>
  <c r="F29" i="3"/>
  <c r="F31" i="3"/>
  <c r="C20" i="3"/>
  <c r="C28" i="3"/>
  <c r="B20" i="3"/>
  <c r="B28" i="3"/>
  <c r="G26" i="3"/>
  <c r="F26" i="3"/>
  <c r="C26" i="3"/>
  <c r="B26" i="3"/>
  <c r="G21" i="3"/>
  <c r="C19" i="3"/>
  <c r="C21" i="3"/>
  <c r="C29" i="3"/>
  <c r="C30" i="3"/>
  <c r="B69" i="2"/>
  <c r="B68" i="2"/>
  <c r="B70" i="2"/>
  <c r="B55" i="6"/>
  <c r="B53" i="6"/>
  <c r="B54" i="6"/>
  <c r="B2" i="6"/>
  <c r="B8" i="6"/>
  <c r="B10" i="6"/>
  <c r="B44" i="6"/>
  <c r="B39" i="6"/>
  <c r="B40" i="6"/>
  <c r="B41" i="6"/>
  <c r="D19" i="6"/>
  <c r="B32" i="6"/>
  <c r="C32" i="6"/>
  <c r="D28" i="6"/>
  <c r="B29" i="6"/>
  <c r="B27" i="6"/>
  <c r="B28" i="6"/>
  <c r="B23" i="6"/>
  <c r="B13" i="6"/>
  <c r="B20" i="6"/>
  <c r="B18" i="6"/>
  <c r="C92" i="1"/>
  <c r="C93" i="1"/>
  <c r="C94" i="1"/>
  <c r="C95" i="1"/>
  <c r="C96" i="1"/>
  <c r="C97" i="1"/>
  <c r="C91" i="1"/>
  <c r="C80" i="1"/>
  <c r="C81" i="1"/>
  <c r="C82" i="1"/>
  <c r="C83" i="1"/>
  <c r="C84" i="1"/>
  <c r="C85" i="1"/>
  <c r="C86" i="1"/>
  <c r="C87" i="1"/>
  <c r="C88" i="1"/>
  <c r="C89" i="1"/>
  <c r="C90" i="1"/>
  <c r="C79" i="1"/>
  <c r="B74" i="1"/>
  <c r="C74" i="1"/>
  <c r="B75" i="1"/>
  <c r="C75" i="1"/>
  <c r="B76" i="1"/>
  <c r="C76" i="1"/>
  <c r="B77" i="1"/>
  <c r="C77" i="1"/>
  <c r="B78" i="1"/>
  <c r="C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73" i="1"/>
  <c r="B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73" i="1"/>
  <c r="E73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58" i="1"/>
  <c r="D58" i="1"/>
  <c r="E58" i="1"/>
  <c r="B59" i="1"/>
  <c r="B60" i="1"/>
  <c r="B61" i="1"/>
  <c r="B62" i="1"/>
  <c r="B63" i="1"/>
  <c r="B64" i="1"/>
  <c r="B65" i="1"/>
  <c r="B66" i="1"/>
  <c r="B67" i="1"/>
  <c r="B68" i="1"/>
  <c r="B58" i="1"/>
  <c r="A56" i="1"/>
  <c r="B41" i="1"/>
  <c r="B42" i="1"/>
  <c r="B43" i="1"/>
  <c r="B44" i="1"/>
  <c r="B45" i="1"/>
  <c r="B46" i="1"/>
  <c r="B47" i="1"/>
  <c r="B48" i="1"/>
  <c r="B49" i="1"/>
  <c r="B50" i="1"/>
  <c r="B51" i="1"/>
  <c r="B52" i="1"/>
  <c r="B29" i="1"/>
  <c r="B30" i="1"/>
  <c r="B31" i="1"/>
  <c r="B32" i="1"/>
  <c r="B33" i="1"/>
  <c r="B34" i="1"/>
  <c r="B35" i="1"/>
  <c r="B36" i="1"/>
  <c r="B37" i="1"/>
  <c r="B38" i="1"/>
  <c r="B39" i="1"/>
  <c r="B40" i="1"/>
  <c r="B28" i="1"/>
  <c r="J19" i="3"/>
  <c r="B19" i="3"/>
  <c r="F32" i="3"/>
  <c r="F21" i="3"/>
  <c r="B29" i="3"/>
  <c r="B21" i="3"/>
  <c r="B30" i="3"/>
  <c r="B59" i="2"/>
  <c r="B58" i="2"/>
  <c r="B60" i="2"/>
  <c r="B62" i="2"/>
  <c r="B48" i="2"/>
  <c r="B52" i="2"/>
  <c r="B51" i="2"/>
  <c r="E10" i="2"/>
  <c r="E45" i="2"/>
  <c r="B39" i="2"/>
  <c r="B38" i="2"/>
  <c r="B41" i="2"/>
  <c r="B43" i="2"/>
  <c r="B40" i="2"/>
  <c r="B20" i="1"/>
  <c r="B23" i="1"/>
  <c r="B22" i="1"/>
  <c r="B21" i="1"/>
  <c r="B9" i="1"/>
  <c r="B10" i="1"/>
  <c r="B3" i="1"/>
  <c r="B4" i="1"/>
  <c r="B6" i="1"/>
  <c r="B5" i="1"/>
  <c r="E12" i="13" l="1"/>
  <c r="E13" i="13" s="1"/>
  <c r="E14" i="13" s="1"/>
  <c r="L11" i="13"/>
  <c r="F31" i="1"/>
  <c r="C31" i="1"/>
  <c r="D31" i="1"/>
  <c r="E31" i="1"/>
  <c r="G31" i="1"/>
  <c r="F28" i="1"/>
  <c r="C28" i="1"/>
  <c r="D28" i="1"/>
  <c r="E28" i="1"/>
  <c r="G28" i="1"/>
  <c r="G35" i="1"/>
  <c r="C35" i="1"/>
  <c r="D35" i="1"/>
  <c r="E35" i="1"/>
  <c r="F35" i="1"/>
  <c r="G40" i="1"/>
  <c r="C40" i="1"/>
  <c r="D40" i="1"/>
  <c r="E40" i="1"/>
  <c r="F40" i="1"/>
  <c r="G52" i="1"/>
  <c r="C52" i="1"/>
  <c r="D52" i="1"/>
  <c r="E52" i="1"/>
  <c r="F52" i="1"/>
  <c r="G51" i="1"/>
  <c r="C51" i="1"/>
  <c r="D51" i="1"/>
  <c r="E51" i="1"/>
  <c r="F51" i="1"/>
  <c r="F47" i="1"/>
  <c r="C47" i="1"/>
  <c r="D47" i="1"/>
  <c r="E47" i="1"/>
  <c r="G47" i="1"/>
  <c r="F42" i="1"/>
  <c r="C42" i="1"/>
  <c r="D42" i="1"/>
  <c r="E42" i="1"/>
  <c r="G42" i="1"/>
  <c r="G43" i="1"/>
  <c r="C43" i="1"/>
  <c r="D43" i="1"/>
  <c r="E43" i="1"/>
  <c r="F43" i="1"/>
  <c r="G32" i="1"/>
  <c r="C32" i="1"/>
  <c r="D32" i="1"/>
  <c r="E32" i="1"/>
  <c r="F32" i="1"/>
  <c r="F41" i="1"/>
  <c r="C41" i="1"/>
  <c r="D41" i="1"/>
  <c r="E41" i="1"/>
  <c r="G41" i="1"/>
  <c r="F36" i="1"/>
  <c r="C36" i="1"/>
  <c r="D36" i="1"/>
  <c r="E36" i="1"/>
  <c r="G36" i="1"/>
  <c r="F46" i="1"/>
  <c r="C46" i="1"/>
  <c r="D46" i="1"/>
  <c r="E46" i="1"/>
  <c r="G46" i="1"/>
  <c r="F44" i="1"/>
  <c r="C44" i="1"/>
  <c r="D44" i="1"/>
  <c r="E44" i="1"/>
  <c r="G44" i="1"/>
  <c r="G38" i="1"/>
  <c r="C38" i="1"/>
  <c r="D38" i="1"/>
  <c r="E38" i="1"/>
  <c r="F38" i="1"/>
  <c r="F49" i="1"/>
  <c r="C49" i="1"/>
  <c r="D49" i="1"/>
  <c r="E49" i="1"/>
  <c r="G49" i="1"/>
  <c r="F48" i="1"/>
  <c r="C48" i="1"/>
  <c r="D48" i="1"/>
  <c r="E48" i="1"/>
  <c r="G48" i="1"/>
  <c r="F33" i="1"/>
  <c r="C33" i="1"/>
  <c r="D33" i="1"/>
  <c r="E33" i="1"/>
  <c r="G33" i="1"/>
  <c r="F39" i="1"/>
  <c r="C39" i="1"/>
  <c r="D39" i="1"/>
  <c r="E39" i="1"/>
  <c r="G39" i="1"/>
  <c r="C14" i="1"/>
  <c r="C15" i="1"/>
  <c r="G50" i="1"/>
  <c r="C50" i="1"/>
  <c r="D50" i="1"/>
  <c r="E50" i="1"/>
  <c r="F50" i="1"/>
  <c r="F34" i="1"/>
  <c r="C34" i="1"/>
  <c r="D34" i="1"/>
  <c r="E34" i="1"/>
  <c r="G34" i="1"/>
  <c r="G30" i="1"/>
  <c r="C30" i="1"/>
  <c r="D30" i="1"/>
  <c r="E30" i="1"/>
  <c r="F30" i="1"/>
  <c r="G29" i="1"/>
  <c r="C29" i="1"/>
  <c r="D29" i="1"/>
  <c r="E29" i="1"/>
  <c r="F29" i="1"/>
  <c r="G37" i="1"/>
  <c r="C37" i="1"/>
  <c r="D37" i="1"/>
  <c r="E37" i="1"/>
  <c r="F37" i="1"/>
  <c r="G45" i="1"/>
  <c r="C45" i="1"/>
  <c r="D45" i="1"/>
  <c r="E45" i="1"/>
  <c r="F45" i="1"/>
  <c r="B14" i="1"/>
  <c r="B15" i="1"/>
</calcChain>
</file>

<file path=xl/sharedStrings.xml><?xml version="1.0" encoding="utf-8"?>
<sst xmlns="http://schemas.openxmlformats.org/spreadsheetml/2006/main" count="830" uniqueCount="357">
  <si>
    <t>a</t>
  </si>
  <si>
    <t>km</t>
  </si>
  <si>
    <t>T</t>
  </si>
  <si>
    <t>min</t>
  </si>
  <si>
    <t>sec</t>
  </si>
  <si>
    <t>Vs</t>
  </si>
  <si>
    <t>km/s</t>
  </si>
  <si>
    <t>Mean motion</t>
  </si>
  <si>
    <t>GM</t>
  </si>
  <si>
    <t>Mean anomaly</t>
  </si>
  <si>
    <t>E</t>
  </si>
  <si>
    <t>e</t>
  </si>
  <si>
    <t>v</t>
  </si>
  <si>
    <t>satellite</t>
  </si>
  <si>
    <t>Lat</t>
  </si>
  <si>
    <t>Long</t>
  </si>
  <si>
    <t>g</t>
  </si>
  <si>
    <t>A</t>
  </si>
  <si>
    <t>S</t>
  </si>
  <si>
    <t>Maneuver</t>
  </si>
  <si>
    <t>DeltaV (m/s)</t>
  </si>
  <si>
    <t>Isp (sec)</t>
  </si>
  <si>
    <t>Efficiency</t>
  </si>
  <si>
    <t>Delta M (kg)</t>
  </si>
  <si>
    <t>Mass (kg)</t>
  </si>
  <si>
    <t>AMF</t>
  </si>
  <si>
    <t>years</t>
  </si>
  <si>
    <t>Lifetime</t>
  </si>
  <si>
    <t>N/S</t>
  </si>
  <si>
    <t>E/W</t>
  </si>
  <si>
    <t>Dry Mass</t>
  </si>
  <si>
    <t>Propellant Mass</t>
  </si>
  <si>
    <t>R</t>
  </si>
  <si>
    <t>Vp</t>
  </si>
  <si>
    <t>Va</t>
  </si>
  <si>
    <t>m/s</t>
  </si>
  <si>
    <t>VGEO</t>
  </si>
  <si>
    <t>apogee</t>
  </si>
  <si>
    <t>perigee</t>
  </si>
  <si>
    <t>inclination</t>
  </si>
  <si>
    <t>VGTO</t>
  </si>
  <si>
    <t>DV</t>
  </si>
  <si>
    <t>Dvi</t>
  </si>
  <si>
    <t>Dva</t>
  </si>
  <si>
    <t>DVT</t>
  </si>
  <si>
    <t>f1</t>
  </si>
  <si>
    <t>f2</t>
  </si>
  <si>
    <t>2f1-f2</t>
  </si>
  <si>
    <t>2f2-f1</t>
  </si>
  <si>
    <t>f</t>
  </si>
  <si>
    <t>GHz</t>
  </si>
  <si>
    <t>D</t>
  </si>
  <si>
    <t>m</t>
  </si>
  <si>
    <t>G</t>
  </si>
  <si>
    <t>W</t>
  </si>
  <si>
    <t>EIRP</t>
  </si>
  <si>
    <t>3dB</t>
  </si>
  <si>
    <t>dB</t>
  </si>
  <si>
    <t>dBW</t>
  </si>
  <si>
    <t>Pr</t>
  </si>
  <si>
    <t>L</t>
  </si>
  <si>
    <t>K</t>
  </si>
  <si>
    <t>LNB NF</t>
  </si>
  <si>
    <t>Ta</t>
  </si>
  <si>
    <t>Ts</t>
  </si>
  <si>
    <t>C/N</t>
  </si>
  <si>
    <t>Bw</t>
  </si>
  <si>
    <t>MHz</t>
  </si>
  <si>
    <t>Rs</t>
  </si>
  <si>
    <t>rolloff</t>
  </si>
  <si>
    <t>Eb/No</t>
  </si>
  <si>
    <t>Ri</t>
  </si>
  <si>
    <t>FEC</t>
  </si>
  <si>
    <t>Mbps</t>
  </si>
  <si>
    <t>Eb/No Req</t>
  </si>
  <si>
    <t>Mbaud</t>
  </si>
  <si>
    <t>Es/No Req</t>
  </si>
  <si>
    <t>Es/No</t>
  </si>
  <si>
    <t>bps/Hz</t>
  </si>
  <si>
    <t>DVB-S</t>
  </si>
  <si>
    <t>Seff</t>
  </si>
  <si>
    <t>DVB-S2</t>
  </si>
  <si>
    <t>modindex</t>
  </si>
  <si>
    <t>Margin</t>
  </si>
  <si>
    <t>eff/Hz</t>
  </si>
  <si>
    <t>Uplink</t>
  </si>
  <si>
    <t>Pa</t>
  </si>
  <si>
    <t>IPFD</t>
  </si>
  <si>
    <t>G/T</t>
  </si>
  <si>
    <t>dB/K</t>
  </si>
  <si>
    <t>C/N up</t>
  </si>
  <si>
    <t>C/N down</t>
  </si>
  <si>
    <t>C/N tot</t>
  </si>
  <si>
    <t>hrain</t>
  </si>
  <si>
    <t>Drain</t>
  </si>
  <si>
    <t>FSL</t>
  </si>
  <si>
    <t>BER</t>
  </si>
  <si>
    <t>time</t>
  </si>
  <si>
    <t>M</t>
  </si>
  <si>
    <t>r</t>
  </si>
  <si>
    <t>x</t>
  </si>
  <si>
    <t>y</t>
  </si>
  <si>
    <t>t</t>
  </si>
  <si>
    <t>Slong</t>
  </si>
  <si>
    <t>Slat</t>
  </si>
  <si>
    <t>Elong</t>
  </si>
  <si>
    <t>W/m2</t>
  </si>
  <si>
    <t>flux SS</t>
  </si>
  <si>
    <t>eff</t>
  </si>
  <si>
    <t>m2</t>
  </si>
  <si>
    <t>P</t>
  </si>
  <si>
    <t>losses</t>
  </si>
  <si>
    <t>cell</t>
  </si>
  <si>
    <t>%</t>
  </si>
  <si>
    <t>power</t>
  </si>
  <si>
    <t>cell failure</t>
  </si>
  <si>
    <t>I</t>
  </si>
  <si>
    <t>diameter</t>
  </si>
  <si>
    <t>freq</t>
  </si>
  <si>
    <t>Gain</t>
  </si>
  <si>
    <t>n</t>
  </si>
  <si>
    <t>degree</t>
  </si>
  <si>
    <t>dBi</t>
  </si>
  <si>
    <t>Power</t>
  </si>
  <si>
    <t>margin</t>
  </si>
  <si>
    <t>degradation</t>
  </si>
  <si>
    <t>Inertia</t>
  </si>
  <si>
    <t>kgm2</t>
  </si>
  <si>
    <t>hx</t>
  </si>
  <si>
    <t>hy</t>
  </si>
  <si>
    <t>hz</t>
  </si>
  <si>
    <t>h</t>
  </si>
  <si>
    <t>nmsday</t>
  </si>
  <si>
    <t>Td/IW</t>
  </si>
  <si>
    <t>w/t</t>
  </si>
  <si>
    <t>DV Calculation</t>
  </si>
  <si>
    <t>Vi</t>
  </si>
  <si>
    <t>test</t>
  </si>
  <si>
    <t>example</t>
  </si>
  <si>
    <t>Diameter</t>
  </si>
  <si>
    <t>Frequency</t>
  </si>
  <si>
    <t>CALCULATIONS</t>
  </si>
  <si>
    <t>Interleaver</t>
  </si>
  <si>
    <t>De-interleaver</t>
  </si>
  <si>
    <t>Saleh Model</t>
  </si>
  <si>
    <t>alpha</t>
  </si>
  <si>
    <t>beta</t>
  </si>
  <si>
    <t>Vin</t>
  </si>
  <si>
    <t>Vout</t>
  </si>
  <si>
    <t>Date</t>
  </si>
  <si>
    <t>Jdo</t>
  </si>
  <si>
    <t>Gwo</t>
  </si>
  <si>
    <t>JD-JDo</t>
  </si>
  <si>
    <t>MeanAnomaly</t>
  </si>
  <si>
    <t>RA</t>
  </si>
  <si>
    <t>fractionofday</t>
  </si>
  <si>
    <t>Tcentury</t>
  </si>
  <si>
    <t>Gw</t>
  </si>
  <si>
    <t>ArgPerigee</t>
  </si>
  <si>
    <t>Year</t>
  </si>
  <si>
    <t>DayofYear</t>
  </si>
  <si>
    <t>FractionofDay</t>
  </si>
  <si>
    <t>derece</t>
  </si>
  <si>
    <t>celestrak</t>
  </si>
  <si>
    <t>Inclination</t>
  </si>
  <si>
    <t>Longi</t>
  </si>
  <si>
    <t>khz</t>
  </si>
  <si>
    <t>ksps</t>
  </si>
  <si>
    <t>kbps</t>
  </si>
  <si>
    <t>B</t>
  </si>
  <si>
    <t>krolloff</t>
  </si>
  <si>
    <t>BW</t>
  </si>
  <si>
    <t>Ru</t>
  </si>
  <si>
    <t xml:space="preserve">diameter </t>
  </si>
  <si>
    <t>focal</t>
  </si>
  <si>
    <t>clearence</t>
  </si>
  <si>
    <t>Spot Lat</t>
  </si>
  <si>
    <t>Spot Long</t>
  </si>
  <si>
    <t>dLo</t>
  </si>
  <si>
    <t>deg</t>
  </si>
  <si>
    <t>Ariane</t>
  </si>
  <si>
    <t>Spacex</t>
  </si>
  <si>
    <t>TLE Calculations</t>
  </si>
  <si>
    <t>rev/day</t>
  </si>
  <si>
    <t>Tsec</t>
  </si>
  <si>
    <t>Tmin</t>
  </si>
  <si>
    <t>longshift</t>
  </si>
  <si>
    <t>Ra</t>
  </si>
  <si>
    <t>Rp</t>
  </si>
  <si>
    <t>Vgeo</t>
  </si>
  <si>
    <t>i</t>
  </si>
  <si>
    <t>deorbit</t>
  </si>
  <si>
    <t>Vdeo</t>
  </si>
  <si>
    <t>Dvdeo</t>
  </si>
  <si>
    <t>Deorbit</t>
  </si>
  <si>
    <t>Others</t>
  </si>
  <si>
    <t>battery volt</t>
  </si>
  <si>
    <t>V</t>
  </si>
  <si>
    <t>BUS volt</t>
  </si>
  <si>
    <t>battery wh</t>
  </si>
  <si>
    <t>Energy</t>
  </si>
  <si>
    <t>Wh</t>
  </si>
  <si>
    <t>#of series</t>
  </si>
  <si>
    <t>#of parallel</t>
  </si>
  <si>
    <t>bus volt</t>
  </si>
  <si>
    <t>eclipse energy</t>
  </si>
  <si>
    <t>batt energy</t>
  </si>
  <si>
    <t>area</t>
  </si>
  <si>
    <t>m^2</t>
  </si>
  <si>
    <t>fc</t>
  </si>
  <si>
    <t>fs</t>
  </si>
  <si>
    <t>fe</t>
  </si>
  <si>
    <t>bw</t>
  </si>
  <si>
    <t>mhz</t>
  </si>
  <si>
    <t>delta-a</t>
  </si>
  <si>
    <t>long</t>
  </si>
  <si>
    <t>lat</t>
  </si>
  <si>
    <t>sat</t>
  </si>
  <si>
    <t>Az</t>
  </si>
  <si>
    <t>El</t>
  </si>
  <si>
    <t>cos(g)</t>
  </si>
  <si>
    <t>Dlong</t>
  </si>
  <si>
    <t>eirp</t>
  </si>
  <si>
    <t>DM</t>
  </si>
  <si>
    <t>isp</t>
  </si>
  <si>
    <t>kg</t>
  </si>
  <si>
    <t>RS</t>
  </si>
  <si>
    <t>Symbol</t>
  </si>
  <si>
    <t>Rmax</t>
  </si>
  <si>
    <t>LNB Gain</t>
  </si>
  <si>
    <t>TLNB</t>
  </si>
  <si>
    <t>Glnb</t>
  </si>
  <si>
    <t>loss</t>
  </si>
  <si>
    <t>NF</t>
  </si>
  <si>
    <t>Lcable</t>
  </si>
  <si>
    <t>Lfeed</t>
  </si>
  <si>
    <t>Train</t>
  </si>
  <si>
    <t>Delta dB</t>
  </si>
  <si>
    <t>Tlnb</t>
  </si>
  <si>
    <t>Tclear</t>
  </si>
  <si>
    <t>Lrain</t>
  </si>
  <si>
    <t>Satt</t>
  </si>
  <si>
    <t>saat</t>
  </si>
  <si>
    <t>Ta+r</t>
  </si>
  <si>
    <t>Ta+r+lnb</t>
  </si>
  <si>
    <t>C/I1</t>
  </si>
  <si>
    <t>C/I2</t>
  </si>
  <si>
    <t>C/I3</t>
  </si>
  <si>
    <t>C/(N+I)</t>
  </si>
  <si>
    <t>cos(Dlong)</t>
  </si>
  <si>
    <t>DR</t>
  </si>
  <si>
    <t>Deorbit DV</t>
  </si>
  <si>
    <t>ai</t>
  </si>
  <si>
    <t>af</t>
  </si>
  <si>
    <t>a1</t>
  </si>
  <si>
    <t>Da</t>
  </si>
  <si>
    <t>DV1</t>
  </si>
  <si>
    <t>DV2</t>
  </si>
  <si>
    <t>a2</t>
  </si>
  <si>
    <t>Dvtotal</t>
  </si>
  <si>
    <t>DH</t>
  </si>
  <si>
    <t>Lifetime T3A</t>
  </si>
  <si>
    <t>Lifetime T4B</t>
  </si>
  <si>
    <t>Dispersions</t>
  </si>
  <si>
    <t>revday</t>
  </si>
  <si>
    <t>minutes</t>
  </si>
  <si>
    <t>seconds</t>
  </si>
  <si>
    <t>H</t>
  </si>
  <si>
    <t>Tview</t>
  </si>
  <si>
    <t>alfa</t>
  </si>
  <si>
    <t>3db</t>
  </si>
  <si>
    <t>F</t>
  </si>
  <si>
    <t>Ghz</t>
  </si>
  <si>
    <t>longsat</t>
  </si>
  <si>
    <t>longrx</t>
  </si>
  <si>
    <t>latrx</t>
  </si>
  <si>
    <t>Downlink</t>
  </si>
  <si>
    <t>Calculations</t>
  </si>
  <si>
    <t>Rolloff</t>
  </si>
  <si>
    <t>Gr</t>
  </si>
  <si>
    <t>Msps</t>
  </si>
  <si>
    <t>longtx</t>
  </si>
  <si>
    <t>lattx</t>
  </si>
  <si>
    <t>HPA</t>
  </si>
  <si>
    <t>EIRPu</t>
  </si>
  <si>
    <t>Gtx</t>
  </si>
  <si>
    <t>SFD</t>
  </si>
  <si>
    <t>dBW/m2</t>
  </si>
  <si>
    <t>SFDreq</t>
  </si>
  <si>
    <t>SFD margin</t>
  </si>
  <si>
    <t>C/Nup</t>
  </si>
  <si>
    <t>G/Tsat</t>
  </si>
  <si>
    <t>C/Ndown</t>
  </si>
  <si>
    <t>C/Ntotal</t>
  </si>
  <si>
    <t>Mhz</t>
  </si>
  <si>
    <t>Azimuth</t>
  </si>
  <si>
    <t>Elevation</t>
  </si>
  <si>
    <t>a (km)</t>
  </si>
  <si>
    <t>turksat 4A</t>
  </si>
  <si>
    <t>IMECE</t>
  </si>
  <si>
    <t>Thours</t>
  </si>
  <si>
    <t>leo</t>
  </si>
  <si>
    <t>geo</t>
  </si>
  <si>
    <t>N</t>
  </si>
  <si>
    <t>f&gt;</t>
  </si>
  <si>
    <t>Tantenna</t>
  </si>
  <si>
    <t>Slant</t>
  </si>
  <si>
    <t>Psat</t>
  </si>
  <si>
    <t>Degradation</t>
  </si>
  <si>
    <t>Losses</t>
  </si>
  <si>
    <t>Area</t>
  </si>
  <si>
    <t>1 battery</t>
  </si>
  <si>
    <t>Sat Power</t>
  </si>
  <si>
    <t>Vbus</t>
  </si>
  <si>
    <t>eclipse</t>
  </si>
  <si>
    <t>Peclipse</t>
  </si>
  <si>
    <t>Dv</t>
  </si>
  <si>
    <t>go</t>
  </si>
  <si>
    <t>Isp</t>
  </si>
  <si>
    <t>Msat</t>
  </si>
  <si>
    <t>Mfuel</t>
  </si>
  <si>
    <t>%fuel</t>
  </si>
  <si>
    <t>1 cell</t>
  </si>
  <si>
    <t>nS1P</t>
  </si>
  <si>
    <t>nSerial</t>
  </si>
  <si>
    <t>nS3P</t>
  </si>
  <si>
    <t>nS2P</t>
  </si>
  <si>
    <t>PRN 02 XYZ</t>
  </si>
  <si>
    <t>ANK XYZ</t>
  </si>
  <si>
    <t>PRN 03 XYZ</t>
  </si>
  <si>
    <t>PRN 04 XYZ</t>
  </si>
  <si>
    <t>c</t>
  </si>
  <si>
    <t>PRN 05 XYZ</t>
  </si>
  <si>
    <t>t02</t>
  </si>
  <si>
    <t>t03</t>
  </si>
  <si>
    <t>t04</t>
  </si>
  <si>
    <t>t05</t>
  </si>
  <si>
    <t>t02-d</t>
  </si>
  <si>
    <t>d</t>
  </si>
  <si>
    <t>t03-d</t>
  </si>
  <si>
    <t>t04-d</t>
  </si>
  <si>
    <t>t05-d</t>
  </si>
  <si>
    <t>Period</t>
  </si>
  <si>
    <t>GÖKTÜRK-2</t>
  </si>
  <si>
    <t>hours</t>
  </si>
  <si>
    <t xml:space="preserve">semimajor </t>
  </si>
  <si>
    <t>altitude</t>
  </si>
  <si>
    <t>Türksat-3A</t>
  </si>
  <si>
    <t>semimajor</t>
  </si>
  <si>
    <t>GOKTURK-1A</t>
  </si>
  <si>
    <t>bps</t>
  </si>
  <si>
    <t>C</t>
  </si>
  <si>
    <t>S/N</t>
  </si>
  <si>
    <t>Shannon</t>
  </si>
  <si>
    <t>MPSK</t>
  </si>
  <si>
    <t>fec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</si>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</sst>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\ ???/???"/>
  </numFmts>
  <fonts count="10" x14ac:knownFonts="1">
    <font>
      <sz val="12"/>
      <color theme="1"/>
      <name val="Calibri"/>
      <family val="2"/>
      <scheme val="minor"/>
    </font>
    <font>
      <sz val="18"/>
      <color rgb="FF000000"/>
      <name val="Arial"/>
      <family val="2"/>
      <charset val="16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  <charset val="162"/>
    </font>
    <font>
      <sz val="12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2" fontId="0" fillId="0" borderId="1" xfId="0" applyNumberFormat="1" applyBorder="1" applyAlignment="1">
      <alignment wrapText="1"/>
    </xf>
    <xf numFmtId="164" fontId="0" fillId="0" borderId="1" xfId="0" applyNumberFormat="1" applyBorder="1"/>
    <xf numFmtId="165" fontId="0" fillId="0" borderId="0" xfId="0" applyNumberFormat="1"/>
    <xf numFmtId="0" fontId="0" fillId="2" borderId="1" xfId="0" applyFill="1" applyBorder="1"/>
    <xf numFmtId="1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1" xfId="0" applyNumberFormat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4" fillId="0" borderId="0" xfId="0" applyFont="1"/>
    <xf numFmtId="13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5" fillId="0" borderId="0" xfId="0" applyFont="1"/>
    <xf numFmtId="0" fontId="5" fillId="4" borderId="0" xfId="0" applyFont="1" applyFill="1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7" fillId="0" borderId="0" xfId="111" applyNumberFormat="1" applyFont="1" applyAlignment="1">
      <alignment horizontal="right"/>
    </xf>
    <xf numFmtId="0" fontId="7" fillId="0" borderId="0" xfId="111" applyFont="1" applyAlignment="1">
      <alignment horizontal="right"/>
    </xf>
    <xf numFmtId="164" fontId="7" fillId="0" borderId="0" xfId="111" applyNumberFormat="1" applyFont="1" applyAlignment="1">
      <alignment horizontal="right"/>
    </xf>
    <xf numFmtId="165" fontId="7" fillId="0" borderId="0" xfId="111" applyNumberFormat="1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0" fontId="0" fillId="5" borderId="0" xfId="0" applyFill="1"/>
    <xf numFmtId="12" fontId="0" fillId="5" borderId="0" xfId="0" applyNumberFormat="1" applyFill="1"/>
    <xf numFmtId="165" fontId="0" fillId="5" borderId="0" xfId="0" applyNumberFormat="1" applyFill="1"/>
    <xf numFmtId="2" fontId="0" fillId="5" borderId="0" xfId="0" applyNumberFormat="1" applyFill="1"/>
    <xf numFmtId="0" fontId="0" fillId="2" borderId="0" xfId="0" applyFill="1"/>
    <xf numFmtId="2" fontId="0" fillId="2" borderId="0" xfId="0" applyNumberFormat="1" applyFill="1"/>
    <xf numFmtId="16" fontId="0" fillId="0" borderId="0" xfId="0" applyNumberFormat="1"/>
    <xf numFmtId="164" fontId="0" fillId="2" borderId="0" xfId="0" applyNumberFormat="1" applyFill="1" applyAlignment="1">
      <alignment wrapText="1"/>
    </xf>
    <xf numFmtId="2" fontId="0" fillId="3" borderId="0" xfId="0" applyNumberFormat="1" applyFill="1" applyAlignment="1">
      <alignment wrapText="1"/>
    </xf>
    <xf numFmtId="0" fontId="8" fillId="0" borderId="0" xfId="0" applyFont="1"/>
    <xf numFmtId="9" fontId="0" fillId="0" borderId="0" xfId="0" applyNumberFormat="1"/>
    <xf numFmtId="10" fontId="0" fillId="0" borderId="0" xfId="0" applyNumberFormat="1"/>
    <xf numFmtId="0" fontId="9" fillId="0" borderId="0" xfId="0" applyFont="1"/>
    <xf numFmtId="1" fontId="8" fillId="0" borderId="0" xfId="0" applyNumberFormat="1" applyFont="1"/>
    <xf numFmtId="3" fontId="0" fillId="0" borderId="0" xfId="0" applyNumberFormat="1"/>
  </cellXfs>
  <cellStyles count="2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Normal" xfId="0" builtinId="0"/>
    <cellStyle name="Normal_Sa_north_t1c_PR_2005" xfId="111" xr:uid="{00000000-0005-0000-0000-0000E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orbit!$B$27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orbit!$A$28:$A$52</c:f>
              <c:numCache>
                <c:formatCode>General</c:formatCode>
                <c:ptCount val="25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</c:numCache>
            </c:numRef>
          </c:xVal>
          <c:yVal>
            <c:numRef>
              <c:f>orbit!$B$28:$B$52</c:f>
              <c:numCache>
                <c:formatCode>0.0</c:formatCode>
                <c:ptCount val="25"/>
                <c:pt idx="0">
                  <c:v>0</c:v>
                </c:pt>
                <c:pt idx="1">
                  <c:v>15.041084443619145</c:v>
                </c:pt>
                <c:pt idx="2">
                  <c:v>30.082168887238289</c:v>
                </c:pt>
                <c:pt idx="3">
                  <c:v>45.123253330857438</c:v>
                </c:pt>
                <c:pt idx="4">
                  <c:v>60.164337774476579</c:v>
                </c:pt>
                <c:pt idx="5">
                  <c:v>75.20542221809572</c:v>
                </c:pt>
                <c:pt idx="6">
                  <c:v>90.246506661714875</c:v>
                </c:pt>
                <c:pt idx="7">
                  <c:v>105.28759110533402</c:v>
                </c:pt>
                <c:pt idx="8">
                  <c:v>120.32867554895316</c:v>
                </c:pt>
                <c:pt idx="9">
                  <c:v>135.36975999257231</c:v>
                </c:pt>
                <c:pt idx="10">
                  <c:v>150.41084443619144</c:v>
                </c:pt>
                <c:pt idx="11">
                  <c:v>165.45192887981059</c:v>
                </c:pt>
                <c:pt idx="12">
                  <c:v>180.49301332342975</c:v>
                </c:pt>
                <c:pt idx="13">
                  <c:v>195.53409776704888</c:v>
                </c:pt>
                <c:pt idx="14">
                  <c:v>210.57518221066803</c:v>
                </c:pt>
                <c:pt idx="15">
                  <c:v>225.61626665428716</c:v>
                </c:pt>
                <c:pt idx="16">
                  <c:v>240.65735109790631</c:v>
                </c:pt>
                <c:pt idx="17">
                  <c:v>255.69843554152547</c:v>
                </c:pt>
                <c:pt idx="18">
                  <c:v>270.73951998514463</c:v>
                </c:pt>
                <c:pt idx="19">
                  <c:v>285.78060442876375</c:v>
                </c:pt>
                <c:pt idx="20">
                  <c:v>300.82168887238288</c:v>
                </c:pt>
                <c:pt idx="21">
                  <c:v>315.86277331600206</c:v>
                </c:pt>
                <c:pt idx="22">
                  <c:v>330.90385775962119</c:v>
                </c:pt>
                <c:pt idx="23">
                  <c:v>345.94494220324032</c:v>
                </c:pt>
                <c:pt idx="24">
                  <c:v>360.9860266468595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C-4857-A3C7-1EBE89441804}"/>
            </c:ext>
          </c:extLst>
        </c:ser>
        <c:ser>
          <c:idx val="1"/>
          <c:order val="1"/>
          <c:tx>
            <c:strRef>
              <c:f>orbit!$C$27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orbit!$A$28:$A$52</c:f>
              <c:numCache>
                <c:formatCode>General</c:formatCode>
                <c:ptCount val="25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</c:numCache>
            </c:numRef>
          </c:xVal>
          <c:yVal>
            <c:numRef>
              <c:f>orbit!$C$28:$C$52</c:f>
              <c:numCache>
                <c:formatCode>0.0</c:formatCode>
                <c:ptCount val="25"/>
                <c:pt idx="0">
                  <c:v>0</c:v>
                </c:pt>
                <c:pt idx="1">
                  <c:v>28.875285070726271</c:v>
                </c:pt>
                <c:pt idx="2">
                  <c:v>52.944757385086106</c:v>
                </c:pt>
                <c:pt idx="3">
                  <c:v>72.435519223049127</c:v>
                </c:pt>
                <c:pt idx="4">
                  <c:v>88.806007321883129</c:v>
                </c:pt>
                <c:pt idx="5">
                  <c:v>103.10698640759028</c:v>
                </c:pt>
                <c:pt idx="6">
                  <c:v>115.9959475812521</c:v>
                </c:pt>
                <c:pt idx="7">
                  <c:v>127.89478624805349</c:v>
                </c:pt>
                <c:pt idx="8">
                  <c:v>139.08956249889479</c:v>
                </c:pt>
                <c:pt idx="9">
                  <c:v>149.7861881619946</c:v>
                </c:pt>
                <c:pt idx="10">
                  <c:v>160.14217112332398</c:v>
                </c:pt>
                <c:pt idx="11">
                  <c:v>170.28579490702865</c:v>
                </c:pt>
                <c:pt idx="12">
                  <c:v>180.32867614983087</c:v>
                </c:pt>
                <c:pt idx="13">
                  <c:v>190.374933189388</c:v>
                </c:pt>
                <c:pt idx="14">
                  <c:v>200.52893141439816</c:v>
                </c:pt>
                <c:pt idx="15">
                  <c:v>210.90307445856854</c:v>
                </c:pt>
                <c:pt idx="16">
                  <c:v>221.6271259256477</c:v>
                </c:pt>
                <c:pt idx="17">
                  <c:v>232.86108213158232</c:v>
                </c:pt>
                <c:pt idx="18">
                  <c:v>244.81495207754978</c:v>
                </c:pt>
                <c:pt idx="19">
                  <c:v>257.78164275106172</c:v>
                </c:pt>
                <c:pt idx="20">
                  <c:v>272.19481561382878</c:v>
                </c:pt>
                <c:pt idx="21">
                  <c:v>288.73239520110434</c:v>
                </c:pt>
                <c:pt idx="22">
                  <c:v>308.47646066004813</c:v>
                </c:pt>
                <c:pt idx="23">
                  <c:v>332.89016408543745</c:v>
                </c:pt>
                <c:pt idx="24">
                  <c:v>361.97166417994003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CC-4857-A3C7-1EBE89441804}"/>
            </c:ext>
          </c:extLst>
        </c:ser>
        <c:ser>
          <c:idx val="2"/>
          <c:order val="2"/>
          <c:tx>
            <c:strRef>
              <c:f>orbit!$D$27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orbit!$A$28:$A$52</c:f>
              <c:numCache>
                <c:formatCode>General</c:formatCode>
                <c:ptCount val="25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</c:numCache>
            </c:numRef>
          </c:xVal>
          <c:yVal>
            <c:numRef>
              <c:f>orbit!$D$28:$D$52</c:f>
              <c:numCache>
                <c:formatCode>0.0</c:formatCode>
                <c:ptCount val="25"/>
                <c:pt idx="0">
                  <c:v>0</c:v>
                </c:pt>
                <c:pt idx="1">
                  <c:v>48.066881672763557</c:v>
                </c:pt>
                <c:pt idx="2">
                  <c:v>81.557272342405113</c:v>
                </c:pt>
                <c:pt idx="3">
                  <c:v>103.50001094926188</c:v>
                </c:pt>
                <c:pt idx="4">
                  <c:v>118.9605474376372</c:v>
                </c:pt>
                <c:pt idx="5">
                  <c:v>130.74980497626052</c:v>
                </c:pt>
                <c:pt idx="6">
                  <c:v>140.32142896086771</c:v>
                </c:pt>
                <c:pt idx="7">
                  <c:v>148.47666235286439</c:v>
                </c:pt>
                <c:pt idx="8">
                  <c:v>155.69409955620552</c:v>
                </c:pt>
                <c:pt idx="9">
                  <c:v>162.28278923240754</c:v>
                </c:pt>
                <c:pt idx="10">
                  <c:v>168.45810656053195</c:v>
                </c:pt>
                <c:pt idx="11">
                  <c:v>174.38253158801729</c:v>
                </c:pt>
                <c:pt idx="12">
                  <c:v>179.81023838949994</c:v>
                </c:pt>
                <c:pt idx="13">
                  <c:v>186.0008996980371</c:v>
                </c:pt>
                <c:pt idx="14">
                  <c:v>191.93746021818876</c:v>
                </c:pt>
                <c:pt idx="15">
                  <c:v>198.13447542301358</c:v>
                </c:pt>
                <c:pt idx="16">
                  <c:v>204.75703187427521</c:v>
                </c:pt>
                <c:pt idx="17">
                  <c:v>212.02514257026249</c:v>
                </c:pt>
                <c:pt idx="18">
                  <c:v>220.25610458133411</c:v>
                </c:pt>
                <c:pt idx="19">
                  <c:v>229.9437562121494</c:v>
                </c:pt>
                <c:pt idx="20">
                  <c:v>241.91920265362648</c:v>
                </c:pt>
                <c:pt idx="21">
                  <c:v>257.69802206709772</c:v>
                </c:pt>
                <c:pt idx="22">
                  <c:v>280.21679717365464</c:v>
                </c:pt>
                <c:pt idx="23">
                  <c:v>314.67064573324456</c:v>
                </c:pt>
                <c:pt idx="24">
                  <c:v>356.58565119040605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CC-4857-A3C7-1EBE8944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408392"/>
        <c:axId val="-2123483096"/>
      </c:scatterChart>
      <c:valAx>
        <c:axId val="-211540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483096"/>
        <c:crosses val="autoZero"/>
        <c:crossBetween val="midCat"/>
      </c:valAx>
      <c:valAx>
        <c:axId val="-2123483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540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orbit!$F$28:$F$52</c:f>
              <c:numCache>
                <c:formatCode>0.0</c:formatCode>
                <c:ptCount val="25"/>
                <c:pt idx="0">
                  <c:v>21082</c:v>
                </c:pt>
                <c:pt idx="1">
                  <c:v>15839.872692398014</c:v>
                </c:pt>
                <c:pt idx="2">
                  <c:v>4325.3838258916139</c:v>
                </c:pt>
                <c:pt idx="3">
                  <c:v>-8357.7934618048221</c:v>
                </c:pt>
                <c:pt idx="4">
                  <c:v>-20203.403635264061</c:v>
                </c:pt>
                <c:pt idx="5">
                  <c:v>-30643.533160023999</c:v>
                </c:pt>
                <c:pt idx="6">
                  <c:v>-39562.800623610106</c:v>
                </c:pt>
                <c:pt idx="7">
                  <c:v>-46979.693509304183</c:v>
                </c:pt>
                <c:pt idx="8">
                  <c:v>-52946.776104850658</c:v>
                </c:pt>
                <c:pt idx="9">
                  <c:v>-57518.16892553051</c:v>
                </c:pt>
                <c:pt idx="10">
                  <c:v>-60738.861103386655</c:v>
                </c:pt>
                <c:pt idx="11">
                  <c:v>-62641.43848342578</c:v>
                </c:pt>
                <c:pt idx="12">
                  <c:v>-63245.306252014401</c:v>
                </c:pt>
                <c:pt idx="13">
                  <c:v>-62556.633505563252</c:v>
                </c:pt>
                <c:pt idx="14">
                  <c:v>-60568.385011488266</c:v>
                </c:pt>
                <c:pt idx="15">
                  <c:v>-57260.28674782523</c:v>
                </c:pt>
                <c:pt idx="16">
                  <c:v>-52598.901869117624</c:v>
                </c:pt>
                <c:pt idx="17">
                  <c:v>-46538.498277789375</c:v>
                </c:pt>
                <c:pt idx="18">
                  <c:v>-39024.601406227244</c:v>
                </c:pt>
                <c:pt idx="19">
                  <c:v>-30005.502279977827</c:v>
                </c:pt>
                <c:pt idx="20">
                  <c:v>-19467.22880516632</c:v>
                </c:pt>
                <c:pt idx="21">
                  <c:v>-7541.0948665920696</c:v>
                </c:pt>
                <c:pt idx="22">
                  <c:v>5152.1481046137742</c:v>
                </c:pt>
                <c:pt idx="23">
                  <c:v>16449.634790044107</c:v>
                </c:pt>
                <c:pt idx="24">
                  <c:v>21057.037413685721</c:v>
                </c:pt>
              </c:numCache>
            </c:numRef>
          </c:xVal>
          <c:yVal>
            <c:numRef>
              <c:f>orbit!$G$28:$G$52</c:f>
              <c:numCache>
                <c:formatCode>0.0</c:formatCode>
                <c:ptCount val="25"/>
                <c:pt idx="0">
                  <c:v>0</c:v>
                </c:pt>
                <c:pt idx="1">
                  <c:v>17633.311080587366</c:v>
                </c:pt>
                <c:pt idx="2">
                  <c:v>29141.050210019297</c:v>
                </c:pt>
                <c:pt idx="3">
                  <c:v>34812.685877134114</c:v>
                </c:pt>
                <c:pt idx="4">
                  <c:v>36507.166739161024</c:v>
                </c:pt>
                <c:pt idx="5">
                  <c:v>35563.815665959133</c:v>
                </c:pt>
                <c:pt idx="6">
                  <c:v>32820.682171959481</c:v>
                </c:pt>
                <c:pt idx="7">
                  <c:v>28815.521428105509</c:v>
                </c:pt>
                <c:pt idx="8">
                  <c:v>23912.950567439479</c:v>
                </c:pt>
                <c:pt idx="9">
                  <c:v>18375.428362970299</c:v>
                </c:pt>
                <c:pt idx="10">
                  <c:v>12403.717086826142</c:v>
                </c:pt>
                <c:pt idx="11">
                  <c:v>6161.329134753425</c:v>
                </c:pt>
                <c:pt idx="12">
                  <c:v>209.46700010335559</c:v>
                </c:pt>
                <c:pt idx="13">
                  <c:v>-6575.9602861032272</c:v>
                </c:pt>
                <c:pt idx="14">
                  <c:v>-12805.124796087941</c:v>
                </c:pt>
                <c:pt idx="15">
                  <c:v>-18753.688916959778</c:v>
                </c:pt>
                <c:pt idx="16">
                  <c:v>-24256.253717944735</c:v>
                </c:pt>
                <c:pt idx="17">
                  <c:v>-29108.885131084633</c:v>
                </c:pt>
                <c:pt idx="18">
                  <c:v>-33043.9020559458</c:v>
                </c:pt>
                <c:pt idx="19">
                  <c:v>-35687.960186797216</c:v>
                </c:pt>
                <c:pt idx="20">
                  <c:v>-36488.307133810027</c:v>
                </c:pt>
                <c:pt idx="21">
                  <c:v>-34580.848574406547</c:v>
                </c:pt>
                <c:pt idx="22">
                  <c:v>-28586.347736618824</c:v>
                </c:pt>
                <c:pt idx="23">
                  <c:v>-16639.845687086858</c:v>
                </c:pt>
                <c:pt idx="24">
                  <c:v>-1256.3106248044116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A-4AF2-8106-1F46BBE9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76648"/>
        <c:axId val="-2102356248"/>
      </c:scatterChart>
      <c:valAx>
        <c:axId val="-21016766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02356248"/>
        <c:crosses val="autoZero"/>
        <c:crossBetween val="midCat"/>
      </c:valAx>
      <c:valAx>
        <c:axId val="-21023562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01676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orbit!$E$58:$E$68</c:f>
              <c:numCache>
                <c:formatCode>0.00</c:formatCode>
                <c:ptCount val="11"/>
                <c:pt idx="0">
                  <c:v>0</c:v>
                </c:pt>
                <c:pt idx="1">
                  <c:v>-0.76262091275447241</c:v>
                </c:pt>
                <c:pt idx="2">
                  <c:v>-1.5293966342617038</c:v>
                </c:pt>
                <c:pt idx="3">
                  <c:v>-2.304616571025754</c:v>
                </c:pt>
                <c:pt idx="4">
                  <c:v>-3.0928485919855451</c:v>
                </c:pt>
                <c:pt idx="5">
                  <c:v>-3.89910252477413</c:v>
                </c:pt>
                <c:pt idx="6">
                  <c:v>-4.7290260432129427</c:v>
                </c:pt>
                <c:pt idx="7">
                  <c:v>-5.5891498490009202</c:v>
                </c:pt>
                <c:pt idx="8">
                  <c:v>-6.4872057663216172</c:v>
                </c:pt>
                <c:pt idx="9">
                  <c:v>-7.4325520903385129</c:v>
                </c:pt>
                <c:pt idx="10">
                  <c:v>-8.4367577476196978</c:v>
                </c:pt>
              </c:numCache>
            </c:numRef>
          </c:xVal>
          <c:yVal>
            <c:numRef>
              <c:f>orbit!$B$58:$B$68</c:f>
              <c:numCache>
                <c:formatCode>0.0</c:formatCode>
                <c:ptCount val="11"/>
                <c:pt idx="0">
                  <c:v>0</c:v>
                </c:pt>
                <c:pt idx="1">
                  <c:v>3.635227733199895</c:v>
                </c:pt>
                <c:pt idx="2">
                  <c:v>7.2555175358901698</c:v>
                </c:pt>
                <c:pt idx="3">
                  <c:v>10.845992860721839</c:v>
                </c:pt>
                <c:pt idx="4">
                  <c:v>14.391899674430629</c:v>
                </c:pt>
                <c:pt idx="5">
                  <c:v>17.878667085324388</c:v>
                </c:pt>
                <c:pt idx="6">
                  <c:v>21.291967218202487</c:v>
                </c:pt>
                <c:pt idx="7">
                  <c:v>24.617774090668345</c:v>
                </c:pt>
                <c:pt idx="8">
                  <c:v>27.842421248899655</c:v>
                </c:pt>
                <c:pt idx="9">
                  <c:v>30.952657926038619</c:v>
                </c:pt>
                <c:pt idx="10">
                  <c:v>33.935703492435188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F-4843-BFB9-D21EF45C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23128"/>
        <c:axId val="-2122530984"/>
      </c:scatterChart>
      <c:valAx>
        <c:axId val="-2116023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2530984"/>
        <c:crosses val="autoZero"/>
        <c:crossBetween val="midCat"/>
      </c:valAx>
      <c:valAx>
        <c:axId val="-21225309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602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orbit!$E$73:$E$97</c:f>
              <c:numCache>
                <c:formatCode>0.000</c:formatCode>
                <c:ptCount val="25"/>
                <c:pt idx="0">
                  <c:v>0</c:v>
                </c:pt>
                <c:pt idx="1">
                  <c:v>-5.4656262320799343E-2</c:v>
                </c:pt>
                <c:pt idx="2">
                  <c:v>-9.4655140097060553E-2</c:v>
                </c:pt>
                <c:pt idx="3">
                  <c:v>-0.10922143291043795</c:v>
                </c:pt>
                <c:pt idx="4">
                  <c:v>-9.4364671283514667E-2</c:v>
                </c:pt>
                <c:pt idx="5">
                  <c:v>-5.402071795771235E-2</c:v>
                </c:pt>
                <c:pt idx="6">
                  <c:v>9.4160371479290461E-4</c:v>
                </c:pt>
                <c:pt idx="7">
                  <c:v>5.56489476458637E-2</c:v>
                </c:pt>
                <c:pt idx="8">
                  <c:v>9.5297991266875215E-2</c:v>
                </c:pt>
                <c:pt idx="9">
                  <c:v>0.10920976344979749</c:v>
                </c:pt>
                <c:pt idx="10">
                  <c:v>9.3704260049207733E-2</c:v>
                </c:pt>
                <c:pt idx="11">
                  <c:v>5.3023604245282741E-2</c:v>
                </c:pt>
                <c:pt idx="12">
                  <c:v>-1.8759724659389576E-3</c:v>
                </c:pt>
                <c:pt idx="13">
                  <c:v>-5.6272813499845142E-2</c:v>
                </c:pt>
                <c:pt idx="14">
                  <c:v>-9.5578067235180697E-2</c:v>
                </c:pt>
                <c:pt idx="15">
                  <c:v>-0.10920075524754225</c:v>
                </c:pt>
                <c:pt idx="16">
                  <c:v>-9.3403323963002549E-2</c:v>
                </c:pt>
                <c:pt idx="17">
                  <c:v>-5.2376409945139812E-2</c:v>
                </c:pt>
                <c:pt idx="18">
                  <c:v>2.8245306826875094E-3</c:v>
                </c:pt>
                <c:pt idx="19">
                  <c:v>5.7260615215170674E-2</c:v>
                </c:pt>
                <c:pt idx="20">
                  <c:v>9.620300912786206E-2</c:v>
                </c:pt>
                <c:pt idx="21">
                  <c:v>0.10916575350427138</c:v>
                </c:pt>
                <c:pt idx="22">
                  <c:v>9.2725710244565107E-2</c:v>
                </c:pt>
                <c:pt idx="23">
                  <c:v>5.1375321165210153E-2</c:v>
                </c:pt>
                <c:pt idx="24">
                  <c:v>-3.7513925167900197E-3</c:v>
                </c:pt>
              </c:numCache>
            </c:numRef>
          </c:xVal>
          <c:yVal>
            <c:numRef>
              <c:f>orbit!$B$73:$B$97</c:f>
              <c:numCache>
                <c:formatCode>0.000</c:formatCode>
                <c:ptCount val="25"/>
                <c:pt idx="0">
                  <c:v>0</c:v>
                </c:pt>
                <c:pt idx="1">
                  <c:v>1.2959117360669774</c:v>
                </c:pt>
                <c:pt idx="2">
                  <c:v>2.5030275727675937</c:v>
                </c:pt>
                <c:pt idx="3">
                  <c:v>3.5386359076245735</c:v>
                </c:pt>
                <c:pt idx="4">
                  <c:v>4.3317768357882125</c:v>
                </c:pt>
                <c:pt idx="5">
                  <c:v>4.8281043242066737</c:v>
                </c:pt>
                <c:pt idx="6">
                  <c:v>4.9936100029518311</c:v>
                </c:pt>
                <c:pt idx="7">
                  <c:v>4.8169534194408454</c:v>
                </c:pt>
                <c:pt idx="8">
                  <c:v>4.3102390864852511</c:v>
                </c:pt>
                <c:pt idx="9">
                  <c:v>3.5081870808189604</c:v>
                </c:pt>
                <c:pt idx="10">
                  <c:v>2.4657540227114025</c:v>
                </c:pt>
                <c:pt idx="11">
                  <c:v>1.2543674471927144</c:v>
                </c:pt>
                <c:pt idx="12">
                  <c:v>-4.2968412146343483E-2</c:v>
                </c:pt>
                <c:pt idx="13">
                  <c:v>-1.337360074982896</c:v>
                </c:pt>
                <c:pt idx="14">
                  <c:v>-2.5401157974002522</c:v>
                </c:pt>
                <c:pt idx="15">
                  <c:v>-3.5688227320433787</c:v>
                </c:pt>
                <c:pt idx="16">
                  <c:v>-4.3529938581501364</c:v>
                </c:pt>
                <c:pt idx="17">
                  <c:v>-4.8388977536939723</c:v>
                </c:pt>
                <c:pt idx="18">
                  <c:v>-4.9932402735493984</c:v>
                </c:pt>
                <c:pt idx="19">
                  <c:v>-4.8054458650150966</c:v>
                </c:pt>
                <c:pt idx="20">
                  <c:v>-4.2883822049070721</c:v>
                </c:pt>
                <c:pt idx="21">
                  <c:v>-3.4774785060730302</c:v>
                </c:pt>
                <c:pt idx="22">
                  <c:v>-2.4282979069841204</c:v>
                </c:pt>
                <c:pt idx="23">
                  <c:v>-1.212730284320197</c:v>
                </c:pt>
                <c:pt idx="24">
                  <c:v>8.5933642889786679E-2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B-489C-849D-AB7474D3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62696"/>
        <c:axId val="-2070812712"/>
      </c:scatterChart>
      <c:valAx>
        <c:axId val="-21021626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70812712"/>
        <c:crosses val="autoZero"/>
        <c:crossBetween val="midCat"/>
      </c:valAx>
      <c:valAx>
        <c:axId val="-2070812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02162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18635170603701"/>
          <c:y val="2.7777777777777801E-2"/>
          <c:w val="0.72302209098862602"/>
          <c:h val="0.810185185185185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coding!$B$1</c:f>
              <c:strCache>
                <c:ptCount val="1"/>
                <c:pt idx="0">
                  <c:v>BER</c:v>
                </c:pt>
              </c:strCache>
            </c:strRef>
          </c:tx>
          <c:xVal>
            <c:numRef>
              <c:f>coding!$A$2:$A$11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coding!$B$2:$B$11</c:f>
              <c:numCache>
                <c:formatCode>0.00E+00</c:formatCode>
                <c:ptCount val="10"/>
                <c:pt idx="0">
                  <c:v>5.6329999999999998E-2</c:v>
                </c:pt>
                <c:pt idx="1">
                  <c:v>3.5839999999999997E-2</c:v>
                </c:pt>
                <c:pt idx="2">
                  <c:v>2.2210000000000001E-2</c:v>
                </c:pt>
                <c:pt idx="3">
                  <c:v>1.18E-2</c:v>
                </c:pt>
                <c:pt idx="4">
                  <c:v>5.7270000000000003E-3</c:v>
                </c:pt>
                <c:pt idx="5">
                  <c:v>2.307E-3</c:v>
                </c:pt>
                <c:pt idx="6">
                  <c:v>7.9699999999999997E-4</c:v>
                </c:pt>
                <c:pt idx="7">
                  <c:v>2.0000000000000001E-4</c:v>
                </c:pt>
                <c:pt idx="8">
                  <c:v>3.3000000000000003E-5</c:v>
                </c:pt>
                <c:pt idx="9">
                  <c:v>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2-4F62-A35D-E78C9ADD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05096"/>
        <c:axId val="-2102052488"/>
      </c:scatterChart>
      <c:valAx>
        <c:axId val="-2122605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Eb/No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2052488"/>
        <c:crosses val="autoZero"/>
        <c:crossBetween val="midCat"/>
      </c:valAx>
      <c:valAx>
        <c:axId val="-21020524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-212260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twta!$B$4</c:f>
              <c:strCache>
                <c:ptCount val="1"/>
                <c:pt idx="0">
                  <c:v>Vout</c:v>
                </c:pt>
              </c:strCache>
            </c:strRef>
          </c:tx>
          <c:xVal>
            <c:numRef>
              <c:f>twta!$A$5:$A$20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twta!$B$5:$B$20</c:f>
              <c:numCache>
                <c:formatCode>General</c:formatCode>
                <c:ptCount val="16"/>
                <c:pt idx="0">
                  <c:v>0</c:v>
                </c:pt>
                <c:pt idx="1">
                  <c:v>0.21341213247033911</c:v>
                </c:pt>
                <c:pt idx="2">
                  <c:v>0.41272651491107654</c:v>
                </c:pt>
                <c:pt idx="3">
                  <c:v>0.58678769504545358</c:v>
                </c:pt>
                <c:pt idx="4">
                  <c:v>0.72912303930178202</c:v>
                </c:pt>
                <c:pt idx="5">
                  <c:v>0.83805345808179832</c:v>
                </c:pt>
                <c:pt idx="6">
                  <c:v>0.91560088561386443</c:v>
                </c:pt>
                <c:pt idx="7">
                  <c:v>0.96596440783388193</c:v>
                </c:pt>
                <c:pt idx="8">
                  <c:v>0.99416955272271756</c:v>
                </c:pt>
                <c:pt idx="9">
                  <c:v>1.0051493188650908</c:v>
                </c:pt>
                <c:pt idx="10">
                  <c:v>1.003253241622903</c:v>
                </c:pt>
                <c:pt idx="11">
                  <c:v>0.99206745442034594</c:v>
                </c:pt>
                <c:pt idx="12">
                  <c:v>0.97441815675913168</c:v>
                </c:pt>
                <c:pt idx="13">
                  <c:v>0.95246257008192781</c:v>
                </c:pt>
                <c:pt idx="14">
                  <c:v>0.92780840270503606</c:v>
                </c:pt>
                <c:pt idx="15">
                  <c:v>0.90163101362310583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D-47F9-9469-0AC49741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34504"/>
        <c:axId val="-2119473816"/>
      </c:scatterChart>
      <c:valAx>
        <c:axId val="-211933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473816"/>
        <c:crosses val="autoZero"/>
        <c:crossBetween val="midCat"/>
      </c:valAx>
      <c:valAx>
        <c:axId val="-21194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34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527050</xdr:colOff>
      <xdr:row>9</xdr:row>
      <xdr:rowOff>69850</xdr:rowOff>
    </xdr:from>
    <xdr:to>
      <xdr:col>9</xdr:col>
      <xdr:colOff>730528</xdr:colOff>
      <xdr:row>13</xdr:row>
      <xdr:rowOff>88941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53B9D7-4A4A-719A-EA4B-4CB6C0623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050" y="1841500"/>
          <a:ext cx="5410478" cy="806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782320</xdr:colOff>
      <xdr:row>26</xdr:row>
      <xdr:rowOff>20320</xdr:rowOff>
    </xdr:from>
    <xdr:to>
      <xdr:col>13</xdr:col>
      <xdr:colOff>416560</xdr:colOff>
      <xdr:row>40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132080</xdr:colOff>
      <xdr:row>41</xdr:row>
      <xdr:rowOff>111760</xdr:rowOff>
    </xdr:from>
    <xdr:to>
      <xdr:col>13</xdr:col>
      <xdr:colOff>589280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172720</xdr:colOff>
      <xdr:row>57</xdr:row>
      <xdr:rowOff>152400</xdr:rowOff>
    </xdr:from>
    <xdr:to>
      <xdr:col>14</xdr:col>
      <xdr:colOff>741679</xdr:colOff>
      <xdr:row>66</xdr:row>
      <xdr:rowOff>182245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61040" y="11226800"/>
          <a:ext cx="2214879" cy="1767205"/>
        </a:xfrm>
        <a:prstGeom prst="rect">
          <a:avLst/>
        </a:prstGeom>
      </xdr:spPr>
    </xdr:pic>
    <xdr:clientData/>
  </xdr:twoCellAnchor>
  <xdr:twoCellAnchor>
    <xdr:from>
      <xdr:col>6</xdr:col>
      <xdr:colOff>264160</xdr:colOff>
      <xdr:row>56</xdr:row>
      <xdr:rowOff>142240</xdr:rowOff>
    </xdr:from>
    <xdr:to>
      <xdr:col>11</xdr:col>
      <xdr:colOff>721360</xdr:colOff>
      <xdr:row>70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314960</xdr:colOff>
      <xdr:row>75</xdr:row>
      <xdr:rowOff>0</xdr:rowOff>
    </xdr:from>
    <xdr:to>
      <xdr:col>10</xdr:col>
      <xdr:colOff>731520</xdr:colOff>
      <xdr:row>95</xdr:row>
      <xdr:rowOff>162560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640080</xdr:colOff>
      <xdr:row>34</xdr:row>
      <xdr:rowOff>121920</xdr:rowOff>
    </xdr:from>
    <xdr:to>
      <xdr:col>12</xdr:col>
      <xdr:colOff>772811</xdr:colOff>
      <xdr:row>62</xdr:row>
      <xdr:rowOff>168649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6880" y="5527040"/>
          <a:ext cx="4968891" cy="545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162560</xdr:rowOff>
    </xdr:from>
    <xdr:to>
      <xdr:col>6</xdr:col>
      <xdr:colOff>14005</xdr:colOff>
      <xdr:row>42</xdr:row>
      <xdr:rowOff>20320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67680"/>
          <a:ext cx="4890805" cy="12090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375920</xdr:colOff>
      <xdr:row>1</xdr:row>
      <xdr:rowOff>10160</xdr:rowOff>
    </xdr:from>
    <xdr:to>
      <xdr:col>9</xdr:col>
      <xdr:colOff>10160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647700</xdr:colOff>
      <xdr:row>24</xdr:row>
      <xdr:rowOff>0</xdr:rowOff>
    </xdr:from>
    <xdr:to>
      <xdr:col>6</xdr:col>
      <xdr:colOff>57245</xdr:colOff>
      <xdr:row>29</xdr:row>
      <xdr:rowOff>146108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3E167-99FD-5A15-8BD2-74CA9B5C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4724400"/>
          <a:ext cx="1847945" cy="11303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4</xdr:row>
      <xdr:rowOff>20320</xdr:rowOff>
    </xdr:from>
    <xdr:to>
      <xdr:col>8</xdr:col>
      <xdr:colOff>487680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162560</xdr:colOff>
      <xdr:row>19</xdr:row>
      <xdr:rowOff>142240</xdr:rowOff>
    </xdr:from>
    <xdr:to>
      <xdr:col>6</xdr:col>
      <xdr:colOff>408145</xdr:colOff>
      <xdr:row>39</xdr:row>
      <xdr:rowOff>51133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1440" y="3810000"/>
          <a:ext cx="2714465" cy="3769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3772-6CFE-4B1A-9481-E88C227ECE0E}">
  <dimension ref="A1:C13"/>
  <sheetViews>
    <sheetView workbookViewId="0">
      <selection activeCell="A6" sqref="A6:XFD9"/>
    </sheetView>
  </sheetViews>
  <sheetFormatPr defaultRowHeight="15.5" x14ac:dyDescent="0.35"/>
  <cols>
    <col min="1" max="1" width="9.33203125" bestFit="1" customWidth="1"/>
    <col min="2" max="2" width="11.75" bestFit="1" customWidth="1"/>
  </cols>
  <sheetData>
    <row r="1" spans="1:3" x14ac:dyDescent="0.35">
      <c r="A1" t="s">
        <v>343</v>
      </c>
    </row>
    <row r="2" spans="1:3" x14ac:dyDescent="0.35">
      <c r="A2" t="s">
        <v>348</v>
      </c>
      <c r="B2">
        <v>7025</v>
      </c>
      <c r="C2" t="s">
        <v>1</v>
      </c>
    </row>
    <row r="3" spans="1:3" x14ac:dyDescent="0.35">
      <c r="A3" t="s">
        <v>342</v>
      </c>
      <c r="B3" s="3">
        <f>2*PI()*SQRT(B2^3/398600.4418)/60</f>
        <v>97.662811602228302</v>
      </c>
      <c r="C3" t="s">
        <v>3</v>
      </c>
    </row>
    <row r="4" spans="1:3" x14ac:dyDescent="0.35">
      <c r="A4" t="s">
        <v>346</v>
      </c>
      <c r="B4" s="3">
        <f>B2-6378</f>
        <v>647</v>
      </c>
      <c r="C4" t="s">
        <v>1</v>
      </c>
    </row>
    <row r="5" spans="1:3" x14ac:dyDescent="0.35">
      <c r="B5" s="3"/>
    </row>
    <row r="6" spans="1:3" x14ac:dyDescent="0.35">
      <c r="B6" s="2"/>
    </row>
    <row r="8" spans="1:3" x14ac:dyDescent="0.35">
      <c r="B8" t="s">
        <v>347</v>
      </c>
    </row>
    <row r="9" spans="1:3" x14ac:dyDescent="0.35">
      <c r="A9" t="s">
        <v>346</v>
      </c>
      <c r="B9">
        <v>35786</v>
      </c>
      <c r="C9" t="s">
        <v>1</v>
      </c>
    </row>
    <row r="10" spans="1:3" x14ac:dyDescent="0.35">
      <c r="A10" t="s">
        <v>345</v>
      </c>
      <c r="B10">
        <f>B9+6378</f>
        <v>42164</v>
      </c>
      <c r="C10" t="s">
        <v>1</v>
      </c>
    </row>
    <row r="11" spans="1:3" x14ac:dyDescent="0.35">
      <c r="B11" s="3">
        <f>2*PI()*SQRT(B10^3/398600.4418)</f>
        <v>86163.570550578268</v>
      </c>
      <c r="C11" t="s">
        <v>4</v>
      </c>
    </row>
    <row r="12" spans="1:3" x14ac:dyDescent="0.35">
      <c r="B12" s="3">
        <f>B11/60</f>
        <v>1436.0595091763046</v>
      </c>
      <c r="C12" t="s">
        <v>3</v>
      </c>
    </row>
    <row r="13" spans="1:3" x14ac:dyDescent="0.35">
      <c r="B13" s="3">
        <f>B12/60</f>
        <v>23.93432515293841</v>
      </c>
      <c r="C13" t="s">
        <v>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opLeftCell="A151" zoomScale="125" zoomScaleNormal="125" zoomScalePageLayoutView="125" workbookViewId="0">
      <selection activeCell="A130" sqref="A130:E137"/>
    </sheetView>
  </sheetViews>
  <sheetFormatPr defaultColWidth="10.6640625" defaultRowHeight="15.5" x14ac:dyDescent="0.35"/>
  <cols>
    <col min="1" max="1" width="12.33203125" bestFit="1" customWidth="1"/>
    <col min="2" max="2" width="19.83203125" bestFit="1" customWidth="1"/>
    <col min="3" max="3" width="16" bestFit="1" customWidth="1"/>
    <col min="4" max="5" width="12.6640625" bestFit="1" customWidth="1"/>
  </cols>
  <sheetData>
    <row r="1" spans="1:3" x14ac:dyDescent="0.35">
      <c r="A1" t="s">
        <v>8</v>
      </c>
      <c r="B1">
        <v>398600.44179999997</v>
      </c>
    </row>
    <row r="2" spans="1:3" x14ac:dyDescent="0.35">
      <c r="B2">
        <v>35786</v>
      </c>
    </row>
    <row r="3" spans="1:3" x14ac:dyDescent="0.35">
      <c r="A3" t="s">
        <v>0</v>
      </c>
      <c r="B3">
        <f>6378+B2</f>
        <v>42164</v>
      </c>
      <c r="C3" t="s">
        <v>1</v>
      </c>
    </row>
    <row r="4" spans="1:3" x14ac:dyDescent="0.35">
      <c r="A4" t="s">
        <v>2</v>
      </c>
      <c r="B4">
        <f>2*PI()*SQRT(B3^3/B1)</f>
        <v>86163.570550578268</v>
      </c>
      <c r="C4" t="s">
        <v>4</v>
      </c>
    </row>
    <row r="5" spans="1:3" x14ac:dyDescent="0.35">
      <c r="B5">
        <f>B4/60</f>
        <v>1436.0595091763046</v>
      </c>
      <c r="C5" t="s">
        <v>3</v>
      </c>
    </row>
    <row r="6" spans="1:3" x14ac:dyDescent="0.35">
      <c r="A6" t="s">
        <v>5</v>
      </c>
      <c r="B6">
        <f>SQRT(398600.4418/B3)</f>
        <v>3.0746662841276842</v>
      </c>
      <c r="C6" t="s">
        <v>6</v>
      </c>
    </row>
    <row r="8" spans="1:3" ht="22.5" x14ac:dyDescent="0.45">
      <c r="A8" t="s">
        <v>7</v>
      </c>
      <c r="B8" s="1">
        <v>1.00269619</v>
      </c>
    </row>
    <row r="9" spans="1:3" x14ac:dyDescent="0.35">
      <c r="A9" t="s">
        <v>2</v>
      </c>
      <c r="B9">
        <f>86164/B8</f>
        <v>85932.310164657159</v>
      </c>
      <c r="C9" t="s">
        <v>4</v>
      </c>
    </row>
    <row r="10" spans="1:3" x14ac:dyDescent="0.35">
      <c r="A10" t="s">
        <v>0</v>
      </c>
      <c r="B10">
        <f>(B9^2*B1/4/PI()^2)^(1/3)</f>
        <v>42088.521620934138</v>
      </c>
      <c r="C10" t="s">
        <v>1</v>
      </c>
    </row>
    <row r="12" spans="1:3" x14ac:dyDescent="0.35">
      <c r="A12" t="s">
        <v>11</v>
      </c>
      <c r="B12">
        <v>3.7130000000000003E-4</v>
      </c>
      <c r="C12">
        <v>9.7600000000000001E-5</v>
      </c>
    </row>
    <row r="13" spans="1:3" x14ac:dyDescent="0.35">
      <c r="A13" t="s">
        <v>9</v>
      </c>
      <c r="B13">
        <v>266.45589999999999</v>
      </c>
      <c r="C13">
        <v>220.59800000000001</v>
      </c>
    </row>
    <row r="14" spans="1:3" x14ac:dyDescent="0.35">
      <c r="A14" t="s">
        <v>10</v>
      </c>
      <c r="B14">
        <f ca="1">B13-B12*SIN(B14*PI()/180)</f>
        <v>266.45627059004249</v>
      </c>
      <c r="C14">
        <f ca="1">C13-C12*SIN(C14*PI()/180)</f>
        <v>220.59806351305897</v>
      </c>
    </row>
    <row r="15" spans="1:3" x14ac:dyDescent="0.35">
      <c r="A15" t="s">
        <v>12</v>
      </c>
      <c r="B15">
        <f ca="1">360-(180/PI())*ACOS((COS(B14*PI()/180)-B12)/(1-B12*COS(B14*PI()/180)))</f>
        <v>266.43503758783874</v>
      </c>
      <c r="C15">
        <f ca="1">360-(180/PI())*ACOS((COS(C14*PI()/180)-C12)/(1-C12*COS(C14*PI()/180)))</f>
        <v>220.59442461766261</v>
      </c>
    </row>
    <row r="17" spans="1:7" x14ac:dyDescent="0.35">
      <c r="A17" t="s">
        <v>13</v>
      </c>
      <c r="B17">
        <v>42</v>
      </c>
    </row>
    <row r="18" spans="1:7" x14ac:dyDescent="0.35">
      <c r="A18" t="s">
        <v>15</v>
      </c>
      <c r="B18">
        <v>33</v>
      </c>
    </row>
    <row r="19" spans="1:7" x14ac:dyDescent="0.35">
      <c r="A19" t="s">
        <v>14</v>
      </c>
      <c r="B19">
        <v>40</v>
      </c>
    </row>
    <row r="20" spans="1:7" x14ac:dyDescent="0.35">
      <c r="A20" t="s">
        <v>16</v>
      </c>
      <c r="B20" s="2">
        <f>ACOS(COS((B17-B18)*PI()/180)*COS(B19*PI()/180))*180/PI()</f>
        <v>40.833475115251929</v>
      </c>
    </row>
    <row r="21" spans="1:7" x14ac:dyDescent="0.35">
      <c r="A21" t="s">
        <v>11</v>
      </c>
      <c r="B21" s="2">
        <f>ATAN2(42164*SIN(B20*PI()/180),42164*COS(B20*PI()/180)-6378)*180/PI()</f>
        <v>42.793542065009952</v>
      </c>
    </row>
    <row r="22" spans="1:7" x14ac:dyDescent="0.35">
      <c r="A22" t="s">
        <v>17</v>
      </c>
      <c r="B22" s="2">
        <f>180-ASIN(SIN((B17-B18)*PI()/180)/SIN(B20*PI()/180))*180/PI()</f>
        <v>166.15791973882401</v>
      </c>
    </row>
    <row r="23" spans="1:7" x14ac:dyDescent="0.35">
      <c r="A23" t="s">
        <v>18</v>
      </c>
      <c r="B23">
        <f>SQRT(42164^2+6378^2-2*42164*6378*COS(B20*PI()/180))</f>
        <v>37570.492957535331</v>
      </c>
    </row>
    <row r="25" spans="1:7" x14ac:dyDescent="0.35">
      <c r="A25" t="s">
        <v>11</v>
      </c>
      <c r="B25">
        <v>0.1</v>
      </c>
    </row>
    <row r="26" spans="1:7" x14ac:dyDescent="0.35">
      <c r="A26" t="s">
        <v>2</v>
      </c>
      <c r="B26">
        <v>86164</v>
      </c>
      <c r="C26" t="s">
        <v>4</v>
      </c>
    </row>
    <row r="27" spans="1:7" x14ac:dyDescent="0.35">
      <c r="A27" t="s">
        <v>97</v>
      </c>
      <c r="B27" t="s">
        <v>98</v>
      </c>
      <c r="C27" t="s">
        <v>10</v>
      </c>
      <c r="D27" s="3" t="s">
        <v>12</v>
      </c>
      <c r="E27" t="s">
        <v>99</v>
      </c>
      <c r="F27" t="s">
        <v>100</v>
      </c>
      <c r="G27" t="s">
        <v>101</v>
      </c>
    </row>
    <row r="28" spans="1:7" x14ac:dyDescent="0.35">
      <c r="A28">
        <v>0</v>
      </c>
      <c r="B28" s="3">
        <f>A28*360/86164</f>
        <v>0</v>
      </c>
      <c r="C28" s="3">
        <f ca="1">B28+0.5*SIN(C28*PI()/180)*180/PI()</f>
        <v>0</v>
      </c>
      <c r="D28" s="3">
        <f ca="1">180/PI()*ACOS((COS(C28*PI()/180)-0.5)/(1-0.5*COS(C28*PI()/180)))</f>
        <v>0</v>
      </c>
      <c r="E28" s="3">
        <f ca="1">42164*(1-0.5^2)/(1+0.5*COS(D28*PI()/180))</f>
        <v>21082</v>
      </c>
      <c r="F28" s="3">
        <f ca="1">E28*COS(D28*PI()/180)</f>
        <v>21082</v>
      </c>
      <c r="G28" s="3">
        <f ca="1">E28*SIN(D28*PI()/180)</f>
        <v>0</v>
      </c>
    </row>
    <row r="29" spans="1:7" x14ac:dyDescent="0.35">
      <c r="A29">
        <v>3600</v>
      </c>
      <c r="B29" s="3">
        <f t="shared" ref="B29:B52" si="0">A29*360/86164</f>
        <v>15.041084443619145</v>
      </c>
      <c r="C29" s="3">
        <f t="shared" ref="C29:C52" ca="1" si="1">B29+0.5*SIN(C29*PI()/180)*180/PI()</f>
        <v>28.875285070726271</v>
      </c>
      <c r="D29" s="3">
        <f t="shared" ref="D29:D40" ca="1" si="2">180/PI()*ACOS((COS(C29*PI()/180)-0.5)/(1-0.5*COS(C29*PI()/180)))</f>
        <v>48.066881672763557</v>
      </c>
      <c r="E29" s="3">
        <f t="shared" ref="E29:E52" ca="1" si="3">42164*(1-0.5^2)/(1+0.5*COS(D29*PI()/180))</f>
        <v>23703.063653800989</v>
      </c>
      <c r="F29" s="3">
        <f t="shared" ref="F29:F52" ca="1" si="4">E29*COS(D29*PI()/180)</f>
        <v>15839.872692398014</v>
      </c>
      <c r="G29" s="3">
        <f t="shared" ref="G29:G52" ca="1" si="5">E29*SIN(D29*PI()/180)</f>
        <v>17633.311080587366</v>
      </c>
    </row>
    <row r="30" spans="1:7" x14ac:dyDescent="0.35">
      <c r="A30">
        <v>7200</v>
      </c>
      <c r="B30" s="3">
        <f t="shared" si="0"/>
        <v>30.082168887238289</v>
      </c>
      <c r="C30" s="3">
        <f t="shared" ca="1" si="1"/>
        <v>52.944757385086106</v>
      </c>
      <c r="D30" s="3">
        <f t="shared" ca="1" si="2"/>
        <v>81.557272342405113</v>
      </c>
      <c r="E30" s="3">
        <f t="shared" ca="1" si="3"/>
        <v>29460.308087054189</v>
      </c>
      <c r="F30" s="3">
        <f t="shared" ca="1" si="4"/>
        <v>4325.3838258916139</v>
      </c>
      <c r="G30" s="3">
        <f t="shared" ca="1" si="5"/>
        <v>29141.050210019297</v>
      </c>
    </row>
    <row r="31" spans="1:7" x14ac:dyDescent="0.35">
      <c r="A31">
        <v>10800</v>
      </c>
      <c r="B31" s="3">
        <f t="shared" si="0"/>
        <v>45.123253330857438</v>
      </c>
      <c r="C31" s="3">
        <f t="shared" ca="1" si="1"/>
        <v>72.435519223049127</v>
      </c>
      <c r="D31" s="3">
        <f t="shared" ca="1" si="2"/>
        <v>103.50001094926188</v>
      </c>
      <c r="E31" s="3">
        <f t="shared" ca="1" si="3"/>
        <v>35801.896730902408</v>
      </c>
      <c r="F31" s="3">
        <f t="shared" ca="1" si="4"/>
        <v>-8357.7934618048221</v>
      </c>
      <c r="G31" s="3">
        <f t="shared" ca="1" si="5"/>
        <v>34812.685877134114</v>
      </c>
    </row>
    <row r="32" spans="1:7" x14ac:dyDescent="0.35">
      <c r="A32">
        <v>14400</v>
      </c>
      <c r="B32" s="3">
        <f t="shared" si="0"/>
        <v>60.164337774476579</v>
      </c>
      <c r="C32" s="3">
        <f t="shared" ca="1" si="1"/>
        <v>88.806007321883129</v>
      </c>
      <c r="D32" s="3">
        <f t="shared" ca="1" si="2"/>
        <v>118.9605474376372</v>
      </c>
      <c r="E32" s="3">
        <f t="shared" ca="1" si="3"/>
        <v>41724.701817632034</v>
      </c>
      <c r="F32" s="3">
        <f t="shared" ca="1" si="4"/>
        <v>-20203.403635264061</v>
      </c>
      <c r="G32" s="3">
        <f t="shared" ca="1" si="5"/>
        <v>36507.166739161024</v>
      </c>
    </row>
    <row r="33" spans="1:7" x14ac:dyDescent="0.35">
      <c r="A33">
        <v>18000</v>
      </c>
      <c r="B33" s="3">
        <f t="shared" si="0"/>
        <v>75.20542221809572</v>
      </c>
      <c r="C33" s="3">
        <f t="shared" ca="1" si="1"/>
        <v>103.10698640759028</v>
      </c>
      <c r="D33" s="3">
        <f t="shared" ca="1" si="2"/>
        <v>130.74980497626052</v>
      </c>
      <c r="E33" s="3">
        <f t="shared" ca="1" si="3"/>
        <v>46944.766580011994</v>
      </c>
      <c r="F33" s="3">
        <f t="shared" ca="1" si="4"/>
        <v>-30643.533160023999</v>
      </c>
      <c r="G33" s="3">
        <f t="shared" ca="1" si="5"/>
        <v>35563.815665959133</v>
      </c>
    </row>
    <row r="34" spans="1:7" x14ac:dyDescent="0.35">
      <c r="A34">
        <v>21600</v>
      </c>
      <c r="B34" s="3">
        <f t="shared" si="0"/>
        <v>90.246506661714875</v>
      </c>
      <c r="C34" s="3">
        <f t="shared" ca="1" si="1"/>
        <v>115.9959475812521</v>
      </c>
      <c r="D34" s="3">
        <f t="shared" ca="1" si="2"/>
        <v>140.32142896086771</v>
      </c>
      <c r="E34" s="3">
        <f t="shared" ca="1" si="3"/>
        <v>51404.400311805053</v>
      </c>
      <c r="F34" s="3">
        <f t="shared" ca="1" si="4"/>
        <v>-39562.800623610106</v>
      </c>
      <c r="G34" s="3">
        <f t="shared" ca="1" si="5"/>
        <v>32820.682171959481</v>
      </c>
    </row>
    <row r="35" spans="1:7" x14ac:dyDescent="0.35">
      <c r="A35">
        <v>25200</v>
      </c>
      <c r="B35" s="3">
        <f t="shared" si="0"/>
        <v>105.28759110533402</v>
      </c>
      <c r="C35" s="3">
        <f t="shared" ca="1" si="1"/>
        <v>127.89478624805349</v>
      </c>
      <c r="D35" s="3">
        <f t="shared" ca="1" si="2"/>
        <v>148.47666235286439</v>
      </c>
      <c r="E35" s="3">
        <f t="shared" ca="1" si="3"/>
        <v>55112.846754652091</v>
      </c>
      <c r="F35" s="3">
        <f t="shared" ca="1" si="4"/>
        <v>-46979.693509304183</v>
      </c>
      <c r="G35" s="3">
        <f t="shared" ca="1" si="5"/>
        <v>28815.521428105509</v>
      </c>
    </row>
    <row r="36" spans="1:7" x14ac:dyDescent="0.35">
      <c r="A36">
        <v>28800</v>
      </c>
      <c r="B36" s="3">
        <f t="shared" si="0"/>
        <v>120.32867554895316</v>
      </c>
      <c r="C36" s="3">
        <f t="shared" ca="1" si="1"/>
        <v>139.08956249889479</v>
      </c>
      <c r="D36" s="3">
        <f t="shared" ca="1" si="2"/>
        <v>155.69409955620552</v>
      </c>
      <c r="E36" s="3">
        <f t="shared" ca="1" si="3"/>
        <v>58096.388052425333</v>
      </c>
      <c r="F36" s="3">
        <f t="shared" ca="1" si="4"/>
        <v>-52946.776104850658</v>
      </c>
      <c r="G36" s="3">
        <f t="shared" ca="1" si="5"/>
        <v>23912.950567439479</v>
      </c>
    </row>
    <row r="37" spans="1:7" x14ac:dyDescent="0.35">
      <c r="A37">
        <v>32400</v>
      </c>
      <c r="B37" s="3">
        <f t="shared" si="0"/>
        <v>135.36975999257231</v>
      </c>
      <c r="C37" s="3">
        <f t="shared" ca="1" si="1"/>
        <v>149.7861881619946</v>
      </c>
      <c r="D37" s="3">
        <f t="shared" ca="1" si="2"/>
        <v>162.28278923240754</v>
      </c>
      <c r="E37" s="3">
        <f t="shared" ca="1" si="3"/>
        <v>60382.084462765255</v>
      </c>
      <c r="F37" s="3">
        <f t="shared" ca="1" si="4"/>
        <v>-57518.16892553051</v>
      </c>
      <c r="G37" s="3">
        <f t="shared" ca="1" si="5"/>
        <v>18375.428362970299</v>
      </c>
    </row>
    <row r="38" spans="1:7" x14ac:dyDescent="0.35">
      <c r="A38">
        <v>36000</v>
      </c>
      <c r="B38" s="3">
        <f t="shared" si="0"/>
        <v>150.41084443619144</v>
      </c>
      <c r="C38" s="3">
        <f t="shared" ca="1" si="1"/>
        <v>160.14217112332398</v>
      </c>
      <c r="D38" s="3">
        <f t="shared" ca="1" si="2"/>
        <v>168.45810656053195</v>
      </c>
      <c r="E38" s="3">
        <f t="shared" ca="1" si="3"/>
        <v>61992.430551693324</v>
      </c>
      <c r="F38" s="3">
        <f t="shared" ca="1" si="4"/>
        <v>-60738.861103386655</v>
      </c>
      <c r="G38" s="3">
        <f t="shared" ca="1" si="5"/>
        <v>12403.717086826142</v>
      </c>
    </row>
    <row r="39" spans="1:7" x14ac:dyDescent="0.35">
      <c r="A39">
        <v>39600</v>
      </c>
      <c r="B39" s="3">
        <f t="shared" si="0"/>
        <v>165.45192887981059</v>
      </c>
      <c r="C39" s="3">
        <f t="shared" ca="1" si="1"/>
        <v>170.28579490702865</v>
      </c>
      <c r="D39" s="3">
        <f t="shared" ca="1" si="2"/>
        <v>174.38253158801729</v>
      </c>
      <c r="E39" s="3">
        <f t="shared" ca="1" si="3"/>
        <v>62943.71924171289</v>
      </c>
      <c r="F39" s="3">
        <f t="shared" ca="1" si="4"/>
        <v>-62641.43848342578</v>
      </c>
      <c r="G39" s="3">
        <f t="shared" ca="1" si="5"/>
        <v>6161.329134753425</v>
      </c>
    </row>
    <row r="40" spans="1:7" x14ac:dyDescent="0.35">
      <c r="A40">
        <v>43200</v>
      </c>
      <c r="B40" s="3">
        <f t="shared" si="0"/>
        <v>180.49301332342975</v>
      </c>
      <c r="C40" s="3">
        <f t="shared" ca="1" si="1"/>
        <v>180.32867614983087</v>
      </c>
      <c r="D40" s="3">
        <f t="shared" ca="1" si="2"/>
        <v>179.81023838949994</v>
      </c>
      <c r="E40" s="3">
        <f t="shared" ca="1" si="3"/>
        <v>63245.653126007201</v>
      </c>
      <c r="F40" s="3">
        <f t="shared" ca="1" si="4"/>
        <v>-63245.306252014401</v>
      </c>
      <c r="G40" s="3">
        <f t="shared" ca="1" si="5"/>
        <v>209.46700010335559</v>
      </c>
    </row>
    <row r="41" spans="1:7" x14ac:dyDescent="0.35">
      <c r="A41">
        <v>46800</v>
      </c>
      <c r="B41" s="3">
        <f t="shared" si="0"/>
        <v>195.53409776704888</v>
      </c>
      <c r="C41" s="3">
        <f t="shared" ca="1" si="1"/>
        <v>190.374933189388</v>
      </c>
      <c r="D41" s="3">
        <f ca="1">360-180/PI()*ACOS((COS(C41*PI()/180)-0.5)/(1-0.5*COS(C41*PI()/180)))</f>
        <v>186.0008996980371</v>
      </c>
      <c r="E41" s="3">
        <f t="shared" ca="1" si="3"/>
        <v>62901.316752781626</v>
      </c>
      <c r="F41" s="3">
        <f t="shared" ca="1" si="4"/>
        <v>-62556.633505563252</v>
      </c>
      <c r="G41" s="3">
        <f t="shared" ca="1" si="5"/>
        <v>-6575.9602861032272</v>
      </c>
    </row>
    <row r="42" spans="1:7" x14ac:dyDescent="0.35">
      <c r="A42">
        <v>50400</v>
      </c>
      <c r="B42" s="3">
        <f t="shared" si="0"/>
        <v>210.57518221066803</v>
      </c>
      <c r="C42" s="3">
        <f t="shared" ca="1" si="1"/>
        <v>200.52893141439816</v>
      </c>
      <c r="D42" s="3">
        <f t="shared" ref="D42:D52" ca="1" si="6">360-180/PI()*ACOS((COS(C42*PI()/180)-0.5)/(1-0.5*COS(C42*PI()/180)))</f>
        <v>191.93746021818876</v>
      </c>
      <c r="E42" s="3">
        <f t="shared" ca="1" si="3"/>
        <v>61907.192505744133</v>
      </c>
      <c r="F42" s="3">
        <f t="shared" ca="1" si="4"/>
        <v>-60568.385011488266</v>
      </c>
      <c r="G42" s="3">
        <f t="shared" ca="1" si="5"/>
        <v>-12805.124796087941</v>
      </c>
    </row>
    <row r="43" spans="1:7" x14ac:dyDescent="0.35">
      <c r="A43">
        <v>54000</v>
      </c>
      <c r="B43" s="3">
        <f t="shared" si="0"/>
        <v>225.61626665428716</v>
      </c>
      <c r="C43" s="3">
        <f t="shared" ca="1" si="1"/>
        <v>210.90307445856854</v>
      </c>
      <c r="D43" s="3">
        <f t="shared" ca="1" si="6"/>
        <v>198.13447542301358</v>
      </c>
      <c r="E43" s="3">
        <f t="shared" ca="1" si="3"/>
        <v>60253.143373912615</v>
      </c>
      <c r="F43" s="3">
        <f t="shared" ca="1" si="4"/>
        <v>-57260.28674782523</v>
      </c>
      <c r="G43" s="3">
        <f t="shared" ca="1" si="5"/>
        <v>-18753.688916959778</v>
      </c>
    </row>
    <row r="44" spans="1:7" x14ac:dyDescent="0.35">
      <c r="A44">
        <v>57600</v>
      </c>
      <c r="B44" s="3">
        <f t="shared" si="0"/>
        <v>240.65735109790631</v>
      </c>
      <c r="C44" s="3">
        <f t="shared" ca="1" si="1"/>
        <v>221.6271259256477</v>
      </c>
      <c r="D44" s="3">
        <f t="shared" ca="1" si="6"/>
        <v>204.75703187427521</v>
      </c>
      <c r="E44" s="3">
        <f t="shared" ca="1" si="3"/>
        <v>57922.450934558816</v>
      </c>
      <c r="F44" s="3">
        <f t="shared" ca="1" si="4"/>
        <v>-52598.901869117624</v>
      </c>
      <c r="G44" s="3">
        <f t="shared" ca="1" si="5"/>
        <v>-24256.253717944735</v>
      </c>
    </row>
    <row r="45" spans="1:7" x14ac:dyDescent="0.35">
      <c r="A45">
        <v>61200</v>
      </c>
      <c r="B45" s="3">
        <f t="shared" si="0"/>
        <v>255.69843554152547</v>
      </c>
      <c r="C45" s="3">
        <f t="shared" ca="1" si="1"/>
        <v>232.86108213158232</v>
      </c>
      <c r="D45" s="3">
        <f t="shared" ca="1" si="6"/>
        <v>212.02514257026249</v>
      </c>
      <c r="E45" s="3">
        <f t="shared" ca="1" si="3"/>
        <v>54892.249138894687</v>
      </c>
      <c r="F45" s="3">
        <f t="shared" ca="1" si="4"/>
        <v>-46538.498277789375</v>
      </c>
      <c r="G45" s="3">
        <f t="shared" ca="1" si="5"/>
        <v>-29108.885131084633</v>
      </c>
    </row>
    <row r="46" spans="1:7" x14ac:dyDescent="0.35">
      <c r="A46">
        <v>64800</v>
      </c>
      <c r="B46" s="3">
        <f t="shared" si="0"/>
        <v>270.73951998514463</v>
      </c>
      <c r="C46" s="3">
        <f t="shared" ca="1" si="1"/>
        <v>244.81495207754978</v>
      </c>
      <c r="D46" s="3">
        <f t="shared" ca="1" si="6"/>
        <v>220.25610458133411</v>
      </c>
      <c r="E46" s="3">
        <f t="shared" ca="1" si="3"/>
        <v>51135.300703113622</v>
      </c>
      <c r="F46" s="3">
        <f t="shared" ca="1" si="4"/>
        <v>-39024.601406227244</v>
      </c>
      <c r="G46" s="3">
        <f t="shared" ca="1" si="5"/>
        <v>-33043.9020559458</v>
      </c>
    </row>
    <row r="47" spans="1:7" x14ac:dyDescent="0.35">
      <c r="A47">
        <v>68400</v>
      </c>
      <c r="B47" s="3">
        <f t="shared" si="0"/>
        <v>285.78060442876375</v>
      </c>
      <c r="C47" s="3">
        <f t="shared" ca="1" si="1"/>
        <v>257.78164275106172</v>
      </c>
      <c r="D47" s="3">
        <f t="shared" ca="1" si="6"/>
        <v>229.9437562121494</v>
      </c>
      <c r="E47" s="3">
        <f t="shared" ca="1" si="3"/>
        <v>46625.751139988912</v>
      </c>
      <c r="F47" s="3">
        <f t="shared" ca="1" si="4"/>
        <v>-30005.502279977827</v>
      </c>
      <c r="G47" s="3">
        <f t="shared" ca="1" si="5"/>
        <v>-35687.960186797216</v>
      </c>
    </row>
    <row r="48" spans="1:7" x14ac:dyDescent="0.35">
      <c r="A48">
        <v>72000</v>
      </c>
      <c r="B48" s="3">
        <f t="shared" si="0"/>
        <v>300.82168887238288</v>
      </c>
      <c r="C48" s="3">
        <f t="shared" ca="1" si="1"/>
        <v>272.19481561382878</v>
      </c>
      <c r="D48" s="3">
        <f t="shared" ca="1" si="6"/>
        <v>241.91920265362648</v>
      </c>
      <c r="E48" s="3">
        <f t="shared" ca="1" si="3"/>
        <v>41356.61440258316</v>
      </c>
      <c r="F48" s="3">
        <f t="shared" ca="1" si="4"/>
        <v>-19467.22880516632</v>
      </c>
      <c r="G48" s="3">
        <f t="shared" ca="1" si="5"/>
        <v>-36488.307133810027</v>
      </c>
    </row>
    <row r="49" spans="1:7" x14ac:dyDescent="0.35">
      <c r="A49">
        <v>75600</v>
      </c>
      <c r="B49" s="3">
        <f t="shared" si="0"/>
        <v>315.86277331600206</v>
      </c>
      <c r="C49" s="3">
        <f t="shared" ca="1" si="1"/>
        <v>288.73239520110434</v>
      </c>
      <c r="D49" s="3">
        <f t="shared" ca="1" si="6"/>
        <v>257.69802206709772</v>
      </c>
      <c r="E49" s="3">
        <f t="shared" ca="1" si="3"/>
        <v>35393.547433296037</v>
      </c>
      <c r="F49" s="3">
        <f t="shared" ca="1" si="4"/>
        <v>-7541.0948665920696</v>
      </c>
      <c r="G49" s="3">
        <f t="shared" ca="1" si="5"/>
        <v>-34580.848574406547</v>
      </c>
    </row>
    <row r="50" spans="1:7" x14ac:dyDescent="0.35">
      <c r="A50">
        <v>79200</v>
      </c>
      <c r="B50" s="3">
        <f t="shared" si="0"/>
        <v>330.90385775962119</v>
      </c>
      <c r="C50" s="3">
        <f t="shared" ca="1" si="1"/>
        <v>308.47646066004813</v>
      </c>
      <c r="D50" s="3">
        <f t="shared" ca="1" si="6"/>
        <v>280.21679717365464</v>
      </c>
      <c r="E50" s="3">
        <f t="shared" ca="1" si="3"/>
        <v>29046.925947693115</v>
      </c>
      <c r="F50" s="3">
        <f t="shared" ca="1" si="4"/>
        <v>5152.1481046137742</v>
      </c>
      <c r="G50" s="3">
        <f t="shared" ca="1" si="5"/>
        <v>-28586.347736618824</v>
      </c>
    </row>
    <row r="51" spans="1:7" x14ac:dyDescent="0.35">
      <c r="A51">
        <v>82800</v>
      </c>
      <c r="B51" s="3">
        <f t="shared" si="0"/>
        <v>345.94494220324032</v>
      </c>
      <c r="C51" s="3">
        <f t="shared" ca="1" si="1"/>
        <v>332.89016408543745</v>
      </c>
      <c r="D51" s="3">
        <f t="shared" ca="1" si="6"/>
        <v>314.67064573324456</v>
      </c>
      <c r="E51" s="3">
        <f t="shared" ca="1" si="3"/>
        <v>23398.182604977945</v>
      </c>
      <c r="F51" s="3">
        <f t="shared" ca="1" si="4"/>
        <v>16449.634790044107</v>
      </c>
      <c r="G51" s="3">
        <f t="shared" ca="1" si="5"/>
        <v>-16639.845687086858</v>
      </c>
    </row>
    <row r="52" spans="1:7" x14ac:dyDescent="0.35">
      <c r="A52">
        <v>86400</v>
      </c>
      <c r="B52" s="3">
        <f t="shared" si="0"/>
        <v>360.9860266468595</v>
      </c>
      <c r="C52" s="3">
        <f t="shared" ca="1" si="1"/>
        <v>361.97166417994003</v>
      </c>
      <c r="D52" s="3">
        <f t="shared" ca="1" si="6"/>
        <v>356.58565119040605</v>
      </c>
      <c r="E52" s="3">
        <f t="shared" ca="1" si="3"/>
        <v>21094.481293157143</v>
      </c>
      <c r="F52" s="3">
        <f t="shared" ca="1" si="4"/>
        <v>21057.037413685721</v>
      </c>
      <c r="G52" s="3">
        <f t="shared" ca="1" si="5"/>
        <v>-1256.3106248044116</v>
      </c>
    </row>
    <row r="56" spans="1:7" x14ac:dyDescent="0.35">
      <c r="A56">
        <f>98*60</f>
        <v>5880</v>
      </c>
    </row>
    <row r="57" spans="1:7" x14ac:dyDescent="0.35">
      <c r="A57" t="s">
        <v>102</v>
      </c>
      <c r="B57" t="s">
        <v>104</v>
      </c>
      <c r="C57" t="s">
        <v>103</v>
      </c>
      <c r="D57" t="s">
        <v>105</v>
      </c>
      <c r="E57" t="s">
        <v>15</v>
      </c>
    </row>
    <row r="58" spans="1:7" x14ac:dyDescent="0.35">
      <c r="A58">
        <v>0</v>
      </c>
      <c r="B58" s="3">
        <f>SIN(98*PI()/180)*SIN(A58*2*PI()/5880)*180/PI()</f>
        <v>0</v>
      </c>
      <c r="C58" s="2">
        <f>ATAN(TAN(A58*2*PI()/5880)*COS(98*PI()/180))*180/PI()</f>
        <v>0</v>
      </c>
      <c r="D58" s="2">
        <f>A58*360/86164</f>
        <v>0</v>
      </c>
      <c r="E58" s="2">
        <f>C58-D58</f>
        <v>0</v>
      </c>
    </row>
    <row r="59" spans="1:7" x14ac:dyDescent="0.35">
      <c r="A59">
        <v>60</v>
      </c>
      <c r="B59" s="3">
        <f t="shared" ref="B59:B68" si="7">SIN(98*PI()/180)*SIN(A59*2*PI()/5880)*180/PI()</f>
        <v>3.635227733199895</v>
      </c>
      <c r="C59" s="2">
        <f t="shared" ref="C59:C68" si="8">ATAN(TAN(A59*2*PI()/5880)*COS(98*PI()/180))*180/PI()</f>
        <v>-0.51193617202748665</v>
      </c>
      <c r="D59" s="2">
        <f t="shared" ref="D59:D68" si="9">A59*360/86164</f>
        <v>0.25068474072698577</v>
      </c>
      <c r="E59" s="2">
        <f t="shared" ref="E59:E68" si="10">C59-D59</f>
        <v>-0.76262091275447241</v>
      </c>
    </row>
    <row r="60" spans="1:7" x14ac:dyDescent="0.35">
      <c r="A60">
        <v>120</v>
      </c>
      <c r="B60" s="3">
        <f t="shared" si="7"/>
        <v>7.2555175358901698</v>
      </c>
      <c r="C60" s="2">
        <f t="shared" si="8"/>
        <v>-1.0280271528077323</v>
      </c>
      <c r="D60" s="2">
        <f t="shared" si="9"/>
        <v>0.50136948145397153</v>
      </c>
      <c r="E60" s="2">
        <f t="shared" si="10"/>
        <v>-1.5293966342617038</v>
      </c>
    </row>
    <row r="61" spans="1:7" x14ac:dyDescent="0.35">
      <c r="A61">
        <v>180</v>
      </c>
      <c r="B61" s="3">
        <f t="shared" si="7"/>
        <v>10.845992860721839</v>
      </c>
      <c r="C61" s="2">
        <f t="shared" si="8"/>
        <v>-1.5525623488447968</v>
      </c>
      <c r="D61" s="2">
        <f t="shared" si="9"/>
        <v>0.7520542221809573</v>
      </c>
      <c r="E61" s="2">
        <f t="shared" si="10"/>
        <v>-2.304616571025754</v>
      </c>
    </row>
    <row r="62" spans="1:7" x14ac:dyDescent="0.35">
      <c r="A62">
        <v>240</v>
      </c>
      <c r="B62" s="3">
        <f t="shared" si="7"/>
        <v>14.391899674430629</v>
      </c>
      <c r="C62" s="2">
        <f t="shared" si="8"/>
        <v>-2.090109629077602</v>
      </c>
      <c r="D62" s="2">
        <f t="shared" si="9"/>
        <v>1.0027389629079431</v>
      </c>
      <c r="E62" s="2">
        <f t="shared" si="10"/>
        <v>-3.0928485919855451</v>
      </c>
    </row>
    <row r="63" spans="1:7" x14ac:dyDescent="0.35">
      <c r="A63">
        <v>300</v>
      </c>
      <c r="B63" s="3">
        <f t="shared" si="7"/>
        <v>17.878667085324388</v>
      </c>
      <c r="C63" s="2">
        <f t="shared" si="8"/>
        <v>-2.6456788211392013</v>
      </c>
      <c r="D63" s="2">
        <f t="shared" si="9"/>
        <v>1.2534237036349287</v>
      </c>
      <c r="E63" s="2">
        <f t="shared" si="10"/>
        <v>-3.89910252477413</v>
      </c>
    </row>
    <row r="64" spans="1:7" x14ac:dyDescent="0.35">
      <c r="A64">
        <v>360</v>
      </c>
      <c r="B64" s="3">
        <f t="shared" si="7"/>
        <v>21.291967218202487</v>
      </c>
      <c r="C64" s="2">
        <f t="shared" si="8"/>
        <v>-3.2249175988510284</v>
      </c>
      <c r="D64" s="2">
        <f t="shared" si="9"/>
        <v>1.5041084443619146</v>
      </c>
      <c r="E64" s="2">
        <f t="shared" si="10"/>
        <v>-4.7290260432129427</v>
      </c>
    </row>
    <row r="65" spans="1:5" x14ac:dyDescent="0.35">
      <c r="A65">
        <v>420</v>
      </c>
      <c r="B65" s="3">
        <f t="shared" si="7"/>
        <v>24.617774090668345</v>
      </c>
      <c r="C65" s="2">
        <f t="shared" si="8"/>
        <v>-3.8343566639120197</v>
      </c>
      <c r="D65" s="2">
        <f t="shared" si="9"/>
        <v>1.7547931850889003</v>
      </c>
      <c r="E65" s="2">
        <f t="shared" si="10"/>
        <v>-5.5891498490009202</v>
      </c>
    </row>
    <row r="66" spans="1:5" x14ac:dyDescent="0.35">
      <c r="A66">
        <v>480</v>
      </c>
      <c r="B66" s="3">
        <f t="shared" si="7"/>
        <v>27.842421248899655</v>
      </c>
      <c r="C66" s="2">
        <f t="shared" si="8"/>
        <v>-4.481727840505731</v>
      </c>
      <c r="D66" s="2">
        <f t="shared" si="9"/>
        <v>2.0054779258158861</v>
      </c>
      <c r="E66" s="2">
        <f t="shared" si="10"/>
        <v>-6.4872057663216172</v>
      </c>
    </row>
    <row r="67" spans="1:5" x14ac:dyDescent="0.35">
      <c r="A67">
        <v>540</v>
      </c>
      <c r="B67" s="3">
        <f t="shared" si="7"/>
        <v>30.952657926038619</v>
      </c>
      <c r="C67" s="2">
        <f t="shared" si="8"/>
        <v>-5.1763894237956416</v>
      </c>
      <c r="D67" s="2">
        <f t="shared" si="9"/>
        <v>2.2561626665428718</v>
      </c>
      <c r="E67" s="2">
        <f t="shared" si="10"/>
        <v>-7.4325520903385129</v>
      </c>
    </row>
    <row r="68" spans="1:5" x14ac:dyDescent="0.35">
      <c r="A68">
        <v>600</v>
      </c>
      <c r="B68" s="3">
        <f t="shared" si="7"/>
        <v>33.935703492435188</v>
      </c>
      <c r="C68" s="2">
        <f t="shared" si="8"/>
        <v>-5.9299103403498394</v>
      </c>
      <c r="D68" s="2">
        <f t="shared" si="9"/>
        <v>2.5068474072698574</v>
      </c>
      <c r="E68" s="2">
        <f t="shared" si="10"/>
        <v>-8.4367577476196978</v>
      </c>
    </row>
    <row r="71" spans="1:5" x14ac:dyDescent="0.35">
      <c r="A71">
        <v>86164</v>
      </c>
    </row>
    <row r="72" spans="1:5" x14ac:dyDescent="0.35">
      <c r="A72" t="s">
        <v>102</v>
      </c>
      <c r="B72" t="s">
        <v>104</v>
      </c>
      <c r="C72" t="s">
        <v>103</v>
      </c>
      <c r="D72" t="s">
        <v>105</v>
      </c>
      <c r="E72" t="s">
        <v>15</v>
      </c>
    </row>
    <row r="73" spans="1:5" x14ac:dyDescent="0.35">
      <c r="A73">
        <v>0</v>
      </c>
      <c r="B73" s="10">
        <f>SIN(5*PI()/180)*SIN(A73*2*PI()/86164)*180/PI()</f>
        <v>0</v>
      </c>
      <c r="C73" s="10">
        <f>ATAN(TAN(A73*2*PI()/86164)*COS(5*PI()/180))*180/PI()</f>
        <v>0</v>
      </c>
      <c r="D73" s="10">
        <f>A73*360/86164</f>
        <v>0</v>
      </c>
      <c r="E73" s="10">
        <f>C73-D73</f>
        <v>0</v>
      </c>
    </row>
    <row r="74" spans="1:5" x14ac:dyDescent="0.35">
      <c r="A74">
        <v>3600</v>
      </c>
      <c r="B74" s="10">
        <f t="shared" ref="B74:B97" si="11">SIN(5*PI()/180)*SIN(A74*2*PI()/86164)*180/PI()</f>
        <v>1.2959117360669774</v>
      </c>
      <c r="C74" s="10">
        <f t="shared" ref="C74:C78" si="12">ATAN(TAN(A74*2*PI()/86164)*COS(5*PI()/180))*180/PI()</f>
        <v>14.986428181298345</v>
      </c>
      <c r="D74" s="10">
        <f t="shared" ref="D74:D97" si="13">A74*360/86164</f>
        <v>15.041084443619145</v>
      </c>
      <c r="E74" s="10">
        <f t="shared" ref="E74:E97" si="14">C74-D74</f>
        <v>-5.4656262320799343E-2</v>
      </c>
    </row>
    <row r="75" spans="1:5" x14ac:dyDescent="0.35">
      <c r="A75">
        <v>7200</v>
      </c>
      <c r="B75" s="10">
        <f t="shared" si="11"/>
        <v>2.5030275727675937</v>
      </c>
      <c r="C75" s="10">
        <f t="shared" si="12"/>
        <v>29.987513747141229</v>
      </c>
      <c r="D75" s="10">
        <f t="shared" si="13"/>
        <v>30.082168887238289</v>
      </c>
      <c r="E75" s="10">
        <f t="shared" si="14"/>
        <v>-9.4655140097060553E-2</v>
      </c>
    </row>
    <row r="76" spans="1:5" x14ac:dyDescent="0.35">
      <c r="A76">
        <v>10800</v>
      </c>
      <c r="B76" s="10">
        <f t="shared" si="11"/>
        <v>3.5386359076245735</v>
      </c>
      <c r="C76" s="10">
        <f t="shared" si="12"/>
        <v>45.014031897947</v>
      </c>
      <c r="D76" s="10">
        <f t="shared" si="13"/>
        <v>45.123253330857438</v>
      </c>
      <c r="E76" s="10">
        <f t="shared" si="14"/>
        <v>-0.10922143291043795</v>
      </c>
    </row>
    <row r="77" spans="1:5" x14ac:dyDescent="0.35">
      <c r="A77">
        <v>14400</v>
      </c>
      <c r="B77" s="10">
        <f t="shared" si="11"/>
        <v>4.3317768357882125</v>
      </c>
      <c r="C77" s="10">
        <f t="shared" si="12"/>
        <v>60.069973103193064</v>
      </c>
      <c r="D77" s="10">
        <f t="shared" si="13"/>
        <v>60.164337774476579</v>
      </c>
      <c r="E77" s="10">
        <f t="shared" si="14"/>
        <v>-9.4364671283514667E-2</v>
      </c>
    </row>
    <row r="78" spans="1:5" x14ac:dyDescent="0.35">
      <c r="A78">
        <v>18000</v>
      </c>
      <c r="B78" s="10">
        <f t="shared" si="11"/>
        <v>4.8281043242066737</v>
      </c>
      <c r="C78" s="10">
        <f t="shared" si="12"/>
        <v>75.151401500138007</v>
      </c>
      <c r="D78" s="10">
        <f t="shared" si="13"/>
        <v>75.20542221809572</v>
      </c>
      <c r="E78" s="10">
        <f t="shared" si="14"/>
        <v>-5.402071795771235E-2</v>
      </c>
    </row>
    <row r="79" spans="1:5" x14ac:dyDescent="0.35">
      <c r="A79">
        <v>21600</v>
      </c>
      <c r="B79" s="10">
        <f t="shared" si="11"/>
        <v>4.9936100029518311</v>
      </c>
      <c r="C79" s="10">
        <f>180+ATAN(TAN(A79*2*PI()/86164)*COS(5*PI()/180))*180/PI()</f>
        <v>90.247448265429668</v>
      </c>
      <c r="D79" s="10">
        <f t="shared" si="13"/>
        <v>90.246506661714875</v>
      </c>
      <c r="E79" s="10">
        <f t="shared" si="14"/>
        <v>9.4160371479290461E-4</v>
      </c>
    </row>
    <row r="80" spans="1:5" x14ac:dyDescent="0.35">
      <c r="A80">
        <v>25200</v>
      </c>
      <c r="B80" s="10">
        <f t="shared" si="11"/>
        <v>4.8169534194408454</v>
      </c>
      <c r="C80" s="10">
        <f t="shared" ref="C80:C90" si="15">180+ATAN(TAN(A80*2*PI()/86164)*COS(5*PI()/180))*180/PI()</f>
        <v>105.34324005297988</v>
      </c>
      <c r="D80" s="10">
        <f t="shared" si="13"/>
        <v>105.28759110533402</v>
      </c>
      <c r="E80" s="10">
        <f t="shared" si="14"/>
        <v>5.56489476458637E-2</v>
      </c>
    </row>
    <row r="81" spans="1:5" x14ac:dyDescent="0.35">
      <c r="A81">
        <v>28800</v>
      </c>
      <c r="B81" s="10">
        <f t="shared" si="11"/>
        <v>4.3102390864852511</v>
      </c>
      <c r="C81" s="10">
        <f t="shared" si="15"/>
        <v>120.42397354022003</v>
      </c>
      <c r="D81" s="10">
        <f t="shared" si="13"/>
        <v>120.32867554895316</v>
      </c>
      <c r="E81" s="10">
        <f t="shared" si="14"/>
        <v>9.5297991266875215E-2</v>
      </c>
    </row>
    <row r="82" spans="1:5" x14ac:dyDescent="0.35">
      <c r="A82">
        <v>32400</v>
      </c>
      <c r="B82" s="10">
        <f t="shared" si="11"/>
        <v>3.5081870808189604</v>
      </c>
      <c r="C82" s="10">
        <f t="shared" si="15"/>
        <v>135.47896975602211</v>
      </c>
      <c r="D82" s="10">
        <f t="shared" si="13"/>
        <v>135.36975999257231</v>
      </c>
      <c r="E82" s="10">
        <f t="shared" si="14"/>
        <v>0.10920976344979749</v>
      </c>
    </row>
    <row r="83" spans="1:5" x14ac:dyDescent="0.35">
      <c r="A83">
        <v>36000</v>
      </c>
      <c r="B83" s="10">
        <f t="shared" si="11"/>
        <v>2.4657540227114025</v>
      </c>
      <c r="C83" s="10">
        <f t="shared" si="15"/>
        <v>150.50454869624065</v>
      </c>
      <c r="D83" s="10">
        <f t="shared" si="13"/>
        <v>150.41084443619144</v>
      </c>
      <c r="E83" s="10">
        <f t="shared" si="14"/>
        <v>9.3704260049207733E-2</v>
      </c>
    </row>
    <row r="84" spans="1:5" x14ac:dyDescent="0.35">
      <c r="A84">
        <v>39600</v>
      </c>
      <c r="B84" s="10">
        <f t="shared" si="11"/>
        <v>1.2543674471927144</v>
      </c>
      <c r="C84" s="10">
        <f t="shared" si="15"/>
        <v>165.50495248405588</v>
      </c>
      <c r="D84" s="10">
        <f t="shared" si="13"/>
        <v>165.45192887981059</v>
      </c>
      <c r="E84" s="10">
        <f t="shared" si="14"/>
        <v>5.3023604245282741E-2</v>
      </c>
    </row>
    <row r="85" spans="1:5" x14ac:dyDescent="0.35">
      <c r="A85">
        <v>43200</v>
      </c>
      <c r="B85" s="10">
        <f t="shared" si="11"/>
        <v>-4.2968412146343483E-2</v>
      </c>
      <c r="C85" s="10">
        <f t="shared" si="15"/>
        <v>180.49113735096381</v>
      </c>
      <c r="D85" s="10">
        <f t="shared" si="13"/>
        <v>180.49301332342975</v>
      </c>
      <c r="E85" s="10">
        <f t="shared" si="14"/>
        <v>-1.8759724659389576E-3</v>
      </c>
    </row>
    <row r="86" spans="1:5" x14ac:dyDescent="0.35">
      <c r="A86">
        <v>46800</v>
      </c>
      <c r="B86" s="10">
        <f t="shared" si="11"/>
        <v>-1.337360074982896</v>
      </c>
      <c r="C86" s="10">
        <f t="shared" si="15"/>
        <v>195.47782495354903</v>
      </c>
      <c r="D86" s="10">
        <f t="shared" si="13"/>
        <v>195.53409776704888</v>
      </c>
      <c r="E86" s="10">
        <f t="shared" si="14"/>
        <v>-5.6272813499845142E-2</v>
      </c>
    </row>
    <row r="87" spans="1:5" x14ac:dyDescent="0.35">
      <c r="A87">
        <v>50400</v>
      </c>
      <c r="B87" s="10">
        <f t="shared" si="11"/>
        <v>-2.5401157974002522</v>
      </c>
      <c r="C87" s="10">
        <f t="shared" si="15"/>
        <v>210.47960414343285</v>
      </c>
      <c r="D87" s="10">
        <f t="shared" si="13"/>
        <v>210.57518221066803</v>
      </c>
      <c r="E87" s="10">
        <f t="shared" si="14"/>
        <v>-9.5578067235180697E-2</v>
      </c>
    </row>
    <row r="88" spans="1:5" x14ac:dyDescent="0.35">
      <c r="A88">
        <v>54000</v>
      </c>
      <c r="B88" s="10">
        <f t="shared" si="11"/>
        <v>-3.5688227320433787</v>
      </c>
      <c r="C88" s="10">
        <f t="shared" si="15"/>
        <v>225.50706589903962</v>
      </c>
      <c r="D88" s="10">
        <f t="shared" si="13"/>
        <v>225.61626665428716</v>
      </c>
      <c r="E88" s="10">
        <f t="shared" si="14"/>
        <v>-0.10920075524754225</v>
      </c>
    </row>
    <row r="89" spans="1:5" x14ac:dyDescent="0.35">
      <c r="A89">
        <v>57600</v>
      </c>
      <c r="B89" s="10">
        <f t="shared" si="11"/>
        <v>-4.3529938581501364</v>
      </c>
      <c r="C89" s="10">
        <f t="shared" si="15"/>
        <v>240.56394777394331</v>
      </c>
      <c r="D89" s="10">
        <f t="shared" si="13"/>
        <v>240.65735109790631</v>
      </c>
      <c r="E89" s="10">
        <f t="shared" si="14"/>
        <v>-9.3403323963002549E-2</v>
      </c>
    </row>
    <row r="90" spans="1:5" x14ac:dyDescent="0.35">
      <c r="A90">
        <v>61200</v>
      </c>
      <c r="B90" s="10">
        <f t="shared" si="11"/>
        <v>-4.8388977536939723</v>
      </c>
      <c r="C90" s="10">
        <f t="shared" si="15"/>
        <v>255.64605913158033</v>
      </c>
      <c r="D90" s="10">
        <f t="shared" si="13"/>
        <v>255.69843554152547</v>
      </c>
      <c r="E90" s="10">
        <f t="shared" si="14"/>
        <v>-5.2376409945139812E-2</v>
      </c>
    </row>
    <row r="91" spans="1:5" x14ac:dyDescent="0.35">
      <c r="A91">
        <v>64800</v>
      </c>
      <c r="B91" s="10">
        <f t="shared" si="11"/>
        <v>-4.9932402735493984</v>
      </c>
      <c r="C91" s="10">
        <f>360+ATAN(TAN(A91*2*PI()/86164)*COS(5*PI()/180))*180/PI()</f>
        <v>270.74234451582731</v>
      </c>
      <c r="D91" s="10">
        <f t="shared" si="13"/>
        <v>270.73951998514463</v>
      </c>
      <c r="E91" s="10">
        <f t="shared" si="14"/>
        <v>2.8245306826875094E-3</v>
      </c>
    </row>
    <row r="92" spans="1:5" x14ac:dyDescent="0.35">
      <c r="A92">
        <v>68400</v>
      </c>
      <c r="B92" s="10">
        <f t="shared" si="11"/>
        <v>-4.8054458650150966</v>
      </c>
      <c r="C92" s="10">
        <f t="shared" ref="C92:C97" si="16">360+ATAN(TAN(A92*2*PI()/86164)*COS(5*PI()/180))*180/PI()</f>
        <v>285.83786504397892</v>
      </c>
      <c r="D92" s="10">
        <f t="shared" si="13"/>
        <v>285.78060442876375</v>
      </c>
      <c r="E92" s="10">
        <f t="shared" si="14"/>
        <v>5.7260615215170674E-2</v>
      </c>
    </row>
    <row r="93" spans="1:5" x14ac:dyDescent="0.35">
      <c r="A93">
        <v>72000</v>
      </c>
      <c r="B93" s="10">
        <f t="shared" si="11"/>
        <v>-4.2883822049070721</v>
      </c>
      <c r="C93" s="10">
        <f t="shared" si="16"/>
        <v>300.91789188151074</v>
      </c>
      <c r="D93" s="10">
        <f t="shared" si="13"/>
        <v>300.82168887238288</v>
      </c>
      <c r="E93" s="10">
        <f t="shared" si="14"/>
        <v>9.620300912786206E-2</v>
      </c>
    </row>
    <row r="94" spans="1:5" x14ac:dyDescent="0.35">
      <c r="A94">
        <v>75600</v>
      </c>
      <c r="B94" s="10">
        <f t="shared" si="11"/>
        <v>-3.4774785060730302</v>
      </c>
      <c r="C94" s="10">
        <f t="shared" si="16"/>
        <v>315.97193906950633</v>
      </c>
      <c r="D94" s="10">
        <f t="shared" si="13"/>
        <v>315.86277331600206</v>
      </c>
      <c r="E94" s="10">
        <f t="shared" si="14"/>
        <v>0.10916575350427138</v>
      </c>
    </row>
    <row r="95" spans="1:5" x14ac:dyDescent="0.35">
      <c r="A95">
        <v>79200</v>
      </c>
      <c r="B95" s="10">
        <f t="shared" si="11"/>
        <v>-2.4282979069841204</v>
      </c>
      <c r="C95" s="10">
        <f t="shared" si="16"/>
        <v>330.99658346986575</v>
      </c>
      <c r="D95" s="10">
        <f t="shared" si="13"/>
        <v>330.90385775962119</v>
      </c>
      <c r="E95" s="10">
        <f t="shared" si="14"/>
        <v>9.2725710244565107E-2</v>
      </c>
    </row>
    <row r="96" spans="1:5" x14ac:dyDescent="0.35">
      <c r="A96">
        <v>82800</v>
      </c>
      <c r="B96" s="10">
        <f t="shared" si="11"/>
        <v>-1.212730284320197</v>
      </c>
      <c r="C96" s="10">
        <f t="shared" si="16"/>
        <v>345.99631752440553</v>
      </c>
      <c r="D96" s="10">
        <f t="shared" si="13"/>
        <v>345.94494220324032</v>
      </c>
      <c r="E96" s="10">
        <f t="shared" si="14"/>
        <v>5.1375321165210153E-2</v>
      </c>
    </row>
    <row r="97" spans="1:5" x14ac:dyDescent="0.35">
      <c r="A97">
        <v>86400</v>
      </c>
      <c r="B97" s="10">
        <f t="shared" si="11"/>
        <v>8.5933642889786679E-2</v>
      </c>
      <c r="C97" s="10">
        <f t="shared" si="16"/>
        <v>360.98227525434271</v>
      </c>
      <c r="D97" s="10">
        <f t="shared" si="13"/>
        <v>360.9860266468595</v>
      </c>
      <c r="E97" s="10">
        <f t="shared" si="14"/>
        <v>-3.7513925167900197E-3</v>
      </c>
    </row>
    <row r="101" spans="1:5" x14ac:dyDescent="0.35">
      <c r="A101" t="s">
        <v>150</v>
      </c>
      <c r="B101" s="24">
        <v>1</v>
      </c>
      <c r="C101" s="24">
        <v>1</v>
      </c>
    </row>
    <row r="102" spans="1:5" x14ac:dyDescent="0.35">
      <c r="A102" s="23" t="s">
        <v>149</v>
      </c>
      <c r="B102" s="25">
        <v>42744</v>
      </c>
      <c r="C102" s="25">
        <v>39814</v>
      </c>
    </row>
    <row r="103" spans="1:5" x14ac:dyDescent="0.35">
      <c r="A103" t="s">
        <v>155</v>
      </c>
      <c r="B103">
        <v>8.7175429999999998E-2</v>
      </c>
      <c r="C103">
        <v>0</v>
      </c>
    </row>
    <row r="104" spans="1:5" x14ac:dyDescent="0.35">
      <c r="A104" t="s">
        <v>152</v>
      </c>
      <c r="B104" s="27">
        <f>B102-B101</f>
        <v>42743</v>
      </c>
      <c r="C104" s="27">
        <f>C102-C101</f>
        <v>39813</v>
      </c>
    </row>
    <row r="105" spans="1:5" x14ac:dyDescent="0.35">
      <c r="A105" t="s">
        <v>156</v>
      </c>
      <c r="B105" s="26">
        <f>B104/36525</f>
        <v>1.1702395619438741</v>
      </c>
      <c r="C105" s="26">
        <f>C104/36525</f>
        <v>1.0900205338809035</v>
      </c>
    </row>
    <row r="106" spans="1:5" x14ac:dyDescent="0.35">
      <c r="A106" t="s">
        <v>151</v>
      </c>
      <c r="B106" s="28">
        <f>99.6909833+36000.7689*B105+0.00038708*B105^2</f>
        <v>42229.215540569479</v>
      </c>
      <c r="C106" s="28">
        <f>99.6909833+36000.7689*C105+0.00038708*C105^2</f>
        <v>39341.268779708109</v>
      </c>
      <c r="D106" s="28"/>
    </row>
    <row r="107" spans="1:5" x14ac:dyDescent="0.35">
      <c r="A107" t="s">
        <v>157</v>
      </c>
      <c r="B107" s="28">
        <f>MOD(B106+360.9856463*B103,360)</f>
        <v>140.68461950951314</v>
      </c>
      <c r="C107" s="28">
        <f>MOD(C106+360.9856463*C103,360)</f>
        <v>101.26877970810892</v>
      </c>
      <c r="D107" s="28"/>
    </row>
    <row r="108" spans="1:5" x14ac:dyDescent="0.35">
      <c r="A108" t="s">
        <v>154</v>
      </c>
      <c r="B108">
        <v>169.81010000000001</v>
      </c>
      <c r="C108">
        <v>169.81010000000001</v>
      </c>
      <c r="D108" s="28"/>
    </row>
    <row r="109" spans="1:5" x14ac:dyDescent="0.35">
      <c r="A109" t="s">
        <v>158</v>
      </c>
      <c r="B109" s="28">
        <v>105.9037</v>
      </c>
      <c r="C109" s="28"/>
      <c r="D109" s="28"/>
    </row>
    <row r="110" spans="1:5" x14ac:dyDescent="0.35">
      <c r="A110" t="s">
        <v>153</v>
      </c>
      <c r="B110">
        <v>266.45589999999999</v>
      </c>
      <c r="C110">
        <v>266.45589999999999</v>
      </c>
    </row>
    <row r="111" spans="1:5" x14ac:dyDescent="0.35">
      <c r="A111" t="s">
        <v>15</v>
      </c>
      <c r="B111" s="10">
        <f>MOD(B110+B108+B109-B106,360)</f>
        <v>72.954159430519212</v>
      </c>
      <c r="C111" s="10">
        <f>MOD(C110+C108-C106,360)</f>
        <v>334.99722029189434</v>
      </c>
    </row>
    <row r="112" spans="1:5" x14ac:dyDescent="0.35">
      <c r="B112" s="10"/>
      <c r="C112" s="10"/>
    </row>
    <row r="113" spans="1:4" x14ac:dyDescent="0.35">
      <c r="B113" t="s">
        <v>162</v>
      </c>
      <c r="C113" t="s">
        <v>137</v>
      </c>
      <c r="D113" t="s">
        <v>163</v>
      </c>
    </row>
    <row r="114" spans="1:4" x14ac:dyDescent="0.35">
      <c r="A114" t="s">
        <v>150</v>
      </c>
      <c r="B114" s="24">
        <v>1</v>
      </c>
      <c r="C114" s="24">
        <v>1</v>
      </c>
      <c r="D114" s="23">
        <v>36526</v>
      </c>
    </row>
    <row r="115" spans="1:4" x14ac:dyDescent="0.35">
      <c r="A115" t="s">
        <v>159</v>
      </c>
      <c r="B115" s="24">
        <v>42736</v>
      </c>
      <c r="C115" s="24">
        <v>42736</v>
      </c>
      <c r="D115" s="23">
        <v>42736</v>
      </c>
    </row>
    <row r="116" spans="1:4" x14ac:dyDescent="0.35">
      <c r="A116" t="s">
        <v>160</v>
      </c>
      <c r="B116" s="29">
        <v>9</v>
      </c>
      <c r="C116" s="29">
        <v>48</v>
      </c>
      <c r="D116">
        <v>48</v>
      </c>
    </row>
    <row r="117" spans="1:4" x14ac:dyDescent="0.35">
      <c r="A117" t="s">
        <v>161</v>
      </c>
      <c r="B117">
        <v>8.7175429999999998E-2</v>
      </c>
      <c r="C117">
        <v>0.45107807999999999</v>
      </c>
      <c r="D117">
        <f>C117</f>
        <v>0.45107807999999999</v>
      </c>
    </row>
    <row r="118" spans="1:4" x14ac:dyDescent="0.35">
      <c r="A118" t="s">
        <v>152</v>
      </c>
      <c r="B118" s="27">
        <f>B115-B114+B116-1.5</f>
        <v>42742.5</v>
      </c>
      <c r="C118" s="27">
        <f>C115-C114+C116-1.5</f>
        <v>42781.5</v>
      </c>
      <c r="D118" s="27">
        <f>D115-D114+D116-1.5</f>
        <v>6256.5</v>
      </c>
    </row>
    <row r="119" spans="1:4" x14ac:dyDescent="0.35">
      <c r="A119" t="s">
        <v>156</v>
      </c>
      <c r="B119" s="26">
        <f>B118/36525</f>
        <v>1.1702258726899384</v>
      </c>
      <c r="C119" s="26">
        <f>C118/36525</f>
        <v>1.1712936344969198</v>
      </c>
      <c r="D119" s="26">
        <f>D118/36525</f>
        <v>0.17129363449691992</v>
      </c>
    </row>
    <row r="120" spans="1:4" x14ac:dyDescent="0.35">
      <c r="A120" t="s">
        <v>151</v>
      </c>
      <c r="B120" s="28">
        <f>99.6909833+36000.7689*B119+0.00038708*B119^2</f>
        <v>42228.722716889715</v>
      </c>
      <c r="C120" s="28">
        <f>99.6909833+36000.7689*C119+0.00038708*C119^2</f>
        <v>42267.16296391088</v>
      </c>
      <c r="D120" s="10">
        <f>MOD((24110.54841+8640184.812866*D119+0.09331*D119^2-0.0000062*D119^3)/240,360)</f>
        <v>147.16337695305083</v>
      </c>
    </row>
    <row r="121" spans="1:4" x14ac:dyDescent="0.35">
      <c r="A121" t="s">
        <v>157</v>
      </c>
      <c r="B121" s="28">
        <f>MOD(B120+360.9856463*B117,360)</f>
        <v>140.19179582974903</v>
      </c>
      <c r="C121" s="28">
        <f>MOD(C120+360.9856463*C117,360)</f>
        <v>309.99567615144042</v>
      </c>
      <c r="D121">
        <f>MOD(D120+D117*360.9856463,360)</f>
        <v>309.9960891936139</v>
      </c>
    </row>
    <row r="122" spans="1:4" x14ac:dyDescent="0.35">
      <c r="A122" t="s">
        <v>154</v>
      </c>
      <c r="B122">
        <v>169.81010000000001</v>
      </c>
      <c r="C122">
        <v>136.642</v>
      </c>
      <c r="D122">
        <f>C122</f>
        <v>136.642</v>
      </c>
    </row>
    <row r="123" spans="1:4" x14ac:dyDescent="0.35">
      <c r="A123" t="s">
        <v>158</v>
      </c>
      <c r="B123" s="26">
        <v>105.9037</v>
      </c>
      <c r="C123" s="26">
        <v>193.15209999999999</v>
      </c>
      <c r="D123">
        <f>C123</f>
        <v>193.15209999999999</v>
      </c>
    </row>
    <row r="124" spans="1:4" x14ac:dyDescent="0.35">
      <c r="A124" t="s">
        <v>153</v>
      </c>
      <c r="B124">
        <v>266.45589999999999</v>
      </c>
      <c r="C124">
        <v>30.1937</v>
      </c>
      <c r="D124">
        <f>C124</f>
        <v>30.1937</v>
      </c>
    </row>
    <row r="125" spans="1:4" x14ac:dyDescent="0.35">
      <c r="A125" t="s">
        <v>164</v>
      </c>
      <c r="B125">
        <v>5.0799999999999998E-2</v>
      </c>
      <c r="C125">
        <v>8.5000000000000006E-3</v>
      </c>
      <c r="D125">
        <f>C125</f>
        <v>8.5000000000000006E-3</v>
      </c>
    </row>
    <row r="126" spans="1:4" x14ac:dyDescent="0.35">
      <c r="A126" t="s">
        <v>15</v>
      </c>
      <c r="B126">
        <f>MOD(B124+B122+B123-B121,360)</f>
        <v>41.977904170250895</v>
      </c>
      <c r="C126" s="10">
        <f>MOD(C124+C122+C123-C121,360)</f>
        <v>49.992123848559572</v>
      </c>
      <c r="D126">
        <f>MOD(D124+D123+D122-D121,360)</f>
        <v>49.991710806386095</v>
      </c>
    </row>
    <row r="127" spans="1:4" x14ac:dyDescent="0.35">
      <c r="A127" t="s">
        <v>165</v>
      </c>
      <c r="B127">
        <f>B122-B121+(180/PI())*ATAN(TAN((B124+B123)*PI()/180)*COS(B125*PI()/180))</f>
        <v>41.977899461570701</v>
      </c>
      <c r="C127">
        <f>C122-C121+(180/PI())*ATAN(TAN((C124+C123)*PI()/180)*COS(C125*PI()/180))</f>
        <v>-130.0078764661651</v>
      </c>
    </row>
    <row r="130" spans="1:5" s="19" customFormat="1" x14ac:dyDescent="0.35">
      <c r="A130" s="19" t="s">
        <v>182</v>
      </c>
      <c r="B130" s="19" t="s">
        <v>301</v>
      </c>
      <c r="C130" s="19" t="s">
        <v>302</v>
      </c>
      <c r="D130" s="19" t="s">
        <v>298</v>
      </c>
      <c r="E130" s="19" t="s">
        <v>299</v>
      </c>
    </row>
    <row r="131" spans="1:5" x14ac:dyDescent="0.35">
      <c r="A131" t="s">
        <v>183</v>
      </c>
      <c r="B131">
        <v>14.726148682</v>
      </c>
      <c r="C131">
        <v>1.00269619</v>
      </c>
      <c r="D131">
        <v>1.0027316900000001</v>
      </c>
      <c r="E131">
        <v>14.661466580000001</v>
      </c>
    </row>
    <row r="132" spans="1:5" x14ac:dyDescent="0.35">
      <c r="A132" t="s">
        <v>184</v>
      </c>
      <c r="B132" s="14">
        <f t="shared" ref="B132:C132" si="17">86400/B131</f>
        <v>5867.1144686735415</v>
      </c>
      <c r="C132" s="14">
        <f t="shared" si="17"/>
        <v>86167.675574791996</v>
      </c>
      <c r="D132" s="14">
        <f>86400/D131</f>
        <v>86164.624955654886</v>
      </c>
      <c r="E132" s="14">
        <f>86400/E131</f>
        <v>5892.9984615495396</v>
      </c>
    </row>
    <row r="133" spans="1:5" x14ac:dyDescent="0.35">
      <c r="A133" t="s">
        <v>185</v>
      </c>
      <c r="B133" s="3">
        <f t="shared" ref="B133:C133" si="18">B132/60</f>
        <v>97.785241144559023</v>
      </c>
      <c r="C133" s="3">
        <f t="shared" si="18"/>
        <v>1436.1279262465332</v>
      </c>
      <c r="D133" s="3">
        <f>D132/60</f>
        <v>1436.0770825942482</v>
      </c>
      <c r="E133" s="3">
        <f>E132/60</f>
        <v>98.216641025825666</v>
      </c>
    </row>
    <row r="134" spans="1:5" x14ac:dyDescent="0.35">
      <c r="A134" t="s">
        <v>300</v>
      </c>
      <c r="B134" s="3">
        <f>B133/60</f>
        <v>1.6297540190759838</v>
      </c>
      <c r="C134" s="3">
        <f>C133/60</f>
        <v>23.935465437442222</v>
      </c>
      <c r="D134" s="3">
        <f t="shared" ref="D134:E134" si="19">D133/60</f>
        <v>23.934618043237471</v>
      </c>
      <c r="E134" s="3">
        <f t="shared" si="19"/>
        <v>1.6369440170970944</v>
      </c>
    </row>
    <row r="135" spans="1:5" x14ac:dyDescent="0.35">
      <c r="A135" t="s">
        <v>297</v>
      </c>
      <c r="B135" s="14">
        <f>((B132/(2*PI()))^2*398600.4418)^(1/3)</f>
        <v>7030.8697739351155</v>
      </c>
      <c r="C135" s="14">
        <f>((C132/(2*PI()))^2*398600.4418)^(1/3)</f>
        <v>42165.339180549374</v>
      </c>
      <c r="D135" s="14">
        <f>((D132/(2*PI()))^2*398600.4418)^(1/3)</f>
        <v>42164.343980212579</v>
      </c>
      <c r="E135" s="14">
        <f>((E132/(2*PI()))^2*398600.4418)^(1/3)</f>
        <v>7051.5333594834601</v>
      </c>
    </row>
    <row r="136" spans="1:5" x14ac:dyDescent="0.35">
      <c r="A136" t="s">
        <v>68</v>
      </c>
      <c r="B136" s="14">
        <f>B135-6378</f>
        <v>652.86977393511552</v>
      </c>
      <c r="C136" s="14">
        <f>C135-6378</f>
        <v>35787.339180549374</v>
      </c>
      <c r="D136" s="14">
        <f>D135-6378</f>
        <v>35786.343980212579</v>
      </c>
      <c r="E136" s="14">
        <f>E135-6378</f>
        <v>673.53335948346012</v>
      </c>
    </row>
    <row r="137" spans="1:5" x14ac:dyDescent="0.35">
      <c r="A137" t="s">
        <v>186</v>
      </c>
      <c r="B137" s="2">
        <f>B132/86164*360</f>
        <v>24.513267823249556</v>
      </c>
      <c r="C137" s="2">
        <f>C132/86164*360</f>
        <v>360.01535684189588</v>
      </c>
      <c r="D137" s="2">
        <f>D132/86164*360</f>
        <v>360.00261111410515</v>
      </c>
      <c r="E137" s="2">
        <f>E132/86164*360</f>
        <v>24.621413190634538</v>
      </c>
    </row>
    <row r="139" spans="1:5" x14ac:dyDescent="0.35">
      <c r="A139" t="s">
        <v>190</v>
      </c>
      <c r="B139">
        <v>6</v>
      </c>
    </row>
    <row r="140" spans="1:5" x14ac:dyDescent="0.35">
      <c r="A140" t="s">
        <v>187</v>
      </c>
      <c r="B140">
        <f>6378+35943</f>
        <v>42321</v>
      </c>
    </row>
    <row r="141" spans="1:5" x14ac:dyDescent="0.35">
      <c r="A141" t="s">
        <v>188</v>
      </c>
      <c r="B141">
        <f>250+6378</f>
        <v>6628</v>
      </c>
    </row>
    <row r="142" spans="1:5" x14ac:dyDescent="0.35">
      <c r="A142" t="s">
        <v>0</v>
      </c>
      <c r="B142">
        <f>(B140+B141)/2</f>
        <v>24474.5</v>
      </c>
    </row>
    <row r="143" spans="1:5" x14ac:dyDescent="0.35">
      <c r="A143" t="s">
        <v>34</v>
      </c>
      <c r="B143" s="3">
        <f>1000*SQRT(398600.4418*(2/B140-1/B142))</f>
        <v>1597.0748222382101</v>
      </c>
      <c r="C143" t="s">
        <v>35</v>
      </c>
    </row>
    <row r="144" spans="1:5" x14ac:dyDescent="0.35">
      <c r="A144" t="s">
        <v>189</v>
      </c>
      <c r="B144" s="3">
        <f>1000*SQRT(398600.4418/42164)</f>
        <v>3074.6662841276843</v>
      </c>
      <c r="C144" t="s">
        <v>35</v>
      </c>
    </row>
    <row r="145" spans="1:3" x14ac:dyDescent="0.35">
      <c r="A145" t="s">
        <v>41</v>
      </c>
      <c r="B145" s="3">
        <f>B144-B143</f>
        <v>1477.5914618894742</v>
      </c>
      <c r="C145" t="s">
        <v>35</v>
      </c>
    </row>
    <row r="146" spans="1:3" x14ac:dyDescent="0.35">
      <c r="A146" t="s">
        <v>42</v>
      </c>
      <c r="B146" s="3">
        <f>SQRT(B144^2+B143^2-2*B144*B143*COS(B139*PI()/180))</f>
        <v>1495.6860259623459</v>
      </c>
      <c r="C146" t="s">
        <v>35</v>
      </c>
    </row>
    <row r="147" spans="1:3" x14ac:dyDescent="0.35">
      <c r="A147" t="s">
        <v>44</v>
      </c>
      <c r="B147" s="2">
        <f>B144*0.00171*365/3/361</f>
        <v>1.7719787269051654</v>
      </c>
      <c r="C147" t="s">
        <v>35</v>
      </c>
    </row>
    <row r="148" spans="1:3" x14ac:dyDescent="0.35">
      <c r="A148" t="s">
        <v>42</v>
      </c>
      <c r="B148" s="2">
        <f>B144*0.85*PI()/180</f>
        <v>45.613592549374424</v>
      </c>
      <c r="C148" t="s">
        <v>35</v>
      </c>
    </row>
    <row r="149" spans="1:3" x14ac:dyDescent="0.35">
      <c r="A149" t="s">
        <v>191</v>
      </c>
      <c r="B149">
        <v>350</v>
      </c>
      <c r="C149" t="s">
        <v>1</v>
      </c>
    </row>
    <row r="150" spans="1:3" x14ac:dyDescent="0.35">
      <c r="A150" t="s">
        <v>187</v>
      </c>
      <c r="B150">
        <f>42164+B149</f>
        <v>42514</v>
      </c>
    </row>
    <row r="151" spans="1:3" x14ac:dyDescent="0.35">
      <c r="A151" t="s">
        <v>188</v>
      </c>
      <c r="B151">
        <f>42164</f>
        <v>42164</v>
      </c>
    </row>
    <row r="152" spans="1:3" x14ac:dyDescent="0.35">
      <c r="A152" t="s">
        <v>0</v>
      </c>
      <c r="B152">
        <f>(B151+B150)/2</f>
        <v>42339</v>
      </c>
    </row>
    <row r="153" spans="1:3" x14ac:dyDescent="0.35">
      <c r="A153" t="s">
        <v>34</v>
      </c>
      <c r="B153" s="2">
        <f>1000*SQRT(398600.4418*(2/B150-1/B152))</f>
        <v>3055.6492973539116</v>
      </c>
    </row>
    <row r="154" spans="1:3" x14ac:dyDescent="0.35">
      <c r="A154" t="s">
        <v>33</v>
      </c>
      <c r="B154" s="2">
        <f>1000*SQRT(398600.4418*(2/B151-1/B152))</f>
        <v>3081.0139983802342</v>
      </c>
    </row>
    <row r="155" spans="1:3" x14ac:dyDescent="0.35">
      <c r="A155" t="s">
        <v>192</v>
      </c>
      <c r="B155" s="2">
        <f>1000*SQRT(398600.4418/B150)</f>
        <v>3061.9839065308279</v>
      </c>
    </row>
    <row r="156" spans="1:3" x14ac:dyDescent="0.35">
      <c r="A156" t="s">
        <v>193</v>
      </c>
      <c r="B156" s="2">
        <f>B155-B153+B154-B144</f>
        <v>12.682323429466123</v>
      </c>
    </row>
    <row r="158" spans="1:3" x14ac:dyDescent="0.35">
      <c r="A158" t="s">
        <v>41</v>
      </c>
      <c r="B158">
        <v>10</v>
      </c>
      <c r="C158" t="s">
        <v>35</v>
      </c>
    </row>
    <row r="159" spans="1:3" x14ac:dyDescent="0.35">
      <c r="A159" t="s">
        <v>32</v>
      </c>
      <c r="B159">
        <f>(2/42164-(3.0747+B158/1000)^2/398600)^-1</f>
        <v>42441.502382409082</v>
      </c>
      <c r="C159">
        <f>(3.0747+B158/1000)</f>
        <v>3.0846999999999998</v>
      </c>
    </row>
    <row r="160" spans="1:3" x14ac:dyDescent="0.35">
      <c r="A160" t="s">
        <v>250</v>
      </c>
      <c r="B160">
        <f>B159-42164</f>
        <v>277.5023824090822</v>
      </c>
    </row>
    <row r="161" spans="1:3" x14ac:dyDescent="0.35">
      <c r="A161" t="s">
        <v>223</v>
      </c>
      <c r="B161">
        <f>1500*(1-EXP(-B158/3000))</f>
        <v>4.9916759182150887</v>
      </c>
      <c r="C161" t="s">
        <v>225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8666-772F-4C20-B68A-9D94699452B9}">
  <dimension ref="A1:M14"/>
  <sheetViews>
    <sheetView tabSelected="1" zoomScaleNormal="100" workbookViewId="0">
      <selection activeCell="E12" sqref="E12"/>
    </sheetView>
  </sheetViews>
  <sheetFormatPr defaultRowHeight="15.5" x14ac:dyDescent="0.35"/>
  <cols>
    <col min="1" max="1" width="9.25" bestFit="1" customWidth="1"/>
    <col min="2" max="2" width="8.75" bestFit="1" customWidth="1"/>
    <col min="3" max="3" width="5.08203125" bestFit="1" customWidth="1"/>
    <col min="4" max="4" width="10.9140625" bestFit="1" customWidth="1"/>
    <col min="5" max="5" width="8.75" bestFit="1" customWidth="1"/>
    <col min="6" max="6" width="5.4140625" bestFit="1" customWidth="1"/>
    <col min="7" max="7" width="5.4140625" customWidth="1"/>
    <col min="8" max="8" width="8.4140625" bestFit="1" customWidth="1"/>
    <col min="9" max="9" width="5.25" bestFit="1" customWidth="1"/>
    <col min="10" max="10" width="8" bestFit="1" customWidth="1"/>
    <col min="11" max="11" width="10.9140625" bestFit="1" customWidth="1"/>
    <col min="12" max="12" width="6.25" bestFit="1" customWidth="1"/>
    <col min="13" max="13" width="8" bestFit="1" customWidth="1"/>
  </cols>
  <sheetData>
    <row r="1" spans="1:13" x14ac:dyDescent="0.35">
      <c r="A1" s="40" t="s">
        <v>276</v>
      </c>
      <c r="D1" s="40" t="s">
        <v>277</v>
      </c>
      <c r="H1" s="40" t="s">
        <v>85</v>
      </c>
      <c r="K1" s="40" t="s">
        <v>277</v>
      </c>
    </row>
    <row r="2" spans="1:13" x14ac:dyDescent="0.35">
      <c r="A2" s="19" t="s">
        <v>55</v>
      </c>
      <c r="B2" s="19">
        <v>52</v>
      </c>
      <c r="C2" t="s">
        <v>58</v>
      </c>
      <c r="D2" t="s">
        <v>295</v>
      </c>
      <c r="E2" s="3">
        <f>180-ASIN(SIN((B4-B5)*PI()/180)/SQRT(1-(COS((B4-B5)*PI()/180)*COS(B6*PI()/180))^2))*180/PI()</f>
        <v>166.15791973882401</v>
      </c>
      <c r="F2" t="s">
        <v>179</v>
      </c>
      <c r="H2" t="s">
        <v>283</v>
      </c>
      <c r="I2">
        <v>100</v>
      </c>
      <c r="J2" t="s">
        <v>54</v>
      </c>
      <c r="K2" t="s">
        <v>285</v>
      </c>
      <c r="L2" s="2">
        <f>20*LOG(I3*I7)+18.53</f>
        <v>52.816595194904664</v>
      </c>
      <c r="M2" t="s">
        <v>122</v>
      </c>
    </row>
    <row r="3" spans="1:13" x14ac:dyDescent="0.35">
      <c r="A3" t="s">
        <v>271</v>
      </c>
      <c r="B3">
        <v>11</v>
      </c>
      <c r="C3" t="s">
        <v>272</v>
      </c>
      <c r="D3" t="s">
        <v>296</v>
      </c>
      <c r="E3" s="3">
        <f>ATAN2(42164*SQRT(1-(COS((B4-B5)*PI()/180)*COS(B6*PI()/180))^2),(42164*COS((B4-B5)*PI()/180)*COS(B6*PI()/180)-6378))*180/PI()</f>
        <v>42.793542065009952</v>
      </c>
      <c r="F3" t="s">
        <v>179</v>
      </c>
      <c r="H3" t="s">
        <v>271</v>
      </c>
      <c r="I3">
        <v>14</v>
      </c>
      <c r="J3" t="s">
        <v>272</v>
      </c>
      <c r="K3" t="s">
        <v>284</v>
      </c>
      <c r="L3" s="2">
        <f>10*LOG(I2)+L2</f>
        <v>72.816595194904664</v>
      </c>
      <c r="M3" t="s">
        <v>58</v>
      </c>
    </row>
    <row r="4" spans="1:13" x14ac:dyDescent="0.35">
      <c r="A4" t="s">
        <v>273</v>
      </c>
      <c r="B4">
        <v>42</v>
      </c>
      <c r="D4" t="s">
        <v>306</v>
      </c>
      <c r="E4" s="14">
        <f>SQRT(42164^2+6378^2-2*42164*6378*COS((B4-B5)*PI()/180)*COS(B6*PI()/180))</f>
        <v>37570.492957535331</v>
      </c>
      <c r="F4" t="s">
        <v>1</v>
      </c>
      <c r="H4" t="s">
        <v>273</v>
      </c>
      <c r="I4">
        <v>31</v>
      </c>
      <c r="K4" t="s">
        <v>18</v>
      </c>
      <c r="L4" s="14">
        <f>SQRT(42164^2+6378^2-2*42164*6378*COS((I4-I5)*PI()/180)*COS(I6*PI()/180))</f>
        <v>37506.271097121695</v>
      </c>
      <c r="M4" t="s">
        <v>1</v>
      </c>
    </row>
    <row r="5" spans="1:13" x14ac:dyDescent="0.35">
      <c r="A5" t="s">
        <v>274</v>
      </c>
      <c r="B5">
        <v>33</v>
      </c>
      <c r="D5" t="s">
        <v>238</v>
      </c>
      <c r="E5" s="14">
        <f>290*(10^(B8/10)-1)</f>
        <v>75.08836942030851</v>
      </c>
      <c r="F5" t="s">
        <v>61</v>
      </c>
      <c r="H5" t="s">
        <v>281</v>
      </c>
      <c r="I5">
        <v>33</v>
      </c>
      <c r="K5" t="s">
        <v>95</v>
      </c>
      <c r="L5" s="2">
        <f>20*LOG10(L4*I3)+92.5</f>
        <v>206.90463848154641</v>
      </c>
      <c r="M5" t="s">
        <v>57</v>
      </c>
    </row>
    <row r="6" spans="1:13" x14ac:dyDescent="0.35">
      <c r="A6" t="s">
        <v>275</v>
      </c>
      <c r="B6">
        <v>40</v>
      </c>
      <c r="D6" t="s">
        <v>64</v>
      </c>
      <c r="E6" s="2">
        <f>E5+B7</f>
        <v>125</v>
      </c>
      <c r="F6" t="s">
        <v>61</v>
      </c>
      <c r="H6" t="s">
        <v>282</v>
      </c>
      <c r="I6">
        <v>40</v>
      </c>
      <c r="K6" t="s">
        <v>286</v>
      </c>
      <c r="L6" s="2">
        <f>L3-10*LOG10(4*PI()*L4^2*10^6)</f>
        <v>-89.657581213297931</v>
      </c>
      <c r="M6" t="s">
        <v>287</v>
      </c>
    </row>
    <row r="7" spans="1:13" x14ac:dyDescent="0.35">
      <c r="A7" t="s">
        <v>305</v>
      </c>
      <c r="B7" s="14">
        <f>125-E5</f>
        <v>49.91163057969149</v>
      </c>
      <c r="C7" t="s">
        <v>61</v>
      </c>
      <c r="D7" t="s">
        <v>95</v>
      </c>
      <c r="E7" s="2">
        <f>20*LOG(E4*B3)+92.5</f>
        <v>204.82479157160435</v>
      </c>
      <c r="F7" t="s">
        <v>57</v>
      </c>
      <c r="H7" t="s">
        <v>139</v>
      </c>
      <c r="I7" s="3">
        <v>3.7</v>
      </c>
      <c r="J7" t="s">
        <v>52</v>
      </c>
      <c r="K7" t="s">
        <v>289</v>
      </c>
      <c r="L7" s="2">
        <f>L6-I10</f>
        <v>0.34241878670206916</v>
      </c>
      <c r="M7" t="s">
        <v>57</v>
      </c>
    </row>
    <row r="8" spans="1:13" x14ac:dyDescent="0.35">
      <c r="A8" t="s">
        <v>62</v>
      </c>
      <c r="B8">
        <v>1</v>
      </c>
      <c r="D8" t="s">
        <v>66</v>
      </c>
      <c r="E8" s="2">
        <f>(1+B10)*B9</f>
        <v>40.5</v>
      </c>
      <c r="F8" t="s">
        <v>67</v>
      </c>
      <c r="H8" t="s">
        <v>291</v>
      </c>
      <c r="I8">
        <v>10</v>
      </c>
      <c r="J8" t="s">
        <v>89</v>
      </c>
    </row>
    <row r="9" spans="1:13" x14ac:dyDescent="0.35">
      <c r="A9" t="s">
        <v>68</v>
      </c>
      <c r="B9">
        <v>30</v>
      </c>
      <c r="C9" t="s">
        <v>280</v>
      </c>
      <c r="D9" t="s">
        <v>279</v>
      </c>
      <c r="E9" s="2">
        <f>20*LOG(B3*B13)+18.53</f>
        <v>34.920878710837371</v>
      </c>
      <c r="F9" t="s">
        <v>57</v>
      </c>
      <c r="H9" t="s">
        <v>66</v>
      </c>
      <c r="I9" s="2">
        <f>40.5</f>
        <v>40.5</v>
      </c>
      <c r="J9" t="s">
        <v>294</v>
      </c>
      <c r="K9" t="s">
        <v>290</v>
      </c>
      <c r="L9" s="2">
        <f>L3-L5+I8-10*LOG(I9*10^6)+228.6</f>
        <v>28.437406481211582</v>
      </c>
      <c r="M9" t="s">
        <v>57</v>
      </c>
    </row>
    <row r="10" spans="1:13" x14ac:dyDescent="0.35">
      <c r="A10" t="s">
        <v>278</v>
      </c>
      <c r="B10">
        <v>0.35</v>
      </c>
      <c r="D10" t="s">
        <v>65</v>
      </c>
      <c r="E10" s="2">
        <f>B2-E7+E9-10*LOG(E6*E8*10^6)+228.6</f>
        <v>13.652436777005761</v>
      </c>
      <c r="F10" t="s">
        <v>57</v>
      </c>
      <c r="H10" t="s">
        <v>288</v>
      </c>
      <c r="I10">
        <v>-90</v>
      </c>
      <c r="J10" t="s">
        <v>287</v>
      </c>
      <c r="K10" t="s">
        <v>292</v>
      </c>
      <c r="L10" s="2">
        <f>E10</f>
        <v>13.652436777005761</v>
      </c>
      <c r="M10" t="s">
        <v>57</v>
      </c>
    </row>
    <row r="11" spans="1:13" x14ac:dyDescent="0.35">
      <c r="A11" t="s">
        <v>80</v>
      </c>
      <c r="B11">
        <v>2.2281240000000002</v>
      </c>
      <c r="D11" t="s">
        <v>71</v>
      </c>
      <c r="E11" s="2">
        <f>B9*B11</f>
        <v>66.843720000000005</v>
      </c>
      <c r="F11" t="s">
        <v>73</v>
      </c>
      <c r="K11" t="s">
        <v>293</v>
      </c>
      <c r="L11" s="2">
        <f>10*LOG(1/(1/10^(E10/10)+1/10^(L9/10)))</f>
        <v>13.510475485582687</v>
      </c>
      <c r="M11" t="s">
        <v>57</v>
      </c>
    </row>
    <row r="12" spans="1:13" x14ac:dyDescent="0.35">
      <c r="A12" t="s">
        <v>76</v>
      </c>
      <c r="B12">
        <v>7.91</v>
      </c>
      <c r="C12" t="s">
        <v>57</v>
      </c>
      <c r="D12" t="s">
        <v>70</v>
      </c>
      <c r="E12" s="2">
        <f>E10-10*LOG(E11/E8)</f>
        <v>11.476380895784409</v>
      </c>
      <c r="F12" t="s">
        <v>57</v>
      </c>
    </row>
    <row r="13" spans="1:13" x14ac:dyDescent="0.35">
      <c r="A13" s="19" t="s">
        <v>139</v>
      </c>
      <c r="B13" s="19">
        <v>0.6</v>
      </c>
      <c r="C13" t="s">
        <v>52</v>
      </c>
      <c r="D13" t="s">
        <v>77</v>
      </c>
      <c r="E13" s="2">
        <f>E12+10*LOG(B11)</f>
        <v>14.955774461955823</v>
      </c>
      <c r="F13" t="s">
        <v>57</v>
      </c>
    </row>
    <row r="14" spans="1:13" x14ac:dyDescent="0.35">
      <c r="D14" s="19" t="s">
        <v>83</v>
      </c>
      <c r="E14" s="20">
        <f>E13-B12</f>
        <v>7.0457744619558227</v>
      </c>
      <c r="F14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zoomScale="150" zoomScaleNormal="150" zoomScalePageLayoutView="150" workbookViewId="0">
      <selection activeCell="C15" sqref="C15"/>
    </sheetView>
  </sheetViews>
  <sheetFormatPr defaultColWidth="10.6640625" defaultRowHeight="15.5" x14ac:dyDescent="0.35"/>
  <cols>
    <col min="1" max="1" width="14.33203125" style="5" bestFit="1" customWidth="1"/>
    <col min="2" max="2" width="11.5" bestFit="1" customWidth="1"/>
    <col min="3" max="3" width="7.83203125" bestFit="1" customWidth="1"/>
    <col min="4" max="4" width="12.1640625" bestFit="1" customWidth="1"/>
    <col min="5" max="5" width="11.5" style="4" bestFit="1" customWidth="1"/>
    <col min="6" max="6" width="9" style="3" bestFit="1" customWidth="1"/>
    <col min="9" max="9" width="10.83203125" style="10"/>
  </cols>
  <sheetData>
    <row r="1" spans="1:10" x14ac:dyDescent="0.35">
      <c r="A1" s="6" t="s">
        <v>27</v>
      </c>
      <c r="B1" s="11">
        <v>15</v>
      </c>
      <c r="C1" s="7" t="s">
        <v>26</v>
      </c>
      <c r="D1" s="7"/>
      <c r="E1" s="8"/>
      <c r="F1" s="9"/>
    </row>
    <row r="2" spans="1:10" x14ac:dyDescent="0.35">
      <c r="A2" s="6" t="s">
        <v>19</v>
      </c>
      <c r="B2" s="7" t="s">
        <v>20</v>
      </c>
      <c r="C2" s="7" t="s">
        <v>21</v>
      </c>
      <c r="D2" s="7" t="s">
        <v>22</v>
      </c>
      <c r="E2" s="8" t="s">
        <v>23</v>
      </c>
      <c r="F2" s="9" t="s">
        <v>24</v>
      </c>
    </row>
    <row r="3" spans="1:10" x14ac:dyDescent="0.35">
      <c r="A3" s="6"/>
      <c r="B3" s="7"/>
      <c r="C3" s="7"/>
      <c r="D3" s="7"/>
      <c r="E3" s="8"/>
      <c r="F3" s="9">
        <v>4000</v>
      </c>
    </row>
    <row r="4" spans="1:10" x14ac:dyDescent="0.35">
      <c r="A4" s="6" t="s">
        <v>25</v>
      </c>
      <c r="B4" s="7">
        <v>1495.7</v>
      </c>
      <c r="C4" s="7">
        <v>320</v>
      </c>
      <c r="D4" s="7">
        <v>0.99</v>
      </c>
      <c r="E4" s="15">
        <f>F3*(1-EXP(-B4/(9.80665*C4*D4)))</f>
        <v>1528.4184014333034</v>
      </c>
      <c r="F4" s="9">
        <f>F3-E4</f>
        <v>2471.5815985666968</v>
      </c>
    </row>
    <row r="5" spans="1:10" x14ac:dyDescent="0.35">
      <c r="A5" s="6" t="s">
        <v>28</v>
      </c>
      <c r="B5" s="7">
        <f>45.61*B1</f>
        <v>684.15</v>
      </c>
      <c r="C5" s="7">
        <v>292</v>
      </c>
      <c r="D5" s="7">
        <v>0.91</v>
      </c>
      <c r="E5" s="15">
        <f t="shared" ref="E5:E6" si="0">F4*(1-EXP(-B5/(9.80665*C5*D5)))</f>
        <v>570.71162747008941</v>
      </c>
      <c r="F5" s="9">
        <f t="shared" ref="F5:F6" si="1">F4-E5</f>
        <v>1900.8699710966075</v>
      </c>
      <c r="I5"/>
      <c r="J5" s="10"/>
    </row>
    <row r="6" spans="1:10" x14ac:dyDescent="0.35">
      <c r="A6" s="6" t="s">
        <v>29</v>
      </c>
      <c r="B6" s="7">
        <f>1.77*B1</f>
        <v>26.55</v>
      </c>
      <c r="C6" s="7">
        <v>292</v>
      </c>
      <c r="D6" s="7">
        <v>0.91</v>
      </c>
      <c r="E6" s="15">
        <f t="shared" si="0"/>
        <v>19.269100517290731</v>
      </c>
      <c r="F6" s="9">
        <f t="shared" si="1"/>
        <v>1881.6008705793167</v>
      </c>
      <c r="I6"/>
      <c r="J6" s="10"/>
    </row>
    <row r="7" spans="1:10" x14ac:dyDescent="0.35">
      <c r="A7" s="6" t="s">
        <v>194</v>
      </c>
      <c r="B7" s="7">
        <v>12.7</v>
      </c>
      <c r="C7" s="7">
        <v>292</v>
      </c>
      <c r="D7" s="7">
        <v>0.91</v>
      </c>
      <c r="E7" s="15">
        <f t="shared" ref="E7:E8" si="2">F6*(1-EXP(-B7/(9.80665*C7*D7)))</f>
        <v>9.148047821919171</v>
      </c>
      <c r="F7" s="9">
        <f t="shared" ref="F7:F8" si="3">F6-E7</f>
        <v>1872.4528227573976</v>
      </c>
      <c r="I7"/>
      <c r="J7" s="10"/>
    </row>
    <row r="8" spans="1:10" x14ac:dyDescent="0.35">
      <c r="A8" s="6" t="s">
        <v>263</v>
      </c>
      <c r="B8" s="9">
        <f>0.02*SUM(B4:B7)</f>
        <v>44.381999999999998</v>
      </c>
      <c r="C8" s="7">
        <v>292</v>
      </c>
      <c r="D8" s="7">
        <v>0.91</v>
      </c>
      <c r="E8" s="15">
        <f t="shared" si="2"/>
        <v>31.621295810827799</v>
      </c>
      <c r="F8" s="9">
        <f t="shared" si="3"/>
        <v>1840.8315269465697</v>
      </c>
      <c r="I8"/>
      <c r="J8" s="10"/>
    </row>
    <row r="9" spans="1:10" x14ac:dyDescent="0.35">
      <c r="A9" s="6" t="s">
        <v>31</v>
      </c>
      <c r="B9" s="7"/>
      <c r="C9" s="7"/>
      <c r="D9" s="7"/>
      <c r="E9" s="15">
        <f>SUM(E4:E8)</f>
        <v>2159.1684730534303</v>
      </c>
      <c r="F9" s="9"/>
      <c r="G9" s="3"/>
    </row>
    <row r="10" spans="1:10" x14ac:dyDescent="0.35">
      <c r="A10" s="6" t="s">
        <v>30</v>
      </c>
      <c r="B10" s="7"/>
      <c r="C10" s="7"/>
      <c r="D10" s="7"/>
      <c r="E10" s="16">
        <f>F3-E9</f>
        <v>1840.8315269465697</v>
      </c>
      <c r="F10" s="9"/>
    </row>
    <row r="11" spans="1:10" x14ac:dyDescent="0.35">
      <c r="E11" s="4">
        <f>(E23-E9)/E23*100</f>
        <v>-19.776136123274373</v>
      </c>
    </row>
    <row r="13" spans="1:10" x14ac:dyDescent="0.35">
      <c r="A13" s="6" t="s">
        <v>261</v>
      </c>
      <c r="B13" s="11">
        <v>20</v>
      </c>
      <c r="C13" s="7" t="s">
        <v>26</v>
      </c>
      <c r="D13" s="7"/>
      <c r="E13" s="8"/>
      <c r="F13" s="9"/>
    </row>
    <row r="14" spans="1:10" x14ac:dyDescent="0.35">
      <c r="A14" s="6" t="s">
        <v>19</v>
      </c>
      <c r="B14" s="7" t="s">
        <v>20</v>
      </c>
      <c r="C14" s="7" t="s">
        <v>21</v>
      </c>
      <c r="D14" s="7" t="s">
        <v>22</v>
      </c>
      <c r="E14" s="8" t="s">
        <v>23</v>
      </c>
      <c r="F14" s="9" t="s">
        <v>24</v>
      </c>
    </row>
    <row r="15" spans="1:10" x14ac:dyDescent="0.35">
      <c r="A15" s="6"/>
      <c r="B15" s="7"/>
      <c r="C15" s="7"/>
      <c r="D15" s="7"/>
      <c r="E15" s="8"/>
      <c r="F15" s="9">
        <v>3070.9</v>
      </c>
    </row>
    <row r="16" spans="1:10" x14ac:dyDescent="0.35">
      <c r="A16" s="6" t="s">
        <v>25</v>
      </c>
      <c r="B16" s="7">
        <f>570+805.1+112.7+2.5+5.68</f>
        <v>1495.98</v>
      </c>
      <c r="C16" s="7">
        <v>321</v>
      </c>
      <c r="D16" s="7">
        <v>0.99</v>
      </c>
      <c r="E16" s="15">
        <f>F15*(1-EXP(-B16/(9.80665*C16*D16)))</f>
        <v>1170.7277472657827</v>
      </c>
      <c r="F16" s="9">
        <f>F15-E16</f>
        <v>1900.1722527342174</v>
      </c>
    </row>
    <row r="17" spans="1:6" x14ac:dyDescent="0.35">
      <c r="A17" s="6" t="s">
        <v>28</v>
      </c>
      <c r="B17" s="7">
        <v>925.7</v>
      </c>
      <c r="C17" s="7">
        <v>286</v>
      </c>
      <c r="D17" s="7">
        <v>0.91</v>
      </c>
      <c r="E17" s="15">
        <f t="shared" ref="E17:E19" si="4">F16*(1-EXP(-B17/(9.80665*C17*D17)))</f>
        <v>578.03567807083448</v>
      </c>
      <c r="F17" s="9">
        <f t="shared" ref="F17:F19" si="5">F16-E17</f>
        <v>1322.1365746633828</v>
      </c>
    </row>
    <row r="18" spans="1:6" x14ac:dyDescent="0.35">
      <c r="A18" s="6" t="s">
        <v>29</v>
      </c>
      <c r="B18" s="7">
        <v>36.4</v>
      </c>
      <c r="C18" s="7">
        <v>286</v>
      </c>
      <c r="D18" s="7">
        <v>0.91</v>
      </c>
      <c r="E18" s="15">
        <f t="shared" si="4"/>
        <v>18.722178418842208</v>
      </c>
      <c r="F18" s="9">
        <f t="shared" si="5"/>
        <v>1303.4143962445405</v>
      </c>
    </row>
    <row r="19" spans="1:6" x14ac:dyDescent="0.35">
      <c r="A19" s="6" t="s">
        <v>194</v>
      </c>
      <c r="B19" s="7">
        <f>5.68+12.7</f>
        <v>18.38</v>
      </c>
      <c r="C19" s="7">
        <v>286</v>
      </c>
      <c r="D19" s="7">
        <v>0.91</v>
      </c>
      <c r="E19" s="15">
        <f t="shared" si="4"/>
        <v>9.3527018971855984</v>
      </c>
      <c r="F19" s="9">
        <f t="shared" si="5"/>
        <v>1294.0616943473549</v>
      </c>
    </row>
    <row r="20" spans="1:6" x14ac:dyDescent="0.35">
      <c r="A20" s="6" t="s">
        <v>195</v>
      </c>
      <c r="B20" s="7">
        <v>35.270000000000003</v>
      </c>
      <c r="C20" s="7">
        <v>286</v>
      </c>
      <c r="D20" s="7">
        <v>0.91</v>
      </c>
      <c r="E20" s="15">
        <f t="shared" ref="E20" si="6">F19*(1-EXP(-B20/(9.80665*C20*D20)))</f>
        <v>17.759675786996311</v>
      </c>
      <c r="F20" s="9">
        <f t="shared" ref="F20" si="7">F19-E20</f>
        <v>1276.3020185603586</v>
      </c>
    </row>
    <row r="21" spans="1:6" x14ac:dyDescent="0.35">
      <c r="A21" s="6" t="s">
        <v>31</v>
      </c>
      <c r="B21" s="7"/>
      <c r="C21" s="7"/>
      <c r="D21" s="7"/>
      <c r="E21" s="15">
        <f>SUM(E16:E20)</f>
        <v>1794.5979814396414</v>
      </c>
      <c r="F21" s="9"/>
    </row>
    <row r="22" spans="1:6" x14ac:dyDescent="0.35">
      <c r="A22" s="6" t="s">
        <v>30</v>
      </c>
      <c r="B22" s="7"/>
      <c r="C22" s="7"/>
      <c r="D22" s="7"/>
      <c r="E22" s="16">
        <f>F15-E21</f>
        <v>1276.3020185603586</v>
      </c>
      <c r="F22" s="9"/>
    </row>
    <row r="23" spans="1:6" x14ac:dyDescent="0.35">
      <c r="B23">
        <f>B20/SUM(B16:B19)*100</f>
        <v>1.4242103647949087</v>
      </c>
      <c r="E23" s="39">
        <v>1802.67</v>
      </c>
      <c r="F23" s="3">
        <f>(E23-E21)/E23*100</f>
        <v>0.44778126669654617</v>
      </c>
    </row>
    <row r="25" spans="1:6" x14ac:dyDescent="0.35">
      <c r="A25" s="6" t="s">
        <v>262</v>
      </c>
      <c r="B25" s="11">
        <v>20</v>
      </c>
      <c r="C25" s="7" t="s">
        <v>26</v>
      </c>
      <c r="D25" s="7"/>
      <c r="E25" s="8"/>
      <c r="F25" s="9"/>
    </row>
    <row r="26" spans="1:6" x14ac:dyDescent="0.35">
      <c r="A26" s="6" t="s">
        <v>19</v>
      </c>
      <c r="B26" s="7" t="s">
        <v>20</v>
      </c>
      <c r="C26" s="7" t="s">
        <v>21</v>
      </c>
      <c r="D26" s="7" t="s">
        <v>22</v>
      </c>
      <c r="E26" s="8" t="s">
        <v>23</v>
      </c>
      <c r="F26" s="9" t="s">
        <v>24</v>
      </c>
    </row>
    <row r="27" spans="1:6" x14ac:dyDescent="0.35">
      <c r="A27" s="6"/>
      <c r="B27" s="7"/>
      <c r="C27" s="7"/>
      <c r="D27" s="7"/>
      <c r="E27" s="8"/>
      <c r="F27" s="9">
        <v>4950</v>
      </c>
    </row>
    <row r="28" spans="1:6" x14ac:dyDescent="0.35">
      <c r="A28" s="6" t="s">
        <v>25</v>
      </c>
      <c r="B28" s="7">
        <f>664.4+754.9+74.5+8</f>
        <v>1501.8</v>
      </c>
      <c r="C28" s="7">
        <v>320</v>
      </c>
      <c r="D28" s="7">
        <v>0.99</v>
      </c>
      <c r="E28" s="15">
        <f>F27*(1-EXP(-B28/(9.80665*C28*D28)))</f>
        <v>1897.4173104201045</v>
      </c>
      <c r="F28" s="9">
        <f>F27-E28</f>
        <v>3052.5826895798955</v>
      </c>
    </row>
    <row r="29" spans="1:6" x14ac:dyDescent="0.35">
      <c r="A29" s="6" t="s">
        <v>28</v>
      </c>
      <c r="B29" s="7">
        <f>366.5+204.3+184.9+349.9</f>
        <v>1105.5999999999999</v>
      </c>
      <c r="C29" s="7">
        <v>246</v>
      </c>
      <c r="D29" s="7">
        <v>0.91</v>
      </c>
      <c r="E29" s="15">
        <f t="shared" ref="E29:E32" si="8">F28*(1-EXP(-B29/(9.80665*C29*D29)))</f>
        <v>1207.7834343410561</v>
      </c>
      <c r="F29" s="9">
        <f t="shared" ref="F29:F32" si="9">F28-E29</f>
        <v>1844.7992552388394</v>
      </c>
    </row>
    <row r="30" spans="1:6" x14ac:dyDescent="0.35">
      <c r="A30" s="6" t="s">
        <v>29</v>
      </c>
      <c r="B30" s="7">
        <f>17.6+8.8+8.8+17.8+6.2+6.3+8</f>
        <v>73.5</v>
      </c>
      <c r="C30" s="7">
        <v>246</v>
      </c>
      <c r="D30" s="7">
        <v>0.91</v>
      </c>
      <c r="E30" s="15">
        <f t="shared" si="8"/>
        <v>60.742042867050259</v>
      </c>
      <c r="F30" s="9">
        <f t="shared" si="9"/>
        <v>1784.0572123717891</v>
      </c>
    </row>
    <row r="31" spans="1:6" x14ac:dyDescent="0.35">
      <c r="A31" s="6" t="s">
        <v>194</v>
      </c>
      <c r="B31" s="7">
        <v>12.7</v>
      </c>
      <c r="C31" s="7">
        <v>246</v>
      </c>
      <c r="D31" s="7">
        <v>0.91</v>
      </c>
      <c r="E31" s="15">
        <f t="shared" si="8"/>
        <v>10.291050824899008</v>
      </c>
      <c r="F31" s="9">
        <f t="shared" si="9"/>
        <v>1773.7661615468901</v>
      </c>
    </row>
    <row r="32" spans="1:6" x14ac:dyDescent="0.35">
      <c r="A32" s="6" t="s">
        <v>195</v>
      </c>
      <c r="B32" s="7">
        <v>8</v>
      </c>
      <c r="C32" s="7">
        <v>246</v>
      </c>
      <c r="D32" s="7">
        <v>0.91</v>
      </c>
      <c r="E32" s="15">
        <f t="shared" si="8"/>
        <v>6.4520556851486131</v>
      </c>
      <c r="F32" s="9">
        <f t="shared" si="9"/>
        <v>1767.3141058617414</v>
      </c>
    </row>
    <row r="33" spans="1:7" x14ac:dyDescent="0.35">
      <c r="A33" s="6" t="s">
        <v>31</v>
      </c>
      <c r="B33" s="7"/>
      <c r="C33" s="7"/>
      <c r="D33" s="7"/>
      <c r="E33" s="15">
        <f>SUM(E28:E32)</f>
        <v>3182.6858941382584</v>
      </c>
      <c r="F33" s="9"/>
    </row>
    <row r="34" spans="1:7" x14ac:dyDescent="0.35">
      <c r="A34" s="6" t="s">
        <v>30</v>
      </c>
      <c r="B34" s="7"/>
      <c r="C34" s="7"/>
      <c r="D34" s="7"/>
      <c r="E34" s="16">
        <f>F27-E33</f>
        <v>1767.3141058617416</v>
      </c>
      <c r="F34" s="9"/>
    </row>
    <row r="35" spans="1:7" x14ac:dyDescent="0.35">
      <c r="C35">
        <f>224/0.91</f>
        <v>246.15384615384613</v>
      </c>
      <c r="E35" s="38"/>
    </row>
    <row r="36" spans="1:7" x14ac:dyDescent="0.35">
      <c r="E36" s="38"/>
    </row>
    <row r="37" spans="1:7" x14ac:dyDescent="0.35">
      <c r="A37" s="5" t="s">
        <v>8</v>
      </c>
      <c r="B37">
        <v>398600.44179999997</v>
      </c>
      <c r="E37" t="s">
        <v>180</v>
      </c>
      <c r="F37" s="4" t="s">
        <v>181</v>
      </c>
      <c r="G37" s="3"/>
    </row>
    <row r="38" spans="1:7" x14ac:dyDescent="0.35">
      <c r="A38" s="5" t="s">
        <v>32</v>
      </c>
      <c r="B38">
        <f>6378+250</f>
        <v>6628</v>
      </c>
      <c r="D38" t="s">
        <v>37</v>
      </c>
      <c r="E38" s="4">
        <v>35920</v>
      </c>
      <c r="F38" s="4">
        <v>35786</v>
      </c>
      <c r="G38" s="3"/>
    </row>
    <row r="39" spans="1:7" x14ac:dyDescent="0.35">
      <c r="A39" s="5" t="s">
        <v>0</v>
      </c>
      <c r="B39">
        <f>(35786+250)/2+6378</f>
        <v>24396</v>
      </c>
      <c r="D39" t="s">
        <v>38</v>
      </c>
      <c r="E39" s="4">
        <v>249.2</v>
      </c>
      <c r="F39" s="4">
        <v>185</v>
      </c>
      <c r="G39" s="3"/>
    </row>
    <row r="40" spans="1:7" x14ac:dyDescent="0.35">
      <c r="A40" s="5" t="s">
        <v>33</v>
      </c>
      <c r="B40">
        <f>SQRT(B37*(2/B38-1/B39))*1000</f>
        <v>10195.046899651461</v>
      </c>
      <c r="D40" t="s">
        <v>39</v>
      </c>
      <c r="E40" s="4">
        <v>6</v>
      </c>
      <c r="F40" s="4">
        <v>28.5</v>
      </c>
      <c r="G40" s="3"/>
    </row>
    <row r="41" spans="1:7" x14ac:dyDescent="0.35">
      <c r="A41" s="5" t="s">
        <v>34</v>
      </c>
      <c r="B41">
        <f>SQRT(B37*(2/42164-1/24551))*1000</f>
        <v>1634.4834976313132</v>
      </c>
      <c r="D41" t="s">
        <v>40</v>
      </c>
      <c r="E41" s="4">
        <f>3074.67*COS(E40*PI()/180)</f>
        <v>3057.826636031969</v>
      </c>
      <c r="F41" s="4">
        <f>3074.67*COS(F40*PI()/180)</f>
        <v>2702.0726117883651</v>
      </c>
      <c r="G41" s="3"/>
    </row>
    <row r="42" spans="1:7" x14ac:dyDescent="0.35">
      <c r="A42" s="5" t="s">
        <v>36</v>
      </c>
      <c r="B42">
        <f>SQRT(B37/42164)*1000</f>
        <v>3074.6662841276843</v>
      </c>
      <c r="D42" t="s">
        <v>42</v>
      </c>
      <c r="E42" s="4">
        <f>3074.67*SIN(E40*PI()/180)</f>
        <v>321.39053015515606</v>
      </c>
      <c r="F42" s="4">
        <f>3074.67*SIN(F40*PI()/180)</f>
        <v>1467.1057254074103</v>
      </c>
      <c r="G42" s="3"/>
    </row>
    <row r="43" spans="1:7" x14ac:dyDescent="0.35">
      <c r="A43" s="5" t="s">
        <v>41</v>
      </c>
      <c r="B43">
        <f>B42-B41</f>
        <v>1440.1827864963711</v>
      </c>
      <c r="D43" t="s">
        <v>0</v>
      </c>
      <c r="E43" s="4">
        <f>(E38+E39)/2+6378</f>
        <v>24462.6</v>
      </c>
      <c r="F43" s="4">
        <f>(F38+F39)/2+6378</f>
        <v>24363.5</v>
      </c>
      <c r="G43" s="3"/>
    </row>
    <row r="44" spans="1:7" x14ac:dyDescent="0.35">
      <c r="D44" t="s">
        <v>34</v>
      </c>
      <c r="E44" s="4">
        <f>SQRT(B37*(2/(E38+6378)-1/E43))*1000</f>
        <v>1597.8010529752346</v>
      </c>
      <c r="F44" s="4">
        <f>SQRT(B37*(2/(F38+6378)-1/F43))*1000</f>
        <v>1595.8032624489292</v>
      </c>
      <c r="G44" s="3"/>
    </row>
    <row r="45" spans="1:7" x14ac:dyDescent="0.35">
      <c r="D45" t="s">
        <v>43</v>
      </c>
      <c r="E45" s="4">
        <f>E41-E44</f>
        <v>1460.0255830567344</v>
      </c>
      <c r="F45" s="4">
        <f>F41-F44</f>
        <v>1106.2693493394358</v>
      </c>
      <c r="G45" s="3"/>
    </row>
    <row r="46" spans="1:7" x14ac:dyDescent="0.35">
      <c r="F46" s="4"/>
      <c r="G46" s="3"/>
    </row>
    <row r="47" spans="1:7" x14ac:dyDescent="0.35">
      <c r="D47" t="s">
        <v>41</v>
      </c>
      <c r="E47" s="4">
        <f>SQRT(E44^2+B42^2-2*E44*B42*COS(E40*PI()/180))</f>
        <v>1494.9767674800275</v>
      </c>
      <c r="F47" s="4">
        <f>SQRT(F44^2+B42^2-2*F44*B42*COS(F40*PI()/180))</f>
        <v>1837.4489530553274</v>
      </c>
      <c r="G47" s="3"/>
    </row>
    <row r="48" spans="1:7" x14ac:dyDescent="0.35">
      <c r="B48">
        <f>11492+36</f>
        <v>11528</v>
      </c>
    </row>
    <row r="49" spans="1:5" x14ac:dyDescent="0.35">
      <c r="A49" s="5" t="s">
        <v>45</v>
      </c>
      <c r="B49">
        <v>11480</v>
      </c>
    </row>
    <row r="50" spans="1:5" x14ac:dyDescent="0.35">
      <c r="A50" s="5" t="s">
        <v>46</v>
      </c>
      <c r="B50">
        <v>11500</v>
      </c>
    </row>
    <row r="51" spans="1:5" x14ac:dyDescent="0.35">
      <c r="A51" s="5" t="s">
        <v>47</v>
      </c>
      <c r="B51">
        <f>2*B49-B50</f>
        <v>11460</v>
      </c>
    </row>
    <row r="52" spans="1:5" x14ac:dyDescent="0.35">
      <c r="A52" s="5" t="s">
        <v>48</v>
      </c>
      <c r="B52">
        <f>2*B50-B49</f>
        <v>11520</v>
      </c>
    </row>
    <row r="54" spans="1:5" x14ac:dyDescent="0.35">
      <c r="A54" s="5" t="s">
        <v>55</v>
      </c>
      <c r="B54">
        <v>55</v>
      </c>
      <c r="C54" t="s">
        <v>58</v>
      </c>
    </row>
    <row r="55" spans="1:5" x14ac:dyDescent="0.35">
      <c r="A55" s="5" t="s">
        <v>49</v>
      </c>
      <c r="B55">
        <v>12</v>
      </c>
      <c r="C55" t="s">
        <v>50</v>
      </c>
    </row>
    <row r="56" spans="1:5" x14ac:dyDescent="0.35">
      <c r="A56" s="5" t="s">
        <v>51</v>
      </c>
      <c r="B56">
        <v>1</v>
      </c>
      <c r="C56" t="s">
        <v>52</v>
      </c>
    </row>
    <row r="57" spans="1:5" x14ac:dyDescent="0.35">
      <c r="A57" s="5" t="s">
        <v>18</v>
      </c>
      <c r="B57">
        <v>37000</v>
      </c>
      <c r="C57" t="s">
        <v>1</v>
      </c>
    </row>
    <row r="58" spans="1:5" x14ac:dyDescent="0.35">
      <c r="A58" s="5" t="s">
        <v>53</v>
      </c>
      <c r="B58" s="2">
        <f>20*LOG(B55*B56)+18.53</f>
        <v>40.113624920952503</v>
      </c>
      <c r="C58" t="s">
        <v>57</v>
      </c>
    </row>
    <row r="59" spans="1:5" x14ac:dyDescent="0.35">
      <c r="A59" s="5" t="s">
        <v>60</v>
      </c>
      <c r="B59" s="2">
        <f>92.5+20*LOG(B55*B57)</f>
        <v>205.4476594022924</v>
      </c>
    </row>
    <row r="60" spans="1:5" x14ac:dyDescent="0.35">
      <c r="A60" s="5" t="s">
        <v>59</v>
      </c>
      <c r="B60" s="2">
        <f>B54-B59+B58</f>
        <v>-110.3340344813399</v>
      </c>
      <c r="C60" t="s">
        <v>54</v>
      </c>
      <c r="E60" s="5"/>
    </row>
    <row r="62" spans="1:5" x14ac:dyDescent="0.35">
      <c r="A62" s="5" t="s">
        <v>56</v>
      </c>
      <c r="B62">
        <f>21.3/B55/B56</f>
        <v>1.7750000000000001</v>
      </c>
    </row>
    <row r="64" spans="1:5" x14ac:dyDescent="0.35">
      <c r="A64" s="5" t="s">
        <v>135</v>
      </c>
    </row>
    <row r="65" spans="1:3" x14ac:dyDescent="0.35">
      <c r="A65" s="5" t="s">
        <v>8</v>
      </c>
      <c r="B65">
        <v>398600.44179999997</v>
      </c>
    </row>
    <row r="66" spans="1:3" x14ac:dyDescent="0.35">
      <c r="A66" s="5" t="s">
        <v>71</v>
      </c>
      <c r="B66">
        <v>6938</v>
      </c>
    </row>
    <row r="67" spans="1:3" x14ac:dyDescent="0.35">
      <c r="A67" s="5" t="s">
        <v>0</v>
      </c>
      <c r="B67">
        <v>24551</v>
      </c>
    </row>
    <row r="68" spans="1:3" x14ac:dyDescent="0.35">
      <c r="A68" s="5" t="s">
        <v>136</v>
      </c>
      <c r="B68">
        <f>SQRT(B65/B66)*1000</f>
        <v>7579.6951699914262</v>
      </c>
      <c r="C68" t="s">
        <v>35</v>
      </c>
    </row>
    <row r="69" spans="1:3" x14ac:dyDescent="0.35">
      <c r="A69" s="5" t="s">
        <v>33</v>
      </c>
      <c r="B69">
        <f>SQRT(B65*(2/B66-1/B67))*1000</f>
        <v>9933.1741415576071</v>
      </c>
    </row>
    <row r="70" spans="1:3" x14ac:dyDescent="0.35">
      <c r="A70" s="5" t="s">
        <v>41</v>
      </c>
      <c r="B70">
        <f>B69-B68</f>
        <v>2353.4789715661809</v>
      </c>
    </row>
    <row r="73" spans="1:3" x14ac:dyDescent="0.35">
      <c r="A73" s="5" t="s">
        <v>251</v>
      </c>
    </row>
    <row r="74" spans="1:3" x14ac:dyDescent="0.35">
      <c r="A74" s="5" t="s">
        <v>8</v>
      </c>
      <c r="B74">
        <v>398600.44179999997</v>
      </c>
    </row>
    <row r="75" spans="1:3" x14ac:dyDescent="0.35">
      <c r="A75" s="5" t="s">
        <v>255</v>
      </c>
      <c r="B75">
        <v>350</v>
      </c>
      <c r="C75" t="s">
        <v>1</v>
      </c>
    </row>
    <row r="76" spans="1:3" x14ac:dyDescent="0.35">
      <c r="A76" s="5" t="s">
        <v>252</v>
      </c>
      <c r="B76">
        <v>42164</v>
      </c>
      <c r="C76" t="s">
        <v>1</v>
      </c>
    </row>
    <row r="77" spans="1:3" x14ac:dyDescent="0.35">
      <c r="A77" s="5" t="s">
        <v>253</v>
      </c>
      <c r="B77">
        <f>B76+B75</f>
        <v>42514</v>
      </c>
    </row>
    <row r="78" spans="1:3" x14ac:dyDescent="0.35">
      <c r="A78" s="5" t="s">
        <v>33</v>
      </c>
      <c r="B78">
        <f>SQRT(B74*(2/B76-1/B77))</f>
        <v>3.08729656392924</v>
      </c>
    </row>
    <row r="79" spans="1:3" x14ac:dyDescent="0.35">
      <c r="A79" s="5" t="s">
        <v>5</v>
      </c>
      <c r="B79">
        <f>SQRT(B74/B76)</f>
        <v>3.0746662841276842</v>
      </c>
    </row>
    <row r="80" spans="1:3" x14ac:dyDescent="0.35">
      <c r="A80" s="5" t="s">
        <v>41</v>
      </c>
      <c r="B80">
        <f>(B78-B79)*1000</f>
        <v>12.630279801555844</v>
      </c>
      <c r="C80" t="s">
        <v>35</v>
      </c>
    </row>
    <row r="82" spans="1:3" x14ac:dyDescent="0.35">
      <c r="A82" s="5" t="s">
        <v>254</v>
      </c>
      <c r="B82">
        <f>B76+B75/2</f>
        <v>42339</v>
      </c>
    </row>
    <row r="83" spans="1:3" x14ac:dyDescent="0.35">
      <c r="A83" s="5" t="s">
        <v>258</v>
      </c>
      <c r="B83">
        <f>B76+B75</f>
        <v>42514</v>
      </c>
    </row>
    <row r="84" spans="1:3" x14ac:dyDescent="0.35">
      <c r="A84" s="5" t="s">
        <v>256</v>
      </c>
      <c r="B84">
        <f>(SQRT(B74*(2/42164-1/B82))-B79)*1000</f>
        <v>6.3477142525498742</v>
      </c>
      <c r="C84" t="s">
        <v>35</v>
      </c>
    </row>
    <row r="85" spans="1:3" x14ac:dyDescent="0.35">
      <c r="A85" s="5" t="s">
        <v>257</v>
      </c>
      <c r="B85">
        <f>1000*(SQRT(B74/B83)-SQRT(B74*(2/B83-1/B82)))</f>
        <v>6.334609176916306</v>
      </c>
    </row>
    <row r="86" spans="1:3" x14ac:dyDescent="0.35">
      <c r="A86" s="5" t="s">
        <v>259</v>
      </c>
      <c r="B86">
        <f>B85+B84</f>
        <v>12.68232342946618</v>
      </c>
    </row>
    <row r="88" spans="1:3" x14ac:dyDescent="0.35">
      <c r="A88" s="5" t="s">
        <v>17</v>
      </c>
      <c r="B88">
        <v>50</v>
      </c>
      <c r="C88" t="s">
        <v>109</v>
      </c>
    </row>
    <row r="89" spans="1:3" x14ac:dyDescent="0.35">
      <c r="A89" s="5" t="s">
        <v>98</v>
      </c>
      <c r="B89">
        <v>1300</v>
      </c>
      <c r="C89" t="s">
        <v>225</v>
      </c>
    </row>
    <row r="90" spans="1:3" x14ac:dyDescent="0.35">
      <c r="A90" s="5" t="s">
        <v>260</v>
      </c>
      <c r="B90">
        <f>235+1000*B88/B89</f>
        <v>273.46153846153845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topLeftCell="G1" workbookViewId="0">
      <selection activeCell="G3" sqref="G3"/>
    </sheetView>
  </sheetViews>
  <sheetFormatPr defaultColWidth="10.6640625" defaultRowHeight="15.5" x14ac:dyDescent="0.35"/>
  <cols>
    <col min="1" max="1" width="12.6640625" bestFit="1" customWidth="1"/>
    <col min="2" max="2" width="9.5" bestFit="1" customWidth="1"/>
    <col min="3" max="3" width="9.5" customWidth="1"/>
    <col min="5" max="5" width="12.1640625" bestFit="1" customWidth="1"/>
    <col min="6" max="7" width="9.5" customWidth="1"/>
  </cols>
  <sheetData>
    <row r="1" spans="1:14" s="17" customFormat="1" x14ac:dyDescent="0.35">
      <c r="A1" s="17" t="s">
        <v>79</v>
      </c>
      <c r="B1" s="17" t="s">
        <v>138</v>
      </c>
      <c r="C1" s="17" t="s">
        <v>137</v>
      </c>
      <c r="E1" s="17" t="s">
        <v>81</v>
      </c>
      <c r="F1" s="17" t="s">
        <v>138</v>
      </c>
      <c r="G1" s="17" t="s">
        <v>137</v>
      </c>
      <c r="J1" s="17" t="s">
        <v>85</v>
      </c>
      <c r="K1" s="17" t="s">
        <v>137</v>
      </c>
    </row>
    <row r="2" spans="1:14" x14ac:dyDescent="0.35">
      <c r="A2" t="s">
        <v>55</v>
      </c>
      <c r="B2">
        <v>52</v>
      </c>
      <c r="C2" s="31">
        <v>52</v>
      </c>
      <c r="D2" t="s">
        <v>58</v>
      </c>
      <c r="E2" t="s">
        <v>55</v>
      </c>
      <c r="F2">
        <v>55</v>
      </c>
      <c r="G2" s="31">
        <v>46.9</v>
      </c>
      <c r="H2" t="s">
        <v>58</v>
      </c>
      <c r="I2" t="s">
        <v>86</v>
      </c>
      <c r="J2">
        <v>40.299999999999997</v>
      </c>
      <c r="K2" s="31">
        <v>50</v>
      </c>
      <c r="L2" t="s">
        <v>54</v>
      </c>
    </row>
    <row r="3" spans="1:14" x14ac:dyDescent="0.35">
      <c r="A3" t="s">
        <v>18</v>
      </c>
      <c r="B3">
        <v>37500</v>
      </c>
      <c r="C3" s="31">
        <v>37500</v>
      </c>
      <c r="D3" t="s">
        <v>1</v>
      </c>
      <c r="E3" t="s">
        <v>18</v>
      </c>
      <c r="F3">
        <v>37500</v>
      </c>
      <c r="G3" s="31">
        <v>37500</v>
      </c>
      <c r="H3" t="s">
        <v>1</v>
      </c>
      <c r="I3" t="s">
        <v>18</v>
      </c>
      <c r="J3">
        <v>37500</v>
      </c>
      <c r="K3" s="31">
        <v>37500</v>
      </c>
      <c r="L3" t="s">
        <v>1</v>
      </c>
    </row>
    <row r="4" spans="1:14" x14ac:dyDescent="0.35">
      <c r="A4" t="s">
        <v>139</v>
      </c>
      <c r="B4">
        <v>0.6</v>
      </c>
      <c r="C4" s="31">
        <v>0.53</v>
      </c>
      <c r="D4" t="s">
        <v>52</v>
      </c>
      <c r="E4" t="s">
        <v>139</v>
      </c>
      <c r="F4">
        <v>0.47099999999999997</v>
      </c>
      <c r="G4" s="31">
        <v>1.2</v>
      </c>
      <c r="H4" t="s">
        <v>52</v>
      </c>
      <c r="I4" t="s">
        <v>139</v>
      </c>
      <c r="J4">
        <v>5.6</v>
      </c>
      <c r="K4" s="31">
        <v>5</v>
      </c>
      <c r="L4" t="s">
        <v>52</v>
      </c>
    </row>
    <row r="5" spans="1:14" x14ac:dyDescent="0.35">
      <c r="A5" t="s">
        <v>22</v>
      </c>
      <c r="B5">
        <v>0.65</v>
      </c>
      <c r="C5" s="31">
        <v>0.65</v>
      </c>
      <c r="E5" t="s">
        <v>22</v>
      </c>
      <c r="F5">
        <v>0.65</v>
      </c>
      <c r="G5" s="31">
        <v>0.65</v>
      </c>
      <c r="I5" t="s">
        <v>22</v>
      </c>
      <c r="J5">
        <v>0.65</v>
      </c>
      <c r="K5" s="31">
        <v>0.65</v>
      </c>
    </row>
    <row r="6" spans="1:14" x14ac:dyDescent="0.35">
      <c r="A6" t="s">
        <v>140</v>
      </c>
      <c r="B6">
        <v>10</v>
      </c>
      <c r="C6" s="31">
        <v>12</v>
      </c>
      <c r="D6" t="s">
        <v>50</v>
      </c>
      <c r="E6" t="s">
        <v>140</v>
      </c>
      <c r="F6">
        <v>12</v>
      </c>
      <c r="G6" s="31">
        <v>12</v>
      </c>
      <c r="H6" t="s">
        <v>50</v>
      </c>
      <c r="I6" t="s">
        <v>140</v>
      </c>
      <c r="J6">
        <v>14</v>
      </c>
      <c r="K6" s="31">
        <v>14</v>
      </c>
      <c r="L6" t="s">
        <v>50</v>
      </c>
    </row>
    <row r="7" spans="1:14" x14ac:dyDescent="0.35">
      <c r="A7" t="s">
        <v>63</v>
      </c>
      <c r="B7">
        <v>50</v>
      </c>
      <c r="C7" s="31">
        <v>50</v>
      </c>
      <c r="D7" t="s">
        <v>61</v>
      </c>
      <c r="E7" t="s">
        <v>63</v>
      </c>
      <c r="F7">
        <v>50</v>
      </c>
      <c r="G7" s="31">
        <v>50</v>
      </c>
      <c r="H7" t="s">
        <v>61</v>
      </c>
      <c r="I7" t="s">
        <v>88</v>
      </c>
      <c r="J7">
        <v>10</v>
      </c>
      <c r="K7" s="31">
        <v>10</v>
      </c>
      <c r="L7" t="s">
        <v>89</v>
      </c>
    </row>
    <row r="8" spans="1:14" x14ac:dyDescent="0.35">
      <c r="A8" t="s">
        <v>62</v>
      </c>
      <c r="B8">
        <v>1</v>
      </c>
      <c r="C8" s="31">
        <v>1</v>
      </c>
      <c r="D8" t="s">
        <v>57</v>
      </c>
      <c r="E8" t="s">
        <v>62</v>
      </c>
      <c r="F8">
        <v>1</v>
      </c>
      <c r="G8" s="31">
        <v>1</v>
      </c>
      <c r="H8" t="s">
        <v>57</v>
      </c>
      <c r="I8" t="s">
        <v>66</v>
      </c>
      <c r="J8">
        <v>72</v>
      </c>
      <c r="K8" s="31">
        <v>36</v>
      </c>
      <c r="L8" t="s">
        <v>67</v>
      </c>
      <c r="M8">
        <f>10^5.6</f>
        <v>398107.17055349716</v>
      </c>
    </row>
    <row r="9" spans="1:14" x14ac:dyDescent="0.35">
      <c r="A9" t="s">
        <v>229</v>
      </c>
      <c r="B9">
        <v>50</v>
      </c>
      <c r="C9" s="31">
        <v>50</v>
      </c>
      <c r="D9" t="s">
        <v>57</v>
      </c>
      <c r="E9" t="s">
        <v>229</v>
      </c>
      <c r="F9">
        <v>50</v>
      </c>
      <c r="G9" s="31">
        <v>50</v>
      </c>
      <c r="H9" t="s">
        <v>57</v>
      </c>
      <c r="K9" s="31"/>
    </row>
    <row r="10" spans="1:14" x14ac:dyDescent="0.35">
      <c r="A10" t="s">
        <v>234</v>
      </c>
      <c r="B10">
        <v>0</v>
      </c>
      <c r="C10" s="31">
        <v>0</v>
      </c>
      <c r="D10" t="s">
        <v>57</v>
      </c>
      <c r="E10" t="s">
        <v>234</v>
      </c>
      <c r="F10">
        <v>0</v>
      </c>
      <c r="G10" s="31">
        <v>0</v>
      </c>
      <c r="H10" t="s">
        <v>57</v>
      </c>
      <c r="K10" s="31"/>
    </row>
    <row r="11" spans="1:14" x14ac:dyDescent="0.35">
      <c r="A11" t="s">
        <v>235</v>
      </c>
      <c r="B11">
        <v>0</v>
      </c>
      <c r="C11" s="31">
        <v>0</v>
      </c>
      <c r="E11" t="s">
        <v>235</v>
      </c>
      <c r="F11">
        <v>0</v>
      </c>
      <c r="G11" s="31">
        <v>0</v>
      </c>
      <c r="K11" s="34"/>
    </row>
    <row r="12" spans="1:14" x14ac:dyDescent="0.35">
      <c r="A12" t="s">
        <v>68</v>
      </c>
      <c r="B12">
        <v>30</v>
      </c>
      <c r="C12" s="31">
        <v>30</v>
      </c>
      <c r="D12" t="s">
        <v>75</v>
      </c>
      <c r="E12" t="s">
        <v>68</v>
      </c>
      <c r="F12">
        <v>27.5</v>
      </c>
      <c r="G12" s="31">
        <v>27.5</v>
      </c>
      <c r="H12" t="s">
        <v>75</v>
      </c>
      <c r="K12" s="34"/>
    </row>
    <row r="13" spans="1:14" s="19" customFormat="1" x14ac:dyDescent="0.35">
      <c r="A13" t="s">
        <v>82</v>
      </c>
      <c r="B13">
        <v>2</v>
      </c>
      <c r="C13" s="31">
        <v>2</v>
      </c>
      <c r="D13"/>
      <c r="E13" t="s">
        <v>82</v>
      </c>
      <c r="F13">
        <v>3</v>
      </c>
      <c r="G13" s="31">
        <v>3</v>
      </c>
      <c r="H13"/>
      <c r="I13"/>
      <c r="J13"/>
      <c r="K13" s="34"/>
      <c r="L13"/>
      <c r="M13"/>
      <c r="N13"/>
    </row>
    <row r="14" spans="1:14" x14ac:dyDescent="0.35">
      <c r="A14" t="s">
        <v>72</v>
      </c>
      <c r="B14" s="12">
        <v>0.75</v>
      </c>
      <c r="C14" s="32">
        <v>0.75</v>
      </c>
      <c r="E14" t="s">
        <v>72</v>
      </c>
      <c r="F14" s="18">
        <v>0.83333333333333337</v>
      </c>
      <c r="G14" s="32">
        <v>0.83333333333333337</v>
      </c>
      <c r="K14" s="34"/>
    </row>
    <row r="15" spans="1:14" s="19" customFormat="1" x14ac:dyDescent="0.35">
      <c r="A15" t="s">
        <v>69</v>
      </c>
      <c r="B15">
        <v>1.35</v>
      </c>
      <c r="C15" s="31">
        <v>1.35</v>
      </c>
      <c r="D15"/>
      <c r="E15" t="s">
        <v>69</v>
      </c>
      <c r="F15">
        <v>1.2</v>
      </c>
      <c r="G15" s="31">
        <v>1.2</v>
      </c>
      <c r="H15"/>
      <c r="K15" s="34"/>
      <c r="L15"/>
      <c r="M15"/>
      <c r="N15"/>
    </row>
    <row r="16" spans="1:14" x14ac:dyDescent="0.35">
      <c r="A16" s="19" t="s">
        <v>141</v>
      </c>
      <c r="B16" s="19"/>
      <c r="C16" s="19"/>
      <c r="D16" s="19"/>
      <c r="E16" s="19"/>
      <c r="F16" s="19"/>
      <c r="G16" s="31"/>
      <c r="H16" s="19"/>
      <c r="I16" t="s">
        <v>119</v>
      </c>
      <c r="J16" s="2">
        <f>10*LOG(J5)+20*LOG(J6*J4)+20.4</f>
        <v>56.415454820117326</v>
      </c>
      <c r="K16" s="34">
        <f>10*LOG(K5)+20*LOG(K6*K4)+20.4</f>
        <v>55.431094366713694</v>
      </c>
    </row>
    <row r="17" spans="1:14" x14ac:dyDescent="0.35">
      <c r="C17" s="31"/>
      <c r="E17" t="s">
        <v>80</v>
      </c>
      <c r="F17">
        <f>IF(AND(F13=2,F14=1/4),0.490243,IF(AND(F13=2,F14=1/3),0.656448,IF(AND(F13=2,F14=2/5),0.789412,IF(AND(F13=2,F14=1/2),0.988858,IF(AND(F13=2,F14=3/5),1.188304,IF(AND(F13=2,F14=2/3),1.322253,IF(AND(F13=2,F14=3/4),1.487473,IF(AND(F13=2,F14=4/5),1.587196,IF(AND(F13=2,F14=5/6),1.654663,IF(AND(F13=2,F14=8/9),1.766451,IF(AND(F13=2,F14=9/10),1.788612,IF(AND(F13=3,F14=3/5),1.779991,IF(AND(F13=3,F14=2/3),1.980636,IF(AND(F13=3,F14=3/4),2.228124,IF(AND(F13=3,F14=5/6),2.478562,IF(AND(F13=3,F14=8/9),2.646012,IF(AND(F13=3,F14=9/10),2.679207,)))))))))))))))))</f>
        <v>2.4785620000000002</v>
      </c>
      <c r="G17" s="31">
        <f>IF(AND(G13=2,G14=1/4),0.490243,IF(AND(G13=2,G14=1/3),0.656448,IF(AND(G13=2,G14=2/5),0.789412,IF(AND(G13=2,G14=1/2),0.988858,IF(AND(G13=2,G14=3/5),1.188304,IF(AND(G13=2,G14=2/3),1.322253,IF(AND(G13=2,G14=3/4),1.487473,IF(AND(G13=2,G14=4/5),1.587196,IF(AND(G13=2,G14=5/6),1.654663,IF(AND(G13=2,G14=8/9),1.766451,IF(AND(G13=2,G14=9/10),1.788612,IF(AND(G13=3,G14=3/5),1.779991,IF(AND(G13=3,G14=2/3),1.980636,IF(AND(G13=3,G14=3/4),2.228124,IF(AND(G13=3,G14=5/6),2.478562,IF(AND(G13=3,G14=8/9),2.646012,IF(AND(G13=3,G14=9/10),2.679207,)))))))))))))))))</f>
        <v>2.4785620000000002</v>
      </c>
      <c r="I17" s="35" t="s">
        <v>55</v>
      </c>
      <c r="J17" s="36">
        <f>10*LOG(J2)+J16</f>
        <v>72.468505281528422</v>
      </c>
      <c r="K17" s="34">
        <f>10*LOG(K2)+K16</f>
        <v>72.420794410073881</v>
      </c>
    </row>
    <row r="18" spans="1:14" x14ac:dyDescent="0.35">
      <c r="A18" t="s">
        <v>74</v>
      </c>
      <c r="B18">
        <f>IF(B14=1/2,4.5,IF(B14=2/3,5,IF(B14=3/4,5.5,IF(B14=5/6,6,IF(B14=7/8,6.4)))))</f>
        <v>5.5</v>
      </c>
      <c r="C18" s="31">
        <f>IF(C14=1/2,4.5,IF(C14=2/3,5,IF(C14=3/4,5.5,IF(C14=5/6,6,IF(C14=7/8,6.4)))))</f>
        <v>5.5</v>
      </c>
      <c r="D18" t="s">
        <v>57</v>
      </c>
      <c r="E18" t="s">
        <v>76</v>
      </c>
      <c r="F18">
        <f>IF(AND(F13=2,F14=1/4),-2.35,IF(AND(F13=2,F14=1/3),-1.24,IF(AND(F13=2,F14=2/5),-0.3,IF(AND(F13=2,F14=1/2),1,IF(AND(F13=2,F14=3/5),2.23,IF(AND(F13=2,F14=2/3),3.1,IF(AND(F13=2,F14=3/4),4.03,IF(AND(F13=2,F14=4/5),4.68,IF(AND(F13=2,F14=5/6),5.18,IF(AND(F13=2,F14=8/9),6.2,IF(AND(F13=2,F14=9/10),6.42,IF(AND(F13=3,F14=3/5),5.5,IF(AND(F13=3,F14=2/3),6.62,IF(AND(F13=3,F14=3/4),7.91,IF(AND(F13=3,F14=5/6),9.35,IF(AND(F13=3,F14=8/9),10.69,IF(AND(F13=3,F14=9/10),10.98,)))))))))))))))))</f>
        <v>9.35</v>
      </c>
      <c r="G18" s="31">
        <f>IF(AND(G13=2,G14=1/4),-2.35,IF(AND(G13=2,G14=1/3),-1.24,IF(AND(G13=2,G14=2/5),-0.3,IF(AND(G13=2,G14=1/2),1,IF(AND(G13=2,G14=3/5),2.23,IF(AND(G13=2,G14=2/3),3.1,IF(AND(G13=2,G14=3/4),4.03,IF(AND(G13=2,G14=4/5),4.68,IF(AND(G13=2,G14=5/6),5.18,IF(AND(G13=2,G14=8/9),6.2,IF(AND(G13=2,G14=9/10),6.42,IF(AND(G13=3,G14=3/5),5.5,IF(AND(G13=3,G14=2/3),6.62,IF(AND(G13=3,G14=3/4),7.91,IF(AND(G13=3,G14=5/6),9.35,IF(AND(G13=3,G14=8/9),10.69,IF(AND(G13=3,G14=9/10),10.98,)))))))))))))))))</f>
        <v>9.35</v>
      </c>
      <c r="H18" t="s">
        <v>57</v>
      </c>
      <c r="I18" t="s">
        <v>95</v>
      </c>
      <c r="J18" s="2">
        <f>92.5+20*LOG(J6*J3)</f>
        <v>206.90318606811914</v>
      </c>
      <c r="K18" s="34">
        <f>92.5+20*LOG(K6*K3)</f>
        <v>206.90318606811914</v>
      </c>
    </row>
    <row r="19" spans="1:14" x14ac:dyDescent="0.35">
      <c r="A19" t="s">
        <v>71</v>
      </c>
      <c r="B19" s="10">
        <f>B12*B13*B14*(188/204)</f>
        <v>41.470588235294116</v>
      </c>
      <c r="C19" s="33">
        <f>C12*C13*C14*(188/204)</f>
        <v>41.470588235294116</v>
      </c>
      <c r="D19" t="s">
        <v>73</v>
      </c>
      <c r="E19" t="s">
        <v>71</v>
      </c>
      <c r="F19" s="10">
        <f>F12*F17</f>
        <v>68.160454999999999</v>
      </c>
      <c r="G19" s="33">
        <f>G12*G17</f>
        <v>68.160454999999999</v>
      </c>
      <c r="H19" t="s">
        <v>73</v>
      </c>
      <c r="I19" t="s">
        <v>87</v>
      </c>
      <c r="J19" s="2">
        <f>J17-10*LOG(4*PI()*J3^2*10^6)</f>
        <v>-90.004218713246928</v>
      </c>
      <c r="K19" s="34">
        <f>K17-10*LOG(4*PI()*K3^2*10^6)</f>
        <v>-90.051929584701469</v>
      </c>
    </row>
    <row r="20" spans="1:14" x14ac:dyDescent="0.35">
      <c r="A20" t="s">
        <v>66</v>
      </c>
      <c r="B20">
        <f>B12*B15</f>
        <v>40.5</v>
      </c>
      <c r="C20" s="31">
        <f>C12*C15</f>
        <v>40.5</v>
      </c>
      <c r="D20" t="s">
        <v>67</v>
      </c>
      <c r="E20" t="s">
        <v>66</v>
      </c>
      <c r="F20">
        <f>F12*F15</f>
        <v>33</v>
      </c>
      <c r="G20" s="31">
        <f>G12*G15</f>
        <v>33</v>
      </c>
      <c r="H20" t="s">
        <v>67</v>
      </c>
      <c r="I20" t="s">
        <v>90</v>
      </c>
      <c r="J20" s="2">
        <f>J17-J18+J7-10*LOG(J8*10^6)+228.6</f>
        <v>25.591994249096587</v>
      </c>
      <c r="K20" s="34">
        <f>K17-K18+K7-10*LOG(K8*10^6)+228.6</f>
        <v>28.554583334281887</v>
      </c>
    </row>
    <row r="21" spans="1:14" x14ac:dyDescent="0.35">
      <c r="A21" t="s">
        <v>84</v>
      </c>
      <c r="B21" s="2">
        <f>B19/B20</f>
        <v>1.0239651416122004</v>
      </c>
      <c r="C21" s="34">
        <f>C19/C20</f>
        <v>1.0239651416122004</v>
      </c>
      <c r="D21" t="s">
        <v>78</v>
      </c>
      <c r="E21" t="s">
        <v>84</v>
      </c>
      <c r="F21" s="2">
        <f>F19/F20</f>
        <v>2.0654683333333335</v>
      </c>
      <c r="G21" s="34">
        <f>G19/G20</f>
        <v>2.0654683333333335</v>
      </c>
      <c r="H21" t="s">
        <v>78</v>
      </c>
      <c r="K21" s="31"/>
    </row>
    <row r="22" spans="1:14" x14ac:dyDescent="0.35">
      <c r="A22" t="s">
        <v>119</v>
      </c>
      <c r="B22" s="34">
        <f t="shared" ref="B22:C22" si="0">10*LOG(B5)+20*LOG(B6*B4)+20.4-B11</f>
        <v>34.092158574101425</v>
      </c>
      <c r="C22" s="34">
        <f t="shared" si="0"/>
        <v>34.59827587939683</v>
      </c>
      <c r="D22" t="s">
        <v>57</v>
      </c>
      <c r="E22" t="s">
        <v>119</v>
      </c>
      <c r="F22" s="2">
        <f>10*LOG(F5)+20*LOG(F6*F4)+20.4-F11</f>
        <v>33.573176629958972</v>
      </c>
      <c r="G22" s="34">
        <f>10*LOG(G5)+20*LOG(G6*G4)+20.4-G11</f>
        <v>41.696383408333546</v>
      </c>
      <c r="H22" t="s">
        <v>57</v>
      </c>
      <c r="I22" t="s">
        <v>90</v>
      </c>
      <c r="J22" s="2">
        <f>J20</f>
        <v>25.591994249096587</v>
      </c>
      <c r="K22" s="34">
        <f>K20</f>
        <v>28.554583334281887</v>
      </c>
    </row>
    <row r="23" spans="1:14" x14ac:dyDescent="0.35">
      <c r="A23" t="s">
        <v>95</v>
      </c>
      <c r="B23" s="2">
        <f>92.4+20*LOG(B6*B3)</f>
        <v>203.88062535455438</v>
      </c>
      <c r="C23" s="34">
        <f>92.4+20*LOG(C6*C3)</f>
        <v>205.46425027550688</v>
      </c>
      <c r="D23" t="s">
        <v>57</v>
      </c>
      <c r="E23" t="s">
        <v>95</v>
      </c>
      <c r="F23" s="2">
        <f t="shared" ref="F23:G23" si="1">92.4+20*LOG(F6*F3)</f>
        <v>205.46425027550688</v>
      </c>
      <c r="G23" s="34">
        <f t="shared" si="1"/>
        <v>205.46425027550688</v>
      </c>
      <c r="H23" t="s">
        <v>57</v>
      </c>
      <c r="I23" t="s">
        <v>91</v>
      </c>
      <c r="J23" s="2">
        <f>F28</f>
        <v>15.55161764222396</v>
      </c>
      <c r="K23" s="34">
        <f>G28</f>
        <v>15.57482442059856</v>
      </c>
    </row>
    <row r="24" spans="1:14" x14ac:dyDescent="0.35">
      <c r="A24" t="s">
        <v>230</v>
      </c>
      <c r="B24" s="2">
        <f>290*(10^(B8/10)-1)</f>
        <v>75.08836942030851</v>
      </c>
      <c r="C24" s="34">
        <f>290*(10^(C8/10)-1)</f>
        <v>75.08836942030851</v>
      </c>
      <c r="D24" t="s">
        <v>61</v>
      </c>
      <c r="E24" t="s">
        <v>230</v>
      </c>
      <c r="F24" s="2">
        <f>290*(10^(F8/10)-1)</f>
        <v>75.08836942030851</v>
      </c>
      <c r="G24" s="34">
        <f>290*(10^(G8/10)-1)</f>
        <v>75.08836942030851</v>
      </c>
      <c r="H24" t="s">
        <v>61</v>
      </c>
      <c r="I24" t="s">
        <v>92</v>
      </c>
      <c r="J24" s="2">
        <f>-10*LOG(((10^(-J22/10))+(10^(-J23/10))))</f>
        <v>15.141345918820917</v>
      </c>
      <c r="K24" s="34">
        <f>-10*LOG((1/(10^(K22/10))+1/(10^(K23/10))))</f>
        <v>15.361472213998786</v>
      </c>
    </row>
    <row r="25" spans="1:14" x14ac:dyDescent="0.35">
      <c r="A25" t="s">
        <v>64</v>
      </c>
      <c r="B25" s="33">
        <f>B7*10^(-B11/10)+290*(10^(B8/10)-1)+290*(10^(B10/10)-1)/10^(B9/10)+290*(1-10^(-B11/10))</f>
        <v>125.08836942030851</v>
      </c>
      <c r="C25" s="33">
        <f>C7*10^(-C11/10)+290*(10^(C8/10)-1)+290*(10^(C10/10)-1)/10^(C9/10)+290*(1-10^(-C11/10))</f>
        <v>125.08836942030851</v>
      </c>
      <c r="D25" t="s">
        <v>61</v>
      </c>
      <c r="E25" t="s">
        <v>64</v>
      </c>
      <c r="F25" s="10">
        <f>F7*10^(-F11/10)+290*(10^(F8/10)-1)+290*(10^(F10/10)-1)/10^(F9/10)+290*(1-10^(-F11/10))</f>
        <v>125.08836942030851</v>
      </c>
      <c r="G25" s="33">
        <f>G7*10^(-G11/10)+290*(10^(G8/10)-1)+290*(10^(G10/10)-1)/10^(G9/10)+290*(1-10^(-G11/10))</f>
        <v>125.08836942030851</v>
      </c>
      <c r="H25" t="s">
        <v>61</v>
      </c>
      <c r="K25" s="31"/>
    </row>
    <row r="26" spans="1:14" x14ac:dyDescent="0.35">
      <c r="A26" t="s">
        <v>88</v>
      </c>
      <c r="B26" s="2">
        <f>B22-10*LOG(B25)</f>
        <v>13.119989260652183</v>
      </c>
      <c r="C26" s="34">
        <f>C22-10*LOG(C25)</f>
        <v>13.626106565947588</v>
      </c>
      <c r="D26" t="s">
        <v>89</v>
      </c>
      <c r="E26" t="s">
        <v>88</v>
      </c>
      <c r="F26" s="2">
        <f>F22-10*LOG(F25)</f>
        <v>12.60100731650973</v>
      </c>
      <c r="G26" s="34">
        <f>G22-10*LOG(G25)</f>
        <v>20.724214094884303</v>
      </c>
      <c r="H26" t="s">
        <v>89</v>
      </c>
      <c r="I26" t="s">
        <v>70</v>
      </c>
      <c r="J26" s="2"/>
      <c r="K26" s="34">
        <f>K24-10*LOG(G19/G20)</f>
        <v>12.21128680409238</v>
      </c>
    </row>
    <row r="27" spans="1:14" s="19" customFormat="1" x14ac:dyDescent="0.35">
      <c r="A27" t="s">
        <v>59</v>
      </c>
      <c r="B27" s="2">
        <f>B2-B23+B22+B9</f>
        <v>-67.78846678045295</v>
      </c>
      <c r="C27" s="34">
        <f>C2-C23+C22+C9</f>
        <v>-68.865974396110062</v>
      </c>
      <c r="D27" t="s">
        <v>57</v>
      </c>
      <c r="E27" t="s">
        <v>59</v>
      </c>
      <c r="F27" s="2">
        <f>F2-F23+F22+F9</f>
        <v>-66.89107364554792</v>
      </c>
      <c r="G27" s="34">
        <f>G2-G23+G22+G9</f>
        <v>-66.867866867173333</v>
      </c>
      <c r="H27" t="s">
        <v>57</v>
      </c>
      <c r="I27" s="37" t="s">
        <v>74</v>
      </c>
      <c r="J27"/>
      <c r="K27" s="34">
        <f>G30</f>
        <v>5.4080021296173451</v>
      </c>
      <c r="L27"/>
      <c r="M27"/>
      <c r="N27"/>
    </row>
    <row r="28" spans="1:14" s="19" customFormat="1" x14ac:dyDescent="0.35">
      <c r="A28" s="19" t="s">
        <v>65</v>
      </c>
      <c r="B28" s="20">
        <f>B2-B23+B22-10*LOG(B25*B20*10^6)+228.6</f>
        <v>13.764813673951124</v>
      </c>
      <c r="C28" s="34">
        <f>C2-C23+C22-10*LOG(C25*C20*10^6)+228.6</f>
        <v>12.687306058294013</v>
      </c>
      <c r="D28" s="19" t="s">
        <v>57</v>
      </c>
      <c r="E28" s="19" t="s">
        <v>65</v>
      </c>
      <c r="F28" s="20">
        <f>F2-F23+F22-10*LOG(F25*F20*10^6)+228.6</f>
        <v>15.55161764222396</v>
      </c>
      <c r="G28" s="34">
        <f>G2-G23+G22-10*LOG(G25*G20*10^6)+228.6</f>
        <v>15.57482442059856</v>
      </c>
      <c r="H28" s="19" t="s">
        <v>57</v>
      </c>
      <c r="I28" t="s">
        <v>83</v>
      </c>
      <c r="J28"/>
      <c r="K28" s="34">
        <f>K26-K27</f>
        <v>6.8032846744750346</v>
      </c>
      <c r="L28"/>
      <c r="M28"/>
      <c r="N28"/>
    </row>
    <row r="29" spans="1:14" x14ac:dyDescent="0.35">
      <c r="A29" s="19" t="s">
        <v>70</v>
      </c>
      <c r="B29" s="20">
        <f>B28-10*LOG(B19/B20)</f>
        <v>13.661961949966562</v>
      </c>
      <c r="C29" s="34">
        <f>C28-10*LOG(C19/C20)</f>
        <v>12.58445433430945</v>
      </c>
      <c r="D29" s="19" t="s">
        <v>57</v>
      </c>
      <c r="E29" s="19" t="s">
        <v>70</v>
      </c>
      <c r="F29" s="20">
        <f>F28-10*LOG(F19/F20)</f>
        <v>12.401432232317553</v>
      </c>
      <c r="G29" s="34">
        <f>G28-10*LOG(G19/G20)</f>
        <v>12.424639010692154</v>
      </c>
      <c r="H29" s="19" t="s">
        <v>57</v>
      </c>
      <c r="I29" s="2"/>
    </row>
    <row r="30" spans="1:14" x14ac:dyDescent="0.35">
      <c r="A30" t="s">
        <v>83</v>
      </c>
      <c r="B30" s="2">
        <f>B29-B18</f>
        <v>8.1619619499665621</v>
      </c>
      <c r="C30" s="34">
        <f>C29-C18</f>
        <v>7.0844543343094504</v>
      </c>
      <c r="D30" t="s">
        <v>57</v>
      </c>
      <c r="E30" s="19" t="s">
        <v>74</v>
      </c>
      <c r="F30" s="20">
        <f>F18-10*LOG(F17)</f>
        <v>5.4080021296173451</v>
      </c>
      <c r="G30" s="34">
        <f>G18-10*LOG(G17)</f>
        <v>5.4080021296173451</v>
      </c>
      <c r="H30" s="19"/>
      <c r="I30" s="2"/>
      <c r="J30">
        <f>-90+10*LOG(4*PI()*37500^2*10^6)</f>
        <v>72.47272399477535</v>
      </c>
    </row>
    <row r="31" spans="1:14" x14ac:dyDescent="0.35">
      <c r="E31" t="s">
        <v>77</v>
      </c>
      <c r="F31" s="2">
        <f>F29+10*LOG(F17)</f>
        <v>16.343430102700207</v>
      </c>
      <c r="G31" s="34">
        <f>G29+10*LOG(G17)</f>
        <v>16.366636881074808</v>
      </c>
      <c r="H31" t="s">
        <v>57</v>
      </c>
      <c r="J31">
        <f>72.47-52.82</f>
        <v>19.649999999999999</v>
      </c>
    </row>
    <row r="32" spans="1:14" x14ac:dyDescent="0.35">
      <c r="C32" s="2"/>
      <c r="E32" t="s">
        <v>83</v>
      </c>
      <c r="F32" s="2">
        <f>F31-F18</f>
        <v>6.9934301027002075</v>
      </c>
      <c r="G32" s="34">
        <f>G31-G18</f>
        <v>7.0166368810748079</v>
      </c>
      <c r="H32" t="s">
        <v>57</v>
      </c>
      <c r="J32">
        <f>10^(J31/10)</f>
        <v>92.257142715476306</v>
      </c>
      <c r="K32" s="13">
        <f>-90+10*LOG(4/36)</f>
        <v>-99.542425094393252</v>
      </c>
    </row>
    <row r="33" spans="1:10" x14ac:dyDescent="0.35">
      <c r="C33" s="3">
        <f>4.03-10*LOG(1.487473)</f>
        <v>2.305509086632334</v>
      </c>
    </row>
    <row r="34" spans="1:10" x14ac:dyDescent="0.35">
      <c r="B34" s="2"/>
      <c r="C34" s="13">
        <f>10^(C33/20)</f>
        <v>1.303993583328624</v>
      </c>
      <c r="F34" s="2"/>
      <c r="G34" s="2">
        <f>14.65-10*LOG(27.5/33)</f>
        <v>15.441812460476248</v>
      </c>
      <c r="J34">
        <f>10*LOG(0.65)+20*LOG(14*5.6)+20.4</f>
        <v>56.415454820117326</v>
      </c>
    </row>
    <row r="35" spans="1:10" x14ac:dyDescent="0.35">
      <c r="F35" s="2"/>
      <c r="G35" s="2"/>
    </row>
    <row r="46" spans="1:10" x14ac:dyDescent="0.35">
      <c r="A46" t="s">
        <v>63</v>
      </c>
      <c r="B46">
        <v>50</v>
      </c>
    </row>
    <row r="47" spans="1:10" x14ac:dyDescent="0.35">
      <c r="A47" t="s">
        <v>233</v>
      </c>
      <c r="B47">
        <v>0.8</v>
      </c>
    </row>
    <row r="48" spans="1:10" x14ac:dyDescent="0.35">
      <c r="A48" t="s">
        <v>231</v>
      </c>
      <c r="B48">
        <v>50</v>
      </c>
    </row>
    <row r="49" spans="1:2" x14ac:dyDescent="0.35">
      <c r="A49" t="s">
        <v>232</v>
      </c>
      <c r="B49">
        <v>30</v>
      </c>
    </row>
    <row r="50" spans="1:2" x14ac:dyDescent="0.35">
      <c r="A50" t="s">
        <v>64</v>
      </c>
      <c r="B50" s="10">
        <f>B46+290*(10^(B47/10)-1)+290*(10^(B49/10)-1)/10^(B48/10)</f>
        <v>111.55378603904975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topLeftCell="A9" zoomScale="125" zoomScaleNormal="125" zoomScalePageLayoutView="125" workbookViewId="0">
      <selection activeCell="E13" sqref="E13"/>
    </sheetView>
  </sheetViews>
  <sheetFormatPr defaultColWidth="10.6640625" defaultRowHeight="15.5" x14ac:dyDescent="0.35"/>
  <sheetData>
    <row r="1" spans="1:4" x14ac:dyDescent="0.35">
      <c r="A1" t="s">
        <v>215</v>
      </c>
      <c r="B1">
        <v>33</v>
      </c>
    </row>
    <row r="2" spans="1:4" x14ac:dyDescent="0.35">
      <c r="A2" t="s">
        <v>216</v>
      </c>
      <c r="B2">
        <v>40</v>
      </c>
    </row>
    <row r="3" spans="1:4" x14ac:dyDescent="0.35">
      <c r="A3" t="s">
        <v>217</v>
      </c>
      <c r="B3">
        <v>42</v>
      </c>
    </row>
    <row r="4" spans="1:4" x14ac:dyDescent="0.35">
      <c r="A4" t="s">
        <v>16</v>
      </c>
      <c r="B4">
        <f>ACOS(COS((B3-B1)*PI()/180)*COS(B2*PI()/180))*180/PI()</f>
        <v>40.833475115251929</v>
      </c>
    </row>
    <row r="5" spans="1:4" x14ac:dyDescent="0.35">
      <c r="A5" t="s">
        <v>219</v>
      </c>
      <c r="B5" s="14">
        <f>ATAN((42164*COS(B4*PI()/180)-6378)/42164/SIN(B4*PI()/180))*180/PI()</f>
        <v>42.793542065009952</v>
      </c>
    </row>
    <row r="6" spans="1:4" x14ac:dyDescent="0.35">
      <c r="A6" t="s">
        <v>218</v>
      </c>
      <c r="B6">
        <f>180-ASIN(SIN((B3-B1)*PI()/180)/SIN(B4*PI()/180))*180/PI()</f>
        <v>166.15791973882401</v>
      </c>
    </row>
    <row r="8" spans="1:4" x14ac:dyDescent="0.35">
      <c r="A8" t="s">
        <v>32</v>
      </c>
      <c r="B8">
        <v>28.7</v>
      </c>
    </row>
    <row r="9" spans="1:4" x14ac:dyDescent="0.35">
      <c r="A9" t="s">
        <v>61</v>
      </c>
      <c r="B9">
        <v>1.8800000000000001E-2</v>
      </c>
    </row>
    <row r="10" spans="1:4" x14ac:dyDescent="0.35">
      <c r="A10" t="s">
        <v>145</v>
      </c>
      <c r="B10">
        <v>1.2170000000000001</v>
      </c>
    </row>
    <row r="11" spans="1:4" x14ac:dyDescent="0.35">
      <c r="A11" t="s">
        <v>93</v>
      </c>
      <c r="B11">
        <f>3.2-0.075*(B2-35)</f>
        <v>2.8250000000000002</v>
      </c>
    </row>
    <row r="12" spans="1:4" x14ac:dyDescent="0.35">
      <c r="A12" t="s">
        <v>94</v>
      </c>
      <c r="B12">
        <f>(3.2-0.075*(B2-35))/SIN(B5*PI()/180)</f>
        <v>4.1583340544883312</v>
      </c>
    </row>
    <row r="13" spans="1:4" x14ac:dyDescent="0.35">
      <c r="A13" t="s">
        <v>241</v>
      </c>
      <c r="B13">
        <f>B9*B8^B10</f>
        <v>1.1178926933907201</v>
      </c>
    </row>
    <row r="14" spans="1:4" x14ac:dyDescent="0.35">
      <c r="A14" t="s">
        <v>240</v>
      </c>
      <c r="B14">
        <f>B13*B12</f>
        <v>4.6485712561903139</v>
      </c>
      <c r="C14" t="s">
        <v>57</v>
      </c>
    </row>
    <row r="16" spans="1:4" x14ac:dyDescent="0.35">
      <c r="D16">
        <v>0.1</v>
      </c>
    </row>
    <row r="17" spans="1:5" x14ac:dyDescent="0.35">
      <c r="D17">
        <f>365*24*D16/100</f>
        <v>8.76</v>
      </c>
      <c r="E17" t="s">
        <v>242</v>
      </c>
    </row>
    <row r="23" spans="1:5" x14ac:dyDescent="0.35">
      <c r="A23" t="s">
        <v>240</v>
      </c>
      <c r="B23">
        <v>7</v>
      </c>
    </row>
    <row r="24" spans="1:5" x14ac:dyDescent="0.35">
      <c r="A24" t="s">
        <v>238</v>
      </c>
      <c r="B24">
        <v>75</v>
      </c>
    </row>
    <row r="25" spans="1:5" x14ac:dyDescent="0.35">
      <c r="A25" t="s">
        <v>63</v>
      </c>
      <c r="B25">
        <v>50</v>
      </c>
      <c r="D25">
        <f>1/10^0.7</f>
        <v>0.19952623149688795</v>
      </c>
    </row>
    <row r="26" spans="1:5" x14ac:dyDescent="0.35">
      <c r="A26" t="s">
        <v>239</v>
      </c>
      <c r="B26">
        <f>B25+B24</f>
        <v>125</v>
      </c>
      <c r="D26">
        <f>310-127</f>
        <v>183</v>
      </c>
    </row>
    <row r="27" spans="1:5" x14ac:dyDescent="0.35">
      <c r="A27" t="s">
        <v>236</v>
      </c>
      <c r="B27">
        <f>275*(1-10^(-B23/10))</f>
        <v>220.1302863383558</v>
      </c>
    </row>
    <row r="28" spans="1:5" x14ac:dyDescent="0.35">
      <c r="A28" t="s">
        <v>243</v>
      </c>
      <c r="B28">
        <f>B25*(1-10^(-B23/10))+B27</f>
        <v>260.15397476351143</v>
      </c>
    </row>
    <row r="29" spans="1:5" x14ac:dyDescent="0.35">
      <c r="A29" t="s">
        <v>244</v>
      </c>
      <c r="B29">
        <f>B28+B24</f>
        <v>335.15397476351143</v>
      </c>
    </row>
    <row r="30" spans="1:5" x14ac:dyDescent="0.35">
      <c r="A30" t="s">
        <v>237</v>
      </c>
      <c r="B30">
        <f>10*LOG((B28/B26))</f>
        <v>3.1832045264461328</v>
      </c>
      <c r="D30">
        <f>0.0188*28.7^1.217</f>
        <v>1.1178926933907201</v>
      </c>
    </row>
    <row r="31" spans="1:5" x14ac:dyDescent="0.35">
      <c r="D31">
        <f>10*LOG(335/125)</f>
        <v>4.2813479402878887</v>
      </c>
    </row>
    <row r="34" spans="1:2" x14ac:dyDescent="0.35">
      <c r="A34" t="s">
        <v>65</v>
      </c>
      <c r="B34">
        <v>20</v>
      </c>
    </row>
    <row r="35" spans="1:2" x14ac:dyDescent="0.35">
      <c r="A35" t="s">
        <v>245</v>
      </c>
      <c r="B35">
        <v>30</v>
      </c>
    </row>
    <row r="36" spans="1:2" x14ac:dyDescent="0.35">
      <c r="A36" t="s">
        <v>246</v>
      </c>
      <c r="B36">
        <v>300</v>
      </c>
    </row>
    <row r="37" spans="1:2" x14ac:dyDescent="0.35">
      <c r="A37" t="s">
        <v>247</v>
      </c>
      <c r="B37">
        <v>300</v>
      </c>
    </row>
    <row r="38" spans="1:2" x14ac:dyDescent="0.35">
      <c r="A38" t="s">
        <v>248</v>
      </c>
      <c r="B38">
        <f>-10*LOG((10^(-B34/10)+10^(-B35/10)+10^(-B36/10)+10^(-B37/10)))</f>
        <v>19.58607314841775</v>
      </c>
    </row>
    <row r="41" spans="1:2" x14ac:dyDescent="0.35">
      <c r="A41" t="s">
        <v>14</v>
      </c>
      <c r="B41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4"/>
  <sheetViews>
    <sheetView topLeftCell="A26" zoomScaleNormal="100" zoomScalePageLayoutView="125" workbookViewId="0">
      <selection activeCell="G37" sqref="G37"/>
    </sheetView>
  </sheetViews>
  <sheetFormatPr defaultColWidth="10.6640625" defaultRowHeight="15.5" x14ac:dyDescent="0.35"/>
  <cols>
    <col min="11" max="11" width="10.1640625" bestFit="1" customWidth="1"/>
    <col min="12" max="12" width="3.1640625" bestFit="1" customWidth="1"/>
    <col min="13" max="17" width="2.1640625" bestFit="1" customWidth="1"/>
    <col min="19" max="19" width="13" bestFit="1" customWidth="1"/>
    <col min="20" max="20" width="3.1640625" bestFit="1" customWidth="1"/>
    <col min="21" max="25" width="2.1640625" bestFit="1" customWidth="1"/>
  </cols>
  <sheetData>
    <row r="1" spans="1:25" x14ac:dyDescent="0.35">
      <c r="A1" t="s">
        <v>70</v>
      </c>
      <c r="B1" t="s">
        <v>96</v>
      </c>
    </row>
    <row r="2" spans="1:25" x14ac:dyDescent="0.35">
      <c r="A2">
        <v>1</v>
      </c>
      <c r="B2" s="13">
        <v>5.6329999999999998E-2</v>
      </c>
      <c r="K2" s="21" t="s">
        <v>142</v>
      </c>
      <c r="L2" s="21"/>
      <c r="M2" s="21"/>
      <c r="N2" s="21"/>
      <c r="O2" s="21"/>
      <c r="P2" s="21"/>
      <c r="Q2" s="21"/>
      <c r="R2" s="21"/>
      <c r="S2" s="21" t="s">
        <v>143</v>
      </c>
      <c r="T2" s="21"/>
      <c r="U2" s="21"/>
      <c r="V2" s="21"/>
      <c r="W2" s="21"/>
      <c r="X2" s="21"/>
      <c r="Y2" s="21"/>
    </row>
    <row r="3" spans="1:25" x14ac:dyDescent="0.35">
      <c r="A3">
        <v>2</v>
      </c>
      <c r="B3" s="13">
        <v>3.5839999999999997E-2</v>
      </c>
      <c r="K3" s="21">
        <v>13</v>
      </c>
      <c r="L3" s="21">
        <v>10</v>
      </c>
      <c r="M3" s="21">
        <v>7</v>
      </c>
      <c r="N3" s="21">
        <v>4</v>
      </c>
      <c r="O3" s="22">
        <v>1</v>
      </c>
      <c r="P3" s="21"/>
      <c r="Q3" s="21"/>
      <c r="R3" s="21"/>
      <c r="S3" s="21">
        <v>13</v>
      </c>
      <c r="T3" s="21">
        <v>10</v>
      </c>
      <c r="U3" s="21">
        <v>7</v>
      </c>
      <c r="V3" s="21">
        <v>4</v>
      </c>
      <c r="W3" s="22">
        <v>1</v>
      </c>
      <c r="X3" s="22">
        <v>0</v>
      </c>
      <c r="Y3" s="22">
        <v>0</v>
      </c>
    </row>
    <row r="4" spans="1:25" x14ac:dyDescent="0.35">
      <c r="A4">
        <v>3</v>
      </c>
      <c r="B4" s="13">
        <v>2.2210000000000001E-2</v>
      </c>
      <c r="K4" s="21">
        <v>14</v>
      </c>
      <c r="L4" s="21">
        <v>11</v>
      </c>
      <c r="M4" s="21">
        <v>8</v>
      </c>
      <c r="N4" s="21">
        <v>5</v>
      </c>
      <c r="O4" s="22">
        <v>2</v>
      </c>
      <c r="P4" s="22">
        <v>0</v>
      </c>
      <c r="Q4" s="21"/>
      <c r="R4" s="21"/>
      <c r="S4" s="21"/>
      <c r="T4" s="21">
        <v>11</v>
      </c>
      <c r="U4" s="21">
        <v>8</v>
      </c>
      <c r="V4" s="21">
        <v>5</v>
      </c>
      <c r="W4" s="21">
        <v>2</v>
      </c>
      <c r="X4" s="22">
        <v>0</v>
      </c>
      <c r="Y4" s="22">
        <v>0</v>
      </c>
    </row>
    <row r="5" spans="1:25" x14ac:dyDescent="0.35">
      <c r="A5">
        <v>4</v>
      </c>
      <c r="B5" s="13">
        <v>1.18E-2</v>
      </c>
      <c r="K5" s="21">
        <v>15</v>
      </c>
      <c r="L5" s="21">
        <v>12</v>
      </c>
      <c r="M5" s="21">
        <v>9</v>
      </c>
      <c r="N5" s="21">
        <v>6</v>
      </c>
      <c r="O5" s="22">
        <v>3</v>
      </c>
      <c r="P5" s="22">
        <v>0</v>
      </c>
      <c r="Q5" s="22">
        <v>0</v>
      </c>
      <c r="R5" s="21"/>
      <c r="S5" s="21"/>
      <c r="T5" s="21"/>
      <c r="U5" s="21">
        <v>9</v>
      </c>
      <c r="V5" s="21">
        <v>6</v>
      </c>
      <c r="W5" s="21">
        <v>3</v>
      </c>
      <c r="X5" s="21">
        <v>0</v>
      </c>
      <c r="Y5" s="22">
        <v>0</v>
      </c>
    </row>
    <row r="6" spans="1:25" x14ac:dyDescent="0.35">
      <c r="A6">
        <v>5</v>
      </c>
      <c r="B6" s="13">
        <v>5.7270000000000003E-3</v>
      </c>
    </row>
    <row r="7" spans="1:25" x14ac:dyDescent="0.35">
      <c r="A7">
        <v>6</v>
      </c>
      <c r="B7" s="13">
        <v>2.307E-3</v>
      </c>
    </row>
    <row r="8" spans="1:25" x14ac:dyDescent="0.35">
      <c r="A8">
        <v>7</v>
      </c>
      <c r="B8" s="13">
        <v>7.9699999999999997E-4</v>
      </c>
    </row>
    <row r="9" spans="1:25" x14ac:dyDescent="0.35">
      <c r="A9">
        <v>8</v>
      </c>
      <c r="B9" s="13">
        <v>2.0000000000000001E-4</v>
      </c>
    </row>
    <row r="10" spans="1:25" x14ac:dyDescent="0.35">
      <c r="A10">
        <v>9</v>
      </c>
      <c r="B10" s="13">
        <v>3.3000000000000003E-5</v>
      </c>
    </row>
    <row r="11" spans="1:25" x14ac:dyDescent="0.35">
      <c r="A11">
        <v>10</v>
      </c>
      <c r="B11" s="13">
        <v>9.9999999999999995E-7</v>
      </c>
    </row>
    <row r="17" spans="1:5" x14ac:dyDescent="0.35">
      <c r="B17" t="s">
        <v>138</v>
      </c>
      <c r="C17" t="s">
        <v>137</v>
      </c>
    </row>
    <row r="18" spans="1:5" x14ac:dyDescent="0.35">
      <c r="A18" t="s">
        <v>52</v>
      </c>
      <c r="B18">
        <v>2</v>
      </c>
      <c r="C18">
        <v>2</v>
      </c>
      <c r="D18">
        <v>3</v>
      </c>
    </row>
    <row r="19" spans="1:5" x14ac:dyDescent="0.35">
      <c r="A19" t="s">
        <v>227</v>
      </c>
      <c r="B19">
        <v>30000</v>
      </c>
      <c r="C19">
        <v>30000</v>
      </c>
      <c r="D19">
        <v>30000</v>
      </c>
      <c r="E19" t="s">
        <v>167</v>
      </c>
    </row>
    <row r="20" spans="1:5" x14ac:dyDescent="0.35">
      <c r="A20" t="s">
        <v>72</v>
      </c>
      <c r="B20" s="12">
        <f>5/6</f>
        <v>0.83333333333333337</v>
      </c>
      <c r="C20" s="12">
        <v>0.75</v>
      </c>
      <c r="D20" s="12">
        <v>0.75</v>
      </c>
    </row>
    <row r="21" spans="1:5" x14ac:dyDescent="0.35">
      <c r="A21" t="s">
        <v>226</v>
      </c>
      <c r="B21" s="30">
        <f>188/204</f>
        <v>0.92156862745098034</v>
      </c>
      <c r="C21" s="30">
        <f>188/204</f>
        <v>0.92156862745098034</v>
      </c>
      <c r="D21" s="30">
        <f>188/204</f>
        <v>0.92156862745098034</v>
      </c>
    </row>
    <row r="22" spans="1:5" x14ac:dyDescent="0.35">
      <c r="A22" t="s">
        <v>71</v>
      </c>
      <c r="B22" s="2">
        <f>B19*B18*B20*B21/1000</f>
        <v>46.078431372549012</v>
      </c>
      <c r="C22" s="2">
        <f>C19*C18*C20*C21/1000</f>
        <v>41.470588235294109</v>
      </c>
      <c r="D22" s="2">
        <f>D19*D18*D20*D21/1000</f>
        <v>62.205882352941174</v>
      </c>
      <c r="E22" t="s">
        <v>73</v>
      </c>
    </row>
    <row r="24" spans="1:5" x14ac:dyDescent="0.35">
      <c r="A24" t="s">
        <v>353</v>
      </c>
    </row>
    <row r="25" spans="1:5" x14ac:dyDescent="0.35">
      <c r="A25" t="s">
        <v>352</v>
      </c>
      <c r="B25">
        <v>8</v>
      </c>
      <c r="C25" t="s">
        <v>57</v>
      </c>
    </row>
    <row r="26" spans="1:5" x14ac:dyDescent="0.35">
      <c r="A26" t="s">
        <v>169</v>
      </c>
      <c r="B26" s="45">
        <v>1000000</v>
      </c>
      <c r="C26" t="s">
        <v>130</v>
      </c>
    </row>
    <row r="27" spans="1:5" x14ac:dyDescent="0.35">
      <c r="A27" t="s">
        <v>228</v>
      </c>
      <c r="B27" s="45">
        <f>B26*LOG(1+10^(B25/10),2)</f>
        <v>2869787.2191702854</v>
      </c>
      <c r="C27" t="s">
        <v>350</v>
      </c>
    </row>
    <row r="29" spans="1:5" x14ac:dyDescent="0.35">
      <c r="A29" t="s">
        <v>68</v>
      </c>
      <c r="B29" s="45">
        <v>30000</v>
      </c>
      <c r="C29" t="s">
        <v>168</v>
      </c>
    </row>
    <row r="30" spans="1:5" x14ac:dyDescent="0.35">
      <c r="A30" t="s">
        <v>354</v>
      </c>
      <c r="B30">
        <v>4</v>
      </c>
    </row>
    <row r="31" spans="1:5" x14ac:dyDescent="0.35">
      <c r="A31" t="s">
        <v>355</v>
      </c>
      <c r="B31" s="12">
        <v>1</v>
      </c>
    </row>
    <row r="32" spans="1:5" x14ac:dyDescent="0.35">
      <c r="A32" t="s">
        <v>99</v>
      </c>
      <c r="B32">
        <v>0.2</v>
      </c>
    </row>
    <row r="33" spans="1:3" x14ac:dyDescent="0.35">
      <c r="A33" t="s">
        <v>71</v>
      </c>
      <c r="B33" s="45">
        <f>B29*LOG(B30,2)*B31</f>
        <v>60000</v>
      </c>
      <c r="C33" t="s">
        <v>168</v>
      </c>
    </row>
    <row r="34" spans="1:3" x14ac:dyDescent="0.35">
      <c r="A34" t="s">
        <v>171</v>
      </c>
      <c r="B34" s="45">
        <f>(1+B32)*B29</f>
        <v>36000</v>
      </c>
      <c r="C34" t="s">
        <v>356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55"/>
  <sheetViews>
    <sheetView topLeftCell="A49" zoomScale="125" zoomScaleNormal="125" zoomScalePageLayoutView="125" workbookViewId="0">
      <selection activeCell="B60" sqref="B60"/>
    </sheetView>
  </sheetViews>
  <sheetFormatPr defaultColWidth="10.6640625" defaultRowHeight="15.5" x14ac:dyDescent="0.35"/>
  <sheetData>
    <row r="2" spans="1:3" x14ac:dyDescent="0.35">
      <c r="A2" t="s">
        <v>107</v>
      </c>
      <c r="B2" s="14">
        <f>1326*COS(23.44*PI()/180)</f>
        <v>1216.57468833339</v>
      </c>
      <c r="C2" t="s">
        <v>106</v>
      </c>
    </row>
    <row r="3" spans="1:3" x14ac:dyDescent="0.35">
      <c r="A3" t="s">
        <v>108</v>
      </c>
      <c r="B3">
        <v>0.17</v>
      </c>
    </row>
    <row r="4" spans="1:3" x14ac:dyDescent="0.35">
      <c r="A4" t="s">
        <v>111</v>
      </c>
      <c r="B4">
        <v>0.2</v>
      </c>
    </row>
    <row r="5" spans="1:3" x14ac:dyDescent="0.35">
      <c r="A5" t="s">
        <v>17</v>
      </c>
      <c r="B5">
        <v>52</v>
      </c>
    </row>
    <row r="6" spans="1:3" x14ac:dyDescent="0.35">
      <c r="A6" t="s">
        <v>125</v>
      </c>
      <c r="B6">
        <v>0.16</v>
      </c>
    </row>
    <row r="7" spans="1:3" x14ac:dyDescent="0.35">
      <c r="A7" t="s">
        <v>124</v>
      </c>
      <c r="B7">
        <v>0</v>
      </c>
    </row>
    <row r="8" spans="1:3" x14ac:dyDescent="0.35">
      <c r="A8" t="s">
        <v>110</v>
      </c>
      <c r="B8" s="14">
        <f>B2*B3*B5*(1-B4)*(1-B6)*(1-B7)</f>
        <v>7227.0376045507373</v>
      </c>
    </row>
    <row r="9" spans="1:3" x14ac:dyDescent="0.35">
      <c r="A9" t="s">
        <v>59</v>
      </c>
      <c r="B9">
        <v>7000</v>
      </c>
    </row>
    <row r="10" spans="1:3" x14ac:dyDescent="0.35">
      <c r="A10" t="s">
        <v>17</v>
      </c>
      <c r="B10" s="14">
        <f>7000/B2/B3/(1-B6)/(1-B4)</f>
        <v>50.366418429979625</v>
      </c>
      <c r="C10" t="s">
        <v>109</v>
      </c>
    </row>
    <row r="13" spans="1:3" x14ac:dyDescent="0.35">
      <c r="A13" t="s">
        <v>17</v>
      </c>
      <c r="B13">
        <f>2.89*2.26*8</f>
        <v>52.251199999999997</v>
      </c>
    </row>
    <row r="16" spans="1:3" x14ac:dyDescent="0.35">
      <c r="B16">
        <v>8346</v>
      </c>
    </row>
    <row r="17" spans="1:4" x14ac:dyDescent="0.35">
      <c r="B17">
        <v>7007</v>
      </c>
    </row>
    <row r="18" spans="1:4" x14ac:dyDescent="0.35">
      <c r="B18">
        <f>(B16-B17)/B16</f>
        <v>0.16043613707165108</v>
      </c>
    </row>
    <row r="19" spans="1:4" x14ac:dyDescent="0.35">
      <c r="D19">
        <f>(10700+12750)/2</f>
        <v>11725</v>
      </c>
    </row>
    <row r="20" spans="1:4" x14ac:dyDescent="0.35">
      <c r="B20">
        <f>1353*0.17</f>
        <v>230.01000000000002</v>
      </c>
    </row>
    <row r="22" spans="1:4" x14ac:dyDescent="0.35">
      <c r="B22">
        <v>140</v>
      </c>
    </row>
    <row r="23" spans="1:4" x14ac:dyDescent="0.35">
      <c r="B23">
        <f>24*2*B22</f>
        <v>6720</v>
      </c>
    </row>
    <row r="24" spans="1:4" x14ac:dyDescent="0.35">
      <c r="A24" t="s">
        <v>112</v>
      </c>
      <c r="B24">
        <v>132</v>
      </c>
    </row>
    <row r="25" spans="1:4" x14ac:dyDescent="0.35">
      <c r="A25" t="s">
        <v>115</v>
      </c>
      <c r="B25">
        <v>6</v>
      </c>
    </row>
    <row r="26" spans="1:4" x14ac:dyDescent="0.35">
      <c r="A26" t="s">
        <v>111</v>
      </c>
      <c r="B26">
        <v>11</v>
      </c>
      <c r="C26" t="s">
        <v>113</v>
      </c>
    </row>
    <row r="27" spans="1:4" x14ac:dyDescent="0.35">
      <c r="A27" t="s">
        <v>114</v>
      </c>
      <c r="B27">
        <f>132*3*24</f>
        <v>9504</v>
      </c>
    </row>
    <row r="28" spans="1:4" x14ac:dyDescent="0.35">
      <c r="B28">
        <f>B27*0.9</f>
        <v>8553.6</v>
      </c>
      <c r="D28">
        <f>1143.51/1700</f>
        <v>0.67265294117647056</v>
      </c>
    </row>
    <row r="29" spans="1:4" x14ac:dyDescent="0.35">
      <c r="B29">
        <f>(8658-8327)/132</f>
        <v>2.5075757575757578</v>
      </c>
    </row>
    <row r="31" spans="1:4" x14ac:dyDescent="0.35">
      <c r="B31">
        <v>1.5</v>
      </c>
    </row>
    <row r="32" spans="1:4" x14ac:dyDescent="0.35">
      <c r="A32" t="s">
        <v>116</v>
      </c>
      <c r="B32">
        <f>0.5*3000*B31^2</f>
        <v>3375</v>
      </c>
      <c r="C32">
        <f>B32*361/86164</f>
        <v>14.14018615663154</v>
      </c>
    </row>
    <row r="34" spans="1:3" x14ac:dyDescent="0.35">
      <c r="A34" t="s">
        <v>117</v>
      </c>
      <c r="B34">
        <v>2.75</v>
      </c>
      <c r="C34" t="s">
        <v>52</v>
      </c>
    </row>
    <row r="35" spans="1:3" x14ac:dyDescent="0.35">
      <c r="A35" t="s">
        <v>118</v>
      </c>
      <c r="B35">
        <v>10.95</v>
      </c>
      <c r="C35" t="s">
        <v>50</v>
      </c>
    </row>
    <row r="36" spans="1:3" x14ac:dyDescent="0.35">
      <c r="A36" t="s">
        <v>120</v>
      </c>
      <c r="B36">
        <v>0.65</v>
      </c>
    </row>
    <row r="37" spans="1:3" x14ac:dyDescent="0.35">
      <c r="A37" t="s">
        <v>123</v>
      </c>
      <c r="B37">
        <v>120</v>
      </c>
      <c r="C37" t="s">
        <v>54</v>
      </c>
    </row>
    <row r="38" spans="1:3" x14ac:dyDescent="0.35">
      <c r="A38" t="s">
        <v>2</v>
      </c>
      <c r="B38">
        <v>500</v>
      </c>
      <c r="C38" t="s">
        <v>61</v>
      </c>
    </row>
    <row r="39" spans="1:3" x14ac:dyDescent="0.35">
      <c r="A39" t="s">
        <v>119</v>
      </c>
      <c r="B39" s="3">
        <f>20*LOG10(B35*B34)+10*LOG(B36)+20.4</f>
        <v>48.104069826556547</v>
      </c>
      <c r="C39" t="s">
        <v>122</v>
      </c>
    </row>
    <row r="40" spans="1:3" x14ac:dyDescent="0.35">
      <c r="A40" t="s">
        <v>88</v>
      </c>
      <c r="B40" s="3">
        <f>B39-10*LOG10(B38)</f>
        <v>21.114369783196359</v>
      </c>
      <c r="C40" t="s">
        <v>89</v>
      </c>
    </row>
    <row r="41" spans="1:3" x14ac:dyDescent="0.35">
      <c r="A41" t="s">
        <v>55</v>
      </c>
      <c r="B41" s="3">
        <f>10*LOG10(B37)+B39</f>
        <v>68.895882287032791</v>
      </c>
      <c r="C41" t="s">
        <v>58</v>
      </c>
    </row>
    <row r="42" spans="1:3" x14ac:dyDescent="0.35">
      <c r="A42" t="s">
        <v>56</v>
      </c>
      <c r="B42" s="2">
        <f>21/B35/B34</f>
        <v>0.69738480697384808</v>
      </c>
      <c r="C42" t="s">
        <v>121</v>
      </c>
    </row>
    <row r="43" spans="1:3" x14ac:dyDescent="0.35">
      <c r="A43" t="s">
        <v>14</v>
      </c>
      <c r="B43" s="2">
        <v>0</v>
      </c>
    </row>
    <row r="44" spans="1:3" x14ac:dyDescent="0.35">
      <c r="A44" t="s">
        <v>176</v>
      </c>
      <c r="B44" s="14">
        <f>(42164-6378*COS(B43*PI()/180))/COS(B43*PI()/180)*B42*PI()/180</f>
        <v>435.57506180132856</v>
      </c>
      <c r="C44" t="s">
        <v>1</v>
      </c>
    </row>
    <row r="45" spans="1:3" x14ac:dyDescent="0.35">
      <c r="A45" t="s">
        <v>68</v>
      </c>
      <c r="B45" s="14">
        <f>SQRT(6378^2+42164^2-2*6378*42164*COS(B43*PI()/180))</f>
        <v>35786</v>
      </c>
      <c r="C45" t="s">
        <v>1</v>
      </c>
    </row>
    <row r="46" spans="1:3" x14ac:dyDescent="0.35">
      <c r="A46" t="s">
        <v>177</v>
      </c>
      <c r="B46" s="14">
        <f>B45*B42*PI()/180</f>
        <v>435.57506180132856</v>
      </c>
    </row>
    <row r="47" spans="1:3" x14ac:dyDescent="0.35">
      <c r="A47" t="s">
        <v>178</v>
      </c>
      <c r="B47" s="14">
        <f>B45*B42/6378/COS(B43*PI()/180)</f>
        <v>3.9129214020643035</v>
      </c>
      <c r="C47" t="s">
        <v>179</v>
      </c>
    </row>
    <row r="48" spans="1:3" x14ac:dyDescent="0.35">
      <c r="B48" s="14"/>
    </row>
    <row r="49" spans="1:3" x14ac:dyDescent="0.35">
      <c r="A49" t="s">
        <v>126</v>
      </c>
      <c r="B49" s="2">
        <v>14371</v>
      </c>
      <c r="C49" t="s">
        <v>127</v>
      </c>
    </row>
    <row r="50" spans="1:3" x14ac:dyDescent="0.35">
      <c r="A50" t="s">
        <v>128</v>
      </c>
      <c r="B50">
        <v>2.0640000000000001</v>
      </c>
      <c r="C50" t="s">
        <v>132</v>
      </c>
    </row>
    <row r="51" spans="1:3" x14ac:dyDescent="0.35">
      <c r="A51" t="s">
        <v>129</v>
      </c>
      <c r="B51">
        <v>3.3220000000000001</v>
      </c>
    </row>
    <row r="52" spans="1:3" x14ac:dyDescent="0.35">
      <c r="A52" t="s">
        <v>130</v>
      </c>
      <c r="B52">
        <v>0.88400000000000001</v>
      </c>
    </row>
    <row r="53" spans="1:3" x14ac:dyDescent="0.35">
      <c r="A53" t="s">
        <v>131</v>
      </c>
      <c r="B53">
        <f>SQRT(B52^2+B51^2+B50^2)</f>
        <v>4.0096428768657191</v>
      </c>
      <c r="C53" t="s">
        <v>132</v>
      </c>
    </row>
    <row r="54" spans="1:3" x14ac:dyDescent="0.35">
      <c r="A54" t="s">
        <v>133</v>
      </c>
      <c r="B54">
        <f>B53/B49</f>
        <v>2.7900931576548043E-4</v>
      </c>
    </row>
    <row r="55" spans="1:3" x14ac:dyDescent="0.35">
      <c r="A55" t="s">
        <v>134</v>
      </c>
      <c r="B55">
        <f>4500/(4*24*60)</f>
        <v>0.78125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2"/>
  <sheetViews>
    <sheetView zoomScale="125" zoomScaleNormal="125" zoomScalePageLayoutView="125" workbookViewId="0">
      <selection activeCell="C5" sqref="C5"/>
    </sheetView>
  </sheetViews>
  <sheetFormatPr defaultColWidth="10.6640625" defaultRowHeight="15.5" x14ac:dyDescent="0.35"/>
  <cols>
    <col min="1" max="2" width="9.33203125" bestFit="1" customWidth="1"/>
  </cols>
  <sheetData>
    <row r="1" spans="1:4" x14ac:dyDescent="0.35">
      <c r="A1" s="13" t="s">
        <v>173</v>
      </c>
      <c r="B1">
        <v>1850</v>
      </c>
      <c r="C1" s="13"/>
      <c r="D1" s="13"/>
    </row>
    <row r="2" spans="1:4" x14ac:dyDescent="0.35">
      <c r="A2" s="13" t="s">
        <v>174</v>
      </c>
      <c r="B2">
        <v>2600</v>
      </c>
      <c r="C2" s="13"/>
      <c r="D2" s="13"/>
    </row>
    <row r="3" spans="1:4" x14ac:dyDescent="0.35">
      <c r="A3" s="13" t="s">
        <v>175</v>
      </c>
      <c r="B3">
        <v>400</v>
      </c>
      <c r="C3" s="13"/>
      <c r="D3" s="13"/>
    </row>
    <row r="4" spans="1:4" x14ac:dyDescent="0.35">
      <c r="A4" s="13"/>
      <c r="C4" s="13"/>
      <c r="D4" s="13"/>
    </row>
    <row r="5" spans="1:4" x14ac:dyDescent="0.35">
      <c r="A5" s="13"/>
      <c r="B5">
        <f>SQRT(B2^2-B3^2)</f>
        <v>2569.0465157330259</v>
      </c>
      <c r="C5" s="13"/>
      <c r="D5" s="13"/>
    </row>
    <row r="6" spans="1:4" x14ac:dyDescent="0.35">
      <c r="A6" s="13"/>
      <c r="C6" s="13"/>
      <c r="D6" s="13"/>
    </row>
    <row r="7" spans="1:4" x14ac:dyDescent="0.35">
      <c r="A7" s="13"/>
      <c r="C7" s="13"/>
      <c r="D7" s="13"/>
    </row>
    <row r="8" spans="1:4" x14ac:dyDescent="0.35">
      <c r="A8" s="13"/>
      <c r="C8" s="13"/>
      <c r="D8" s="13"/>
    </row>
    <row r="9" spans="1:4" x14ac:dyDescent="0.35">
      <c r="A9" s="13"/>
      <c r="C9" s="13"/>
      <c r="D9" s="13"/>
    </row>
    <row r="10" spans="1:4" x14ac:dyDescent="0.35">
      <c r="A10" s="13"/>
      <c r="C10" s="13"/>
      <c r="D10" s="13"/>
    </row>
    <row r="11" spans="1:4" x14ac:dyDescent="0.35">
      <c r="A11" s="13"/>
      <c r="C11" s="13"/>
      <c r="D11" s="13"/>
    </row>
    <row r="12" spans="1:4" x14ac:dyDescent="0.35">
      <c r="A12" s="13"/>
      <c r="C12" s="13"/>
      <c r="D12" s="13"/>
    </row>
    <row r="13" spans="1:4" x14ac:dyDescent="0.35">
      <c r="A13" s="13"/>
      <c r="C13" s="13"/>
      <c r="D13" s="13"/>
    </row>
    <row r="14" spans="1:4" x14ac:dyDescent="0.35">
      <c r="A14" s="13"/>
      <c r="C14" s="13"/>
      <c r="D14" s="13"/>
    </row>
    <row r="15" spans="1:4" x14ac:dyDescent="0.35">
      <c r="A15" s="13"/>
      <c r="C15" s="13"/>
      <c r="D15" s="13"/>
    </row>
    <row r="16" spans="1:4" x14ac:dyDescent="0.35">
      <c r="A16" s="13"/>
      <c r="C16" s="13"/>
      <c r="D16" s="13"/>
    </row>
    <row r="17" spans="1:4" x14ac:dyDescent="0.35">
      <c r="A17" s="13"/>
      <c r="C17" s="13"/>
      <c r="D17" s="13"/>
    </row>
    <row r="18" spans="1:4" x14ac:dyDescent="0.35">
      <c r="A18" s="13"/>
      <c r="C18" s="13"/>
      <c r="D18" s="13"/>
    </row>
    <row r="19" spans="1:4" x14ac:dyDescent="0.35">
      <c r="A19" s="13"/>
      <c r="C19" s="13"/>
      <c r="D19" s="13"/>
    </row>
    <row r="20" spans="1:4" x14ac:dyDescent="0.35">
      <c r="A20" s="13"/>
      <c r="C20" s="13"/>
      <c r="D20" s="13"/>
    </row>
    <row r="21" spans="1:4" x14ac:dyDescent="0.35">
      <c r="A21" s="13"/>
      <c r="C21" s="13"/>
      <c r="D21" s="13"/>
    </row>
    <row r="22" spans="1:4" x14ac:dyDescent="0.35">
      <c r="A22" s="13"/>
      <c r="C22" s="13"/>
      <c r="D22" s="13"/>
    </row>
    <row r="23" spans="1:4" x14ac:dyDescent="0.35">
      <c r="A23" s="13"/>
      <c r="C23" s="13"/>
      <c r="D23" s="13"/>
    </row>
    <row r="24" spans="1:4" x14ac:dyDescent="0.35">
      <c r="A24" s="13"/>
      <c r="C24" s="13"/>
      <c r="D24" s="13"/>
    </row>
    <row r="25" spans="1:4" x14ac:dyDescent="0.35">
      <c r="A25" s="13"/>
      <c r="C25" s="13"/>
      <c r="D25" s="13"/>
    </row>
    <row r="26" spans="1:4" x14ac:dyDescent="0.35">
      <c r="A26" s="13"/>
      <c r="C26" s="13"/>
      <c r="D26" s="13"/>
    </row>
    <row r="27" spans="1:4" x14ac:dyDescent="0.35">
      <c r="A27" s="13"/>
      <c r="C27" s="13"/>
      <c r="D27" s="13"/>
    </row>
    <row r="28" spans="1:4" x14ac:dyDescent="0.35">
      <c r="A28" s="13"/>
      <c r="C28" s="13"/>
      <c r="D28" s="13"/>
    </row>
    <row r="29" spans="1:4" x14ac:dyDescent="0.35">
      <c r="A29" s="13"/>
      <c r="C29" s="13"/>
      <c r="D29" s="13"/>
    </row>
    <row r="30" spans="1:4" x14ac:dyDescent="0.35">
      <c r="A30" s="13"/>
      <c r="C30" s="13"/>
      <c r="D30" s="13"/>
    </row>
    <row r="31" spans="1:4" x14ac:dyDescent="0.35">
      <c r="A31" s="13"/>
      <c r="C31" s="13"/>
      <c r="D31" s="13"/>
    </row>
    <row r="32" spans="1:4" x14ac:dyDescent="0.35">
      <c r="A32" s="13"/>
      <c r="C32" s="13"/>
      <c r="D32" s="13"/>
    </row>
    <row r="33" spans="1:4" x14ac:dyDescent="0.35">
      <c r="A33" s="13"/>
      <c r="C33" s="13"/>
      <c r="D33" s="13"/>
    </row>
    <row r="34" spans="1:4" x14ac:dyDescent="0.35">
      <c r="A34" s="13"/>
      <c r="C34" s="13"/>
      <c r="D34" s="13"/>
    </row>
    <row r="35" spans="1:4" x14ac:dyDescent="0.35">
      <c r="A35" s="13"/>
      <c r="C35" s="13"/>
      <c r="D35" s="13"/>
    </row>
    <row r="36" spans="1:4" x14ac:dyDescent="0.35">
      <c r="A36" s="13"/>
      <c r="C36" s="13"/>
      <c r="D36" s="13"/>
    </row>
    <row r="37" spans="1:4" x14ac:dyDescent="0.35">
      <c r="A37" s="13"/>
      <c r="C37" s="13"/>
      <c r="D37" s="13"/>
    </row>
    <row r="38" spans="1:4" x14ac:dyDescent="0.35">
      <c r="A38" s="13"/>
      <c r="C38" s="13"/>
      <c r="D38" s="13"/>
    </row>
    <row r="39" spans="1:4" x14ac:dyDescent="0.35">
      <c r="A39" s="13"/>
      <c r="C39" s="13"/>
      <c r="D39" s="13"/>
    </row>
    <row r="40" spans="1:4" x14ac:dyDescent="0.35">
      <c r="A40" s="13"/>
      <c r="C40" s="13"/>
      <c r="D40" s="13"/>
    </row>
    <row r="41" spans="1:4" x14ac:dyDescent="0.35">
      <c r="A41" s="13"/>
      <c r="C41" s="13"/>
      <c r="D41" s="13"/>
    </row>
    <row r="42" spans="1:4" x14ac:dyDescent="0.35">
      <c r="A42" s="13"/>
      <c r="C42" s="13"/>
      <c r="D42" s="13"/>
    </row>
    <row r="43" spans="1:4" x14ac:dyDescent="0.35">
      <c r="A43" s="13"/>
      <c r="C43" s="13"/>
      <c r="D43" s="13"/>
    </row>
    <row r="44" spans="1:4" x14ac:dyDescent="0.35">
      <c r="A44" s="13"/>
      <c r="C44" s="13"/>
      <c r="D44" s="13"/>
    </row>
    <row r="45" spans="1:4" x14ac:dyDescent="0.35">
      <c r="A45" s="13"/>
      <c r="C45" s="13"/>
      <c r="D45" s="13"/>
    </row>
    <row r="46" spans="1:4" x14ac:dyDescent="0.35">
      <c r="A46" s="13"/>
      <c r="C46" s="13"/>
      <c r="D46" s="13"/>
    </row>
    <row r="47" spans="1:4" x14ac:dyDescent="0.35">
      <c r="A47" s="13"/>
      <c r="C47" s="13"/>
      <c r="D47" s="13"/>
    </row>
    <row r="48" spans="1:4" x14ac:dyDescent="0.35">
      <c r="A48" s="13"/>
      <c r="C48" s="13"/>
      <c r="D48" s="13"/>
    </row>
    <row r="49" spans="1:4" x14ac:dyDescent="0.35">
      <c r="A49" s="13"/>
      <c r="C49" s="13"/>
      <c r="D49" s="13"/>
    </row>
    <row r="50" spans="1:4" x14ac:dyDescent="0.35">
      <c r="A50" s="13"/>
      <c r="C50" s="13"/>
      <c r="D50" s="13"/>
    </row>
    <row r="51" spans="1:4" x14ac:dyDescent="0.35">
      <c r="A51" s="13"/>
      <c r="C51" s="13"/>
      <c r="D51" s="13"/>
    </row>
    <row r="52" spans="1:4" x14ac:dyDescent="0.35">
      <c r="A52" s="13"/>
      <c r="C52" s="13"/>
      <c r="D52" s="13"/>
    </row>
    <row r="53" spans="1:4" x14ac:dyDescent="0.35">
      <c r="A53" s="13"/>
      <c r="C53" s="13"/>
      <c r="D53" s="13"/>
    </row>
    <row r="54" spans="1:4" x14ac:dyDescent="0.35">
      <c r="A54" s="13"/>
      <c r="C54" s="13"/>
      <c r="D54" s="13"/>
    </row>
    <row r="55" spans="1:4" x14ac:dyDescent="0.35">
      <c r="A55" s="13"/>
      <c r="C55" s="13"/>
      <c r="D55" s="13"/>
    </row>
    <row r="56" spans="1:4" x14ac:dyDescent="0.35">
      <c r="A56" s="13"/>
      <c r="C56" s="13"/>
      <c r="D56" s="13"/>
    </row>
    <row r="57" spans="1:4" x14ac:dyDescent="0.35">
      <c r="A57" s="13"/>
      <c r="C57" s="13"/>
      <c r="D57" s="13"/>
    </row>
    <row r="58" spans="1:4" x14ac:dyDescent="0.35">
      <c r="A58" s="13"/>
      <c r="C58" s="13"/>
      <c r="D58" s="13"/>
    </row>
    <row r="59" spans="1:4" x14ac:dyDescent="0.35">
      <c r="A59" s="13"/>
      <c r="C59" s="13"/>
      <c r="D59" s="13"/>
    </row>
    <row r="60" spans="1:4" x14ac:dyDescent="0.35">
      <c r="A60" s="13"/>
      <c r="C60" s="13"/>
      <c r="D60" s="13"/>
    </row>
    <row r="61" spans="1:4" x14ac:dyDescent="0.35">
      <c r="A61" s="13"/>
      <c r="C61" s="13"/>
      <c r="D61" s="13"/>
    </row>
    <row r="62" spans="1:4" x14ac:dyDescent="0.35">
      <c r="A62" s="13"/>
      <c r="C62" s="13"/>
      <c r="D62" s="13"/>
    </row>
    <row r="63" spans="1:4" x14ac:dyDescent="0.35">
      <c r="A63" s="13"/>
      <c r="C63" s="13"/>
      <c r="D63" s="13"/>
    </row>
    <row r="64" spans="1:4" x14ac:dyDescent="0.35">
      <c r="A64" s="13"/>
      <c r="C64" s="13"/>
      <c r="D64" s="13"/>
    </row>
    <row r="65" spans="1:4" x14ac:dyDescent="0.35">
      <c r="A65" s="13"/>
      <c r="C65" s="13"/>
      <c r="D65" s="13"/>
    </row>
    <row r="66" spans="1:4" x14ac:dyDescent="0.35">
      <c r="A66" s="13"/>
      <c r="C66" s="13"/>
      <c r="D66" s="13"/>
    </row>
    <row r="67" spans="1:4" x14ac:dyDescent="0.35">
      <c r="A67" s="13"/>
      <c r="C67" s="13"/>
      <c r="D67" s="13"/>
    </row>
    <row r="68" spans="1:4" x14ac:dyDescent="0.35">
      <c r="A68" s="13"/>
      <c r="C68" s="13"/>
      <c r="D68" s="13"/>
    </row>
    <row r="69" spans="1:4" x14ac:dyDescent="0.35">
      <c r="A69" s="13"/>
      <c r="C69" s="13"/>
      <c r="D69" s="13"/>
    </row>
    <row r="70" spans="1:4" x14ac:dyDescent="0.35">
      <c r="A70" s="13"/>
      <c r="C70" s="13"/>
      <c r="D70" s="13"/>
    </row>
    <row r="71" spans="1:4" x14ac:dyDescent="0.35">
      <c r="A71" s="13"/>
      <c r="C71" s="13"/>
      <c r="D71" s="13"/>
    </row>
    <row r="72" spans="1:4" x14ac:dyDescent="0.35">
      <c r="A72" s="13"/>
      <c r="C72" s="13"/>
      <c r="D72" s="13"/>
    </row>
    <row r="73" spans="1:4" x14ac:dyDescent="0.35">
      <c r="A73" s="13"/>
      <c r="C73" s="13"/>
      <c r="D73" s="13"/>
    </row>
    <row r="74" spans="1:4" x14ac:dyDescent="0.35">
      <c r="A74" s="13"/>
      <c r="C74" s="13"/>
      <c r="D74" s="13"/>
    </row>
    <row r="75" spans="1:4" x14ac:dyDescent="0.35">
      <c r="A75" s="13"/>
      <c r="C75" s="13"/>
      <c r="D75" s="13"/>
    </row>
    <row r="76" spans="1:4" x14ac:dyDescent="0.35">
      <c r="A76" s="13"/>
      <c r="C76" s="13"/>
      <c r="D76" s="13"/>
    </row>
    <row r="77" spans="1:4" x14ac:dyDescent="0.35">
      <c r="A77" s="13"/>
      <c r="C77" s="13"/>
      <c r="D77" s="13"/>
    </row>
    <row r="78" spans="1:4" x14ac:dyDescent="0.35">
      <c r="A78" s="13"/>
      <c r="C78" s="13"/>
      <c r="D78" s="13"/>
    </row>
    <row r="79" spans="1:4" x14ac:dyDescent="0.35">
      <c r="A79" s="13"/>
      <c r="C79" s="13"/>
      <c r="D79" s="13"/>
    </row>
    <row r="80" spans="1:4" x14ac:dyDescent="0.35">
      <c r="A80" s="13"/>
      <c r="C80" s="13"/>
      <c r="D80" s="13"/>
    </row>
    <row r="81" spans="1:4" x14ac:dyDescent="0.35">
      <c r="A81" s="13"/>
      <c r="C81" s="13"/>
      <c r="D81" s="13"/>
    </row>
    <row r="82" spans="1:4" x14ac:dyDescent="0.35">
      <c r="A82" s="13"/>
      <c r="C82" s="13"/>
      <c r="D82" s="13"/>
    </row>
    <row r="83" spans="1:4" x14ac:dyDescent="0.35">
      <c r="A83" s="13"/>
      <c r="C83" s="13"/>
      <c r="D83" s="13"/>
    </row>
    <row r="84" spans="1:4" x14ac:dyDescent="0.35">
      <c r="A84" s="13"/>
      <c r="C84" s="13"/>
      <c r="D84" s="13"/>
    </row>
    <row r="85" spans="1:4" x14ac:dyDescent="0.35">
      <c r="A85" s="13"/>
      <c r="C85" s="13"/>
      <c r="D85" s="13"/>
    </row>
    <row r="86" spans="1:4" x14ac:dyDescent="0.35">
      <c r="A86" s="13"/>
      <c r="C86" s="13"/>
      <c r="D86" s="13"/>
    </row>
    <row r="87" spans="1:4" x14ac:dyDescent="0.35">
      <c r="A87" s="13"/>
      <c r="C87" s="13"/>
      <c r="D87" s="13"/>
    </row>
    <row r="88" spans="1:4" x14ac:dyDescent="0.35">
      <c r="A88" s="13"/>
      <c r="C88" s="13"/>
      <c r="D88" s="13"/>
    </row>
    <row r="89" spans="1:4" x14ac:dyDescent="0.35">
      <c r="A89" s="13"/>
      <c r="C89" s="13"/>
      <c r="D89" s="13"/>
    </row>
    <row r="90" spans="1:4" x14ac:dyDescent="0.35">
      <c r="A90" s="13"/>
      <c r="C90" s="13"/>
      <c r="D90" s="13"/>
    </row>
    <row r="91" spans="1:4" x14ac:dyDescent="0.35">
      <c r="A91" s="13"/>
      <c r="C91" s="13"/>
      <c r="D91" s="13"/>
    </row>
    <row r="92" spans="1:4" x14ac:dyDescent="0.35">
      <c r="A92" s="13"/>
      <c r="C92" s="13"/>
      <c r="D92" s="13"/>
    </row>
    <row r="93" spans="1:4" x14ac:dyDescent="0.35">
      <c r="A93" s="13"/>
      <c r="C93" s="13"/>
      <c r="D93" s="13"/>
    </row>
    <row r="94" spans="1:4" x14ac:dyDescent="0.35">
      <c r="A94" s="13"/>
      <c r="C94" s="13"/>
      <c r="D94" s="13"/>
    </row>
    <row r="95" spans="1:4" x14ac:dyDescent="0.35">
      <c r="A95" s="13"/>
      <c r="C95" s="13"/>
      <c r="D95" s="13"/>
    </row>
    <row r="96" spans="1:4" x14ac:dyDescent="0.35">
      <c r="A96" s="13"/>
      <c r="C96" s="13"/>
      <c r="D96" s="13"/>
    </row>
    <row r="97" spans="1:4" x14ac:dyDescent="0.35">
      <c r="A97" s="13"/>
      <c r="C97" s="13"/>
      <c r="D97" s="13"/>
    </row>
    <row r="98" spans="1:4" x14ac:dyDescent="0.35">
      <c r="A98" s="13"/>
      <c r="C98" s="13"/>
      <c r="D98" s="13"/>
    </row>
    <row r="99" spans="1:4" x14ac:dyDescent="0.35">
      <c r="A99" s="13"/>
      <c r="C99" s="13"/>
      <c r="D99" s="13"/>
    </row>
    <row r="100" spans="1:4" x14ac:dyDescent="0.35">
      <c r="A100" s="13"/>
      <c r="C100" s="13"/>
      <c r="D100" s="13"/>
    </row>
    <row r="101" spans="1:4" x14ac:dyDescent="0.35">
      <c r="A101" s="13"/>
      <c r="C101" s="13"/>
      <c r="D101" s="13"/>
    </row>
    <row r="102" spans="1:4" x14ac:dyDescent="0.35">
      <c r="A102" s="13"/>
      <c r="C102" s="13"/>
      <c r="D102" s="13"/>
    </row>
    <row r="103" spans="1:4" x14ac:dyDescent="0.35">
      <c r="A103" s="13"/>
      <c r="C103" s="13"/>
      <c r="D103" s="13"/>
    </row>
    <row r="104" spans="1:4" x14ac:dyDescent="0.35">
      <c r="A104" s="13"/>
      <c r="C104" s="13"/>
      <c r="D104" s="13"/>
    </row>
    <row r="105" spans="1:4" x14ac:dyDescent="0.35">
      <c r="A105" s="13"/>
      <c r="C105" s="13"/>
      <c r="D105" s="13"/>
    </row>
    <row r="106" spans="1:4" x14ac:dyDescent="0.35">
      <c r="A106" s="13"/>
      <c r="C106" s="13"/>
      <c r="D106" s="13"/>
    </row>
    <row r="107" spans="1:4" x14ac:dyDescent="0.35">
      <c r="A107" s="13"/>
      <c r="C107" s="13"/>
      <c r="D107" s="13"/>
    </row>
    <row r="108" spans="1:4" x14ac:dyDescent="0.35">
      <c r="A108" s="13"/>
      <c r="C108" s="13"/>
      <c r="D108" s="13"/>
    </row>
    <row r="109" spans="1:4" x14ac:dyDescent="0.35">
      <c r="A109" s="13"/>
      <c r="C109" s="13"/>
      <c r="D109" s="13"/>
    </row>
    <row r="110" spans="1:4" x14ac:dyDescent="0.35">
      <c r="A110" s="13"/>
      <c r="C110" s="13"/>
      <c r="D110" s="13"/>
    </row>
    <row r="111" spans="1:4" x14ac:dyDescent="0.35">
      <c r="A111" s="13"/>
      <c r="C111" s="13"/>
      <c r="D111" s="13"/>
    </row>
    <row r="112" spans="1:4" x14ac:dyDescent="0.35">
      <c r="A112" s="13"/>
      <c r="C112" s="13"/>
      <c r="D112" s="13"/>
    </row>
    <row r="113" spans="1:4" x14ac:dyDescent="0.35">
      <c r="A113" s="13"/>
      <c r="C113" s="13"/>
      <c r="D113" s="13"/>
    </row>
    <row r="114" spans="1:4" x14ac:dyDescent="0.35">
      <c r="A114" s="13"/>
      <c r="C114" s="13"/>
      <c r="D114" s="13"/>
    </row>
    <row r="115" spans="1:4" x14ac:dyDescent="0.35">
      <c r="A115" s="13"/>
      <c r="C115" s="13"/>
      <c r="D115" s="13"/>
    </row>
    <row r="116" spans="1:4" x14ac:dyDescent="0.35">
      <c r="A116" s="13"/>
      <c r="C116" s="13"/>
      <c r="D116" s="13"/>
    </row>
    <row r="117" spans="1:4" x14ac:dyDescent="0.35">
      <c r="A117" s="13"/>
      <c r="C117" s="13"/>
      <c r="D117" s="13"/>
    </row>
    <row r="118" spans="1:4" x14ac:dyDescent="0.35">
      <c r="A118" s="13"/>
      <c r="C118" s="13"/>
      <c r="D118" s="13"/>
    </row>
    <row r="119" spans="1:4" x14ac:dyDescent="0.35">
      <c r="A119" s="13"/>
      <c r="C119" s="13"/>
      <c r="D119" s="13"/>
    </row>
    <row r="120" spans="1:4" x14ac:dyDescent="0.35">
      <c r="A120" s="13"/>
      <c r="C120" s="13"/>
      <c r="D120" s="13"/>
    </row>
    <row r="121" spans="1:4" x14ac:dyDescent="0.35">
      <c r="A121" s="13"/>
      <c r="C121" s="13"/>
      <c r="D121" s="13"/>
    </row>
    <row r="122" spans="1:4" x14ac:dyDescent="0.35">
      <c r="A122" s="13"/>
      <c r="C122" s="13"/>
      <c r="D122" s="13"/>
    </row>
    <row r="123" spans="1:4" x14ac:dyDescent="0.35">
      <c r="A123" s="13"/>
      <c r="C123" s="13"/>
      <c r="D123" s="13"/>
    </row>
    <row r="124" spans="1:4" x14ac:dyDescent="0.35">
      <c r="A124" s="13"/>
      <c r="C124" s="13"/>
      <c r="D124" s="13"/>
    </row>
    <row r="125" spans="1:4" x14ac:dyDescent="0.35">
      <c r="A125" s="13"/>
      <c r="C125" s="13"/>
      <c r="D125" s="13"/>
    </row>
    <row r="126" spans="1:4" x14ac:dyDescent="0.35">
      <c r="A126" s="13"/>
      <c r="C126" s="13"/>
      <c r="D126" s="13"/>
    </row>
    <row r="127" spans="1:4" x14ac:dyDescent="0.35">
      <c r="A127" s="13"/>
      <c r="C127" s="13"/>
      <c r="D127" s="13"/>
    </row>
    <row r="128" spans="1:4" x14ac:dyDescent="0.35">
      <c r="A128" s="13"/>
      <c r="C128" s="13"/>
      <c r="D128" s="13"/>
    </row>
    <row r="129" spans="1:4" x14ac:dyDescent="0.35">
      <c r="A129" s="13"/>
      <c r="C129" s="13"/>
      <c r="D129" s="13"/>
    </row>
    <row r="130" spans="1:4" x14ac:dyDescent="0.35">
      <c r="A130" s="13"/>
      <c r="C130" s="13"/>
      <c r="D130" s="13"/>
    </row>
    <row r="131" spans="1:4" x14ac:dyDescent="0.35">
      <c r="A131" s="13"/>
      <c r="C131" s="13"/>
      <c r="D131" s="13"/>
    </row>
    <row r="132" spans="1:4" x14ac:dyDescent="0.35">
      <c r="A132" s="13"/>
      <c r="C132" s="13"/>
      <c r="D132" s="13"/>
    </row>
    <row r="133" spans="1:4" x14ac:dyDescent="0.35">
      <c r="A133" s="13"/>
      <c r="C133" s="13"/>
      <c r="D133" s="13"/>
    </row>
    <row r="134" spans="1:4" x14ac:dyDescent="0.35">
      <c r="A134" s="13"/>
      <c r="C134" s="13"/>
      <c r="D134" s="13"/>
    </row>
    <row r="135" spans="1:4" x14ac:dyDescent="0.35">
      <c r="A135" s="13"/>
      <c r="C135" s="13"/>
      <c r="D135" s="13"/>
    </row>
    <row r="136" spans="1:4" x14ac:dyDescent="0.35">
      <c r="A136" s="13"/>
      <c r="C136" s="13"/>
      <c r="D136" s="13"/>
    </row>
    <row r="137" spans="1:4" x14ac:dyDescent="0.35">
      <c r="A137" s="13"/>
      <c r="C137" s="13"/>
      <c r="D137" s="13"/>
    </row>
    <row r="138" spans="1:4" x14ac:dyDescent="0.35">
      <c r="A138" s="13"/>
      <c r="C138" s="13"/>
      <c r="D138" s="13"/>
    </row>
    <row r="139" spans="1:4" x14ac:dyDescent="0.35">
      <c r="A139" s="13"/>
      <c r="C139" s="13"/>
      <c r="D139" s="13"/>
    </row>
    <row r="140" spans="1:4" x14ac:dyDescent="0.35">
      <c r="A140" s="13"/>
      <c r="C140" s="13"/>
      <c r="D140" s="13"/>
    </row>
    <row r="141" spans="1:4" x14ac:dyDescent="0.35">
      <c r="A141" s="13"/>
      <c r="C141" s="13"/>
      <c r="D141" s="13"/>
    </row>
    <row r="142" spans="1:4" x14ac:dyDescent="0.35">
      <c r="A142" s="13"/>
      <c r="C142" s="13"/>
      <c r="D142" s="13"/>
    </row>
    <row r="143" spans="1:4" x14ac:dyDescent="0.35">
      <c r="A143" s="13"/>
      <c r="C143" s="13"/>
      <c r="D143" s="13"/>
    </row>
    <row r="144" spans="1:4" x14ac:dyDescent="0.35">
      <c r="A144" s="13"/>
      <c r="C144" s="13"/>
      <c r="D144" s="13"/>
    </row>
    <row r="145" spans="1:4" x14ac:dyDescent="0.35">
      <c r="A145" s="13"/>
      <c r="C145" s="13"/>
      <c r="D145" s="13"/>
    </row>
    <row r="146" spans="1:4" x14ac:dyDescent="0.35">
      <c r="A146" s="13"/>
      <c r="C146" s="13"/>
      <c r="D146" s="13"/>
    </row>
    <row r="147" spans="1:4" x14ac:dyDescent="0.35">
      <c r="A147" s="13"/>
      <c r="C147" s="13"/>
      <c r="D147" s="13"/>
    </row>
    <row r="148" spans="1:4" x14ac:dyDescent="0.35">
      <c r="A148" s="13"/>
      <c r="C148" s="13"/>
      <c r="D148" s="13"/>
    </row>
    <row r="149" spans="1:4" x14ac:dyDescent="0.35">
      <c r="A149" s="13"/>
      <c r="C149" s="13"/>
      <c r="D149" s="13"/>
    </row>
    <row r="150" spans="1:4" x14ac:dyDescent="0.35">
      <c r="A150" s="13"/>
      <c r="C150" s="13"/>
      <c r="D150" s="13"/>
    </row>
    <row r="151" spans="1:4" x14ac:dyDescent="0.35">
      <c r="A151" s="13"/>
      <c r="C151" s="13"/>
      <c r="D151" s="13"/>
    </row>
    <row r="152" spans="1:4" x14ac:dyDescent="0.35">
      <c r="A152" s="13"/>
      <c r="C152" s="13"/>
      <c r="D152" s="13"/>
    </row>
    <row r="153" spans="1:4" x14ac:dyDescent="0.35">
      <c r="A153" s="13"/>
      <c r="C153" s="13"/>
      <c r="D153" s="13"/>
    </row>
    <row r="154" spans="1:4" x14ac:dyDescent="0.35">
      <c r="A154" s="13"/>
      <c r="C154" s="13"/>
      <c r="D154" s="13"/>
    </row>
    <row r="155" spans="1:4" x14ac:dyDescent="0.35">
      <c r="A155" s="13"/>
      <c r="C155" s="13"/>
      <c r="D155" s="13"/>
    </row>
    <row r="156" spans="1:4" x14ac:dyDescent="0.35">
      <c r="A156" s="13"/>
      <c r="C156" s="13"/>
      <c r="D156" s="13"/>
    </row>
    <row r="157" spans="1:4" x14ac:dyDescent="0.35">
      <c r="A157" s="13"/>
      <c r="C157" s="13"/>
      <c r="D157" s="13"/>
    </row>
    <row r="158" spans="1:4" x14ac:dyDescent="0.35">
      <c r="A158" s="13"/>
      <c r="C158" s="13"/>
      <c r="D158" s="13"/>
    </row>
    <row r="159" spans="1:4" x14ac:dyDescent="0.35">
      <c r="A159" s="13"/>
      <c r="C159" s="13"/>
      <c r="D159" s="13"/>
    </row>
    <row r="160" spans="1:4" x14ac:dyDescent="0.35">
      <c r="A160" s="13"/>
      <c r="C160" s="13"/>
      <c r="D160" s="13"/>
    </row>
    <row r="161" spans="1:4" x14ac:dyDescent="0.35">
      <c r="A161" s="13"/>
      <c r="C161" s="13"/>
      <c r="D161" s="13"/>
    </row>
    <row r="162" spans="1:4" x14ac:dyDescent="0.35">
      <c r="A162" s="13"/>
      <c r="C162" s="13"/>
      <c r="D162" s="13"/>
    </row>
    <row r="163" spans="1:4" x14ac:dyDescent="0.35">
      <c r="A163" s="13"/>
      <c r="C163" s="13"/>
      <c r="D163" s="13"/>
    </row>
    <row r="164" spans="1:4" x14ac:dyDescent="0.35">
      <c r="A164" s="13"/>
      <c r="C164" s="13"/>
      <c r="D164" s="13"/>
    </row>
    <row r="165" spans="1:4" x14ac:dyDescent="0.35">
      <c r="A165" s="13"/>
      <c r="C165" s="13"/>
      <c r="D165" s="13"/>
    </row>
    <row r="166" spans="1:4" x14ac:dyDescent="0.35">
      <c r="A166" s="13"/>
      <c r="C166" s="13"/>
      <c r="D166" s="13"/>
    </row>
    <row r="167" spans="1:4" x14ac:dyDescent="0.35">
      <c r="A167" s="13"/>
      <c r="C167" s="13"/>
      <c r="D167" s="13"/>
    </row>
    <row r="168" spans="1:4" x14ac:dyDescent="0.35">
      <c r="A168" s="13"/>
      <c r="C168" s="13"/>
      <c r="D168" s="13"/>
    </row>
    <row r="169" spans="1:4" x14ac:dyDescent="0.35">
      <c r="A169" s="13"/>
      <c r="C169" s="13"/>
      <c r="D169" s="13"/>
    </row>
    <row r="170" spans="1:4" x14ac:dyDescent="0.35">
      <c r="A170" s="13"/>
      <c r="C170" s="13"/>
      <c r="D170" s="13"/>
    </row>
    <row r="171" spans="1:4" x14ac:dyDescent="0.35">
      <c r="A171" s="13"/>
      <c r="C171" s="13"/>
      <c r="D171" s="13"/>
    </row>
    <row r="172" spans="1:4" x14ac:dyDescent="0.35">
      <c r="A172" s="13"/>
      <c r="C172" s="13"/>
      <c r="D172" s="13"/>
    </row>
    <row r="173" spans="1:4" x14ac:dyDescent="0.35">
      <c r="A173" s="13"/>
      <c r="C173" s="13"/>
      <c r="D173" s="13"/>
    </row>
    <row r="174" spans="1:4" x14ac:dyDescent="0.35">
      <c r="A174" s="13"/>
      <c r="C174" s="13"/>
      <c r="D174" s="13"/>
    </row>
    <row r="175" spans="1:4" x14ac:dyDescent="0.35">
      <c r="A175" s="13"/>
      <c r="C175" s="13"/>
      <c r="D175" s="13"/>
    </row>
    <row r="176" spans="1:4" x14ac:dyDescent="0.35">
      <c r="A176" s="13"/>
      <c r="C176" s="13"/>
      <c r="D176" s="13"/>
    </row>
    <row r="177" spans="1:4" x14ac:dyDescent="0.35">
      <c r="A177" s="13"/>
      <c r="C177" s="13"/>
      <c r="D177" s="13"/>
    </row>
    <row r="178" spans="1:4" x14ac:dyDescent="0.35">
      <c r="A178" s="13"/>
      <c r="C178" s="13"/>
      <c r="D178" s="13"/>
    </row>
    <row r="179" spans="1:4" x14ac:dyDescent="0.35">
      <c r="A179" s="13"/>
      <c r="C179" s="13"/>
      <c r="D179" s="13"/>
    </row>
    <row r="180" spans="1:4" x14ac:dyDescent="0.35">
      <c r="A180" s="13"/>
      <c r="C180" s="13"/>
      <c r="D180" s="13"/>
    </row>
    <row r="181" spans="1:4" x14ac:dyDescent="0.35">
      <c r="A181" s="13"/>
      <c r="C181" s="13"/>
      <c r="D181" s="13"/>
    </row>
    <row r="182" spans="1:4" x14ac:dyDescent="0.35">
      <c r="A182" s="13"/>
      <c r="C182" s="13"/>
      <c r="D182" s="13"/>
    </row>
    <row r="183" spans="1:4" x14ac:dyDescent="0.35">
      <c r="A183" s="13"/>
      <c r="C183" s="13"/>
      <c r="D183" s="13"/>
    </row>
    <row r="184" spans="1:4" x14ac:dyDescent="0.35">
      <c r="A184" s="13"/>
      <c r="C184" s="13"/>
      <c r="D184" s="13"/>
    </row>
    <row r="185" spans="1:4" x14ac:dyDescent="0.35">
      <c r="A185" s="13"/>
      <c r="C185" s="13"/>
      <c r="D185" s="13"/>
    </row>
    <row r="186" spans="1:4" x14ac:dyDescent="0.35">
      <c r="A186" s="13"/>
      <c r="C186" s="13"/>
      <c r="D186" s="13"/>
    </row>
    <row r="187" spans="1:4" x14ac:dyDescent="0.35">
      <c r="A187" s="13"/>
      <c r="C187" s="13"/>
      <c r="D187" s="13"/>
    </row>
    <row r="188" spans="1:4" x14ac:dyDescent="0.35">
      <c r="A188" s="13"/>
      <c r="C188" s="13"/>
      <c r="D188" s="13"/>
    </row>
    <row r="189" spans="1:4" x14ac:dyDescent="0.35">
      <c r="A189" s="13"/>
      <c r="C189" s="13"/>
      <c r="D189" s="13"/>
    </row>
    <row r="190" spans="1:4" x14ac:dyDescent="0.35">
      <c r="A190" s="13"/>
      <c r="C190" s="13"/>
      <c r="D190" s="13"/>
    </row>
    <row r="191" spans="1:4" x14ac:dyDescent="0.35">
      <c r="A191" s="13"/>
      <c r="C191" s="13"/>
      <c r="D191" s="13"/>
    </row>
    <row r="192" spans="1:4" x14ac:dyDescent="0.35">
      <c r="A192" s="13"/>
      <c r="C192" s="13"/>
      <c r="D192" s="13"/>
    </row>
    <row r="193" spans="1:4" x14ac:dyDescent="0.35">
      <c r="A193" s="13"/>
      <c r="C193" s="13"/>
      <c r="D193" s="13"/>
    </row>
    <row r="194" spans="1:4" x14ac:dyDescent="0.35">
      <c r="A194" s="13"/>
      <c r="C194" s="13"/>
      <c r="D194" s="13"/>
    </row>
    <row r="195" spans="1:4" x14ac:dyDescent="0.35">
      <c r="A195" s="13"/>
      <c r="C195" s="13"/>
      <c r="D195" s="13"/>
    </row>
    <row r="196" spans="1:4" x14ac:dyDescent="0.35">
      <c r="A196" s="13"/>
      <c r="C196" s="13"/>
      <c r="D196" s="13"/>
    </row>
    <row r="197" spans="1:4" x14ac:dyDescent="0.35">
      <c r="A197" s="13"/>
      <c r="C197" s="13"/>
      <c r="D197" s="13"/>
    </row>
    <row r="198" spans="1:4" x14ac:dyDescent="0.35">
      <c r="A198" s="13"/>
      <c r="C198" s="13"/>
      <c r="D198" s="13"/>
    </row>
    <row r="199" spans="1:4" x14ac:dyDescent="0.35">
      <c r="A199" s="13"/>
      <c r="C199" s="13"/>
      <c r="D199" s="13"/>
    </row>
    <row r="200" spans="1:4" x14ac:dyDescent="0.35">
      <c r="A200" s="13"/>
      <c r="C200" s="13"/>
      <c r="D200" s="13"/>
    </row>
    <row r="201" spans="1:4" x14ac:dyDescent="0.35">
      <c r="A201" s="13"/>
      <c r="C201" s="13"/>
      <c r="D201" s="13"/>
    </row>
    <row r="202" spans="1:4" x14ac:dyDescent="0.35">
      <c r="A202" s="13"/>
      <c r="C202" s="13"/>
      <c r="D202" s="13"/>
    </row>
    <row r="203" spans="1:4" x14ac:dyDescent="0.35">
      <c r="A203" s="13"/>
      <c r="C203" s="13"/>
      <c r="D203" s="13"/>
    </row>
    <row r="204" spans="1:4" x14ac:dyDescent="0.35">
      <c r="A204" s="13"/>
      <c r="C204" s="13"/>
      <c r="D204" s="13"/>
    </row>
    <row r="205" spans="1:4" x14ac:dyDescent="0.35">
      <c r="A205" s="13"/>
      <c r="C205" s="13"/>
      <c r="D205" s="13"/>
    </row>
    <row r="206" spans="1:4" x14ac:dyDescent="0.35">
      <c r="A206" s="13"/>
      <c r="C206" s="13"/>
      <c r="D206" s="13"/>
    </row>
    <row r="207" spans="1:4" x14ac:dyDescent="0.35">
      <c r="A207" s="13"/>
      <c r="C207" s="13"/>
      <c r="D207" s="13"/>
    </row>
    <row r="208" spans="1:4" x14ac:dyDescent="0.35">
      <c r="A208" s="13"/>
      <c r="C208" s="13"/>
      <c r="D208" s="13"/>
    </row>
    <row r="209" spans="1:4" x14ac:dyDescent="0.35">
      <c r="A209" s="13"/>
      <c r="C209" s="13"/>
      <c r="D209" s="13"/>
    </row>
    <row r="210" spans="1:4" x14ac:dyDescent="0.35">
      <c r="A210" s="13"/>
      <c r="C210" s="13"/>
      <c r="D210" s="13"/>
    </row>
    <row r="211" spans="1:4" x14ac:dyDescent="0.35">
      <c r="A211" s="13"/>
      <c r="C211" s="13"/>
      <c r="D211" s="13"/>
    </row>
    <row r="212" spans="1:4" x14ac:dyDescent="0.35">
      <c r="A212" s="13"/>
      <c r="C212" s="13"/>
      <c r="D212" s="13"/>
    </row>
    <row r="213" spans="1:4" x14ac:dyDescent="0.35">
      <c r="A213" s="13"/>
      <c r="C213" s="13"/>
      <c r="D213" s="13"/>
    </row>
    <row r="214" spans="1:4" x14ac:dyDescent="0.35">
      <c r="A214" s="13"/>
      <c r="C214" s="13"/>
      <c r="D214" s="13"/>
    </row>
    <row r="215" spans="1:4" x14ac:dyDescent="0.35">
      <c r="A215" s="13"/>
      <c r="C215" s="13"/>
      <c r="D215" s="13"/>
    </row>
    <row r="216" spans="1:4" x14ac:dyDescent="0.35">
      <c r="A216" s="13"/>
      <c r="C216" s="13"/>
      <c r="D216" s="13"/>
    </row>
    <row r="217" spans="1:4" x14ac:dyDescent="0.35">
      <c r="A217" s="13"/>
      <c r="C217" s="13"/>
      <c r="D217" s="13"/>
    </row>
    <row r="218" spans="1:4" x14ac:dyDescent="0.35">
      <c r="A218" s="13"/>
      <c r="C218" s="13"/>
      <c r="D218" s="13"/>
    </row>
    <row r="219" spans="1:4" x14ac:dyDescent="0.35">
      <c r="A219" s="13"/>
      <c r="C219" s="13"/>
      <c r="D219" s="13"/>
    </row>
    <row r="220" spans="1:4" x14ac:dyDescent="0.35">
      <c r="A220" s="13"/>
      <c r="C220" s="13"/>
      <c r="D220" s="13"/>
    </row>
    <row r="221" spans="1:4" x14ac:dyDescent="0.35">
      <c r="A221" s="13"/>
      <c r="C221" s="13"/>
      <c r="D221" s="13"/>
    </row>
    <row r="222" spans="1:4" x14ac:dyDescent="0.35">
      <c r="A222" s="13"/>
      <c r="C222" s="13"/>
      <c r="D222" s="13"/>
    </row>
    <row r="223" spans="1:4" x14ac:dyDescent="0.35">
      <c r="A223" s="13"/>
      <c r="C223" s="13"/>
      <c r="D223" s="13"/>
    </row>
    <row r="224" spans="1:4" x14ac:dyDescent="0.35">
      <c r="A224" s="13"/>
      <c r="C224" s="13"/>
      <c r="D224" s="13"/>
    </row>
    <row r="225" spans="1:4" x14ac:dyDescent="0.35">
      <c r="A225" s="13"/>
      <c r="C225" s="13"/>
      <c r="D225" s="13"/>
    </row>
    <row r="226" spans="1:4" x14ac:dyDescent="0.35">
      <c r="A226" s="13"/>
      <c r="C226" s="13"/>
      <c r="D226" s="13"/>
    </row>
    <row r="227" spans="1:4" x14ac:dyDescent="0.35">
      <c r="A227" s="13"/>
      <c r="C227" s="13"/>
      <c r="D227" s="13"/>
    </row>
    <row r="228" spans="1:4" x14ac:dyDescent="0.35">
      <c r="A228" s="13"/>
      <c r="C228" s="13"/>
      <c r="D228" s="13"/>
    </row>
    <row r="229" spans="1:4" x14ac:dyDescent="0.35">
      <c r="A229" s="13"/>
      <c r="C229" s="13"/>
      <c r="D229" s="13"/>
    </row>
    <row r="230" spans="1:4" x14ac:dyDescent="0.35">
      <c r="A230" s="13"/>
      <c r="C230" s="13"/>
      <c r="D230" s="13"/>
    </row>
    <row r="231" spans="1:4" x14ac:dyDescent="0.35">
      <c r="A231" s="13"/>
      <c r="C231" s="13"/>
      <c r="D231" s="13"/>
    </row>
    <row r="232" spans="1:4" x14ac:dyDescent="0.35">
      <c r="A232" s="13"/>
      <c r="C232" s="13"/>
      <c r="D232" s="13"/>
    </row>
    <row r="233" spans="1:4" x14ac:dyDescent="0.35">
      <c r="A233" s="13"/>
      <c r="C233" s="13"/>
      <c r="D233" s="13"/>
    </row>
    <row r="234" spans="1:4" x14ac:dyDescent="0.35">
      <c r="A234" s="13"/>
      <c r="C234" s="13"/>
      <c r="D234" s="13"/>
    </row>
    <row r="235" spans="1:4" x14ac:dyDescent="0.35">
      <c r="A235" s="13"/>
      <c r="C235" s="13"/>
      <c r="D235" s="13"/>
    </row>
    <row r="236" spans="1:4" x14ac:dyDescent="0.35">
      <c r="A236" s="13"/>
      <c r="C236" s="13"/>
      <c r="D236" s="13"/>
    </row>
    <row r="237" spans="1:4" x14ac:dyDescent="0.35">
      <c r="A237" s="13"/>
      <c r="C237" s="13"/>
      <c r="D237" s="13"/>
    </row>
    <row r="238" spans="1:4" x14ac:dyDescent="0.35">
      <c r="A238" s="13"/>
      <c r="C238" s="13"/>
      <c r="D238" s="13"/>
    </row>
    <row r="239" spans="1:4" x14ac:dyDescent="0.35">
      <c r="A239" s="13"/>
      <c r="C239" s="13"/>
      <c r="D239" s="13"/>
    </row>
    <row r="240" spans="1:4" x14ac:dyDescent="0.35">
      <c r="A240" s="13"/>
      <c r="C240" s="13"/>
      <c r="D240" s="13"/>
    </row>
    <row r="241" spans="1:4" x14ac:dyDescent="0.35">
      <c r="A241" s="13"/>
      <c r="C241" s="13"/>
      <c r="D241" s="13"/>
    </row>
    <row r="242" spans="1:4" x14ac:dyDescent="0.35">
      <c r="A242" s="13"/>
      <c r="C242" s="13"/>
      <c r="D242" s="13"/>
    </row>
    <row r="243" spans="1:4" x14ac:dyDescent="0.35">
      <c r="A243" s="13"/>
      <c r="C243" s="13"/>
      <c r="D243" s="13"/>
    </row>
    <row r="244" spans="1:4" x14ac:dyDescent="0.35">
      <c r="A244" s="13"/>
      <c r="C244" s="13"/>
      <c r="D244" s="13"/>
    </row>
    <row r="245" spans="1:4" x14ac:dyDescent="0.35">
      <c r="A245" s="13"/>
      <c r="C245" s="13"/>
      <c r="D245" s="13"/>
    </row>
    <row r="246" spans="1:4" x14ac:dyDescent="0.35">
      <c r="A246" s="13"/>
      <c r="C246" s="13"/>
      <c r="D246" s="13"/>
    </row>
    <row r="247" spans="1:4" x14ac:dyDescent="0.35">
      <c r="A247" s="13"/>
      <c r="C247" s="13"/>
      <c r="D247" s="13"/>
    </row>
    <row r="248" spans="1:4" x14ac:dyDescent="0.35">
      <c r="A248" s="13"/>
      <c r="C248" s="13"/>
      <c r="D248" s="13"/>
    </row>
    <row r="249" spans="1:4" x14ac:dyDescent="0.35">
      <c r="A249" s="13"/>
      <c r="C249" s="13"/>
      <c r="D249" s="13"/>
    </row>
    <row r="250" spans="1:4" x14ac:dyDescent="0.35">
      <c r="A250" s="13"/>
      <c r="C250" s="13"/>
      <c r="D250" s="13"/>
    </row>
    <row r="251" spans="1:4" x14ac:dyDescent="0.35">
      <c r="A251" s="13"/>
      <c r="C251" s="13"/>
      <c r="D251" s="13"/>
    </row>
    <row r="252" spans="1:4" x14ac:dyDescent="0.35">
      <c r="A252" s="13"/>
      <c r="C252" s="13"/>
      <c r="D252" s="13"/>
    </row>
    <row r="253" spans="1:4" x14ac:dyDescent="0.35">
      <c r="A253" s="13"/>
      <c r="C253" s="13"/>
      <c r="D253" s="13"/>
    </row>
    <row r="254" spans="1:4" x14ac:dyDescent="0.35">
      <c r="A254" s="13"/>
      <c r="C254" s="13"/>
      <c r="D254" s="13"/>
    </row>
    <row r="255" spans="1:4" x14ac:dyDescent="0.35">
      <c r="A255" s="13"/>
      <c r="C255" s="13"/>
      <c r="D255" s="13"/>
    </row>
    <row r="256" spans="1:4" x14ac:dyDescent="0.35">
      <c r="A256" s="13"/>
      <c r="C256" s="13"/>
      <c r="D256" s="13"/>
    </row>
    <row r="257" spans="1:4" x14ac:dyDescent="0.35">
      <c r="A257" s="13"/>
      <c r="C257" s="13"/>
      <c r="D257" s="13"/>
    </row>
    <row r="258" spans="1:4" x14ac:dyDescent="0.35">
      <c r="A258" s="13"/>
      <c r="C258" s="13"/>
      <c r="D258" s="13"/>
    </row>
    <row r="259" spans="1:4" x14ac:dyDescent="0.35">
      <c r="A259" s="13"/>
      <c r="C259" s="13"/>
      <c r="D259" s="13"/>
    </row>
    <row r="260" spans="1:4" x14ac:dyDescent="0.35">
      <c r="A260" s="13"/>
      <c r="C260" s="13"/>
      <c r="D260" s="13"/>
    </row>
    <row r="261" spans="1:4" x14ac:dyDescent="0.35">
      <c r="A261" s="13"/>
      <c r="C261" s="13"/>
      <c r="D261" s="13"/>
    </row>
    <row r="262" spans="1:4" x14ac:dyDescent="0.35">
      <c r="A262" s="13"/>
      <c r="C262" s="13"/>
      <c r="D262" s="13"/>
    </row>
    <row r="263" spans="1:4" x14ac:dyDescent="0.35">
      <c r="A263" s="13"/>
      <c r="C263" s="13"/>
      <c r="D263" s="13"/>
    </row>
    <row r="264" spans="1:4" x14ac:dyDescent="0.35">
      <c r="A264" s="13"/>
      <c r="C264" s="13"/>
      <c r="D264" s="13"/>
    </row>
    <row r="265" spans="1:4" x14ac:dyDescent="0.35">
      <c r="A265" s="13"/>
      <c r="C265" s="13"/>
      <c r="D265" s="13"/>
    </row>
    <row r="266" spans="1:4" x14ac:dyDescent="0.35">
      <c r="A266" s="13"/>
      <c r="C266" s="13"/>
      <c r="D266" s="13"/>
    </row>
    <row r="267" spans="1:4" x14ac:dyDescent="0.35">
      <c r="A267" s="13"/>
      <c r="C267" s="13"/>
      <c r="D267" s="13"/>
    </row>
    <row r="268" spans="1:4" x14ac:dyDescent="0.35">
      <c r="A268" s="13"/>
      <c r="C268" s="13"/>
      <c r="D268" s="13"/>
    </row>
    <row r="269" spans="1:4" x14ac:dyDescent="0.35">
      <c r="A269" s="13"/>
      <c r="C269" s="13"/>
      <c r="D269" s="13"/>
    </row>
    <row r="270" spans="1:4" x14ac:dyDescent="0.35">
      <c r="A270" s="13"/>
      <c r="C270" s="13"/>
      <c r="D270" s="13"/>
    </row>
    <row r="271" spans="1:4" x14ac:dyDescent="0.35">
      <c r="A271" s="13"/>
      <c r="C271" s="13"/>
      <c r="D271" s="13"/>
    </row>
    <row r="272" spans="1:4" x14ac:dyDescent="0.35">
      <c r="A272" s="13"/>
      <c r="C272" s="13"/>
      <c r="D272" s="13"/>
    </row>
    <row r="273" spans="1:4" x14ac:dyDescent="0.35">
      <c r="A273" s="13"/>
      <c r="C273" s="13"/>
      <c r="D273" s="13"/>
    </row>
    <row r="274" spans="1:4" x14ac:dyDescent="0.35">
      <c r="A274" s="13"/>
      <c r="C274" s="13"/>
      <c r="D274" s="13"/>
    </row>
    <row r="275" spans="1:4" x14ac:dyDescent="0.35">
      <c r="A275" s="13"/>
      <c r="C275" s="13"/>
      <c r="D275" s="13"/>
    </row>
    <row r="276" spans="1:4" x14ac:dyDescent="0.35">
      <c r="A276" s="13"/>
      <c r="C276" s="13"/>
      <c r="D276" s="13"/>
    </row>
    <row r="277" spans="1:4" x14ac:dyDescent="0.35">
      <c r="A277" s="13"/>
      <c r="C277" s="13"/>
      <c r="D277" s="13"/>
    </row>
    <row r="278" spans="1:4" x14ac:dyDescent="0.35">
      <c r="A278" s="13"/>
      <c r="C278" s="13"/>
      <c r="D278" s="13"/>
    </row>
    <row r="279" spans="1:4" x14ac:dyDescent="0.35">
      <c r="A279" s="13"/>
      <c r="C279" s="13"/>
      <c r="D279" s="13"/>
    </row>
    <row r="280" spans="1:4" x14ac:dyDescent="0.35">
      <c r="A280" s="13"/>
      <c r="C280" s="13"/>
      <c r="D280" s="13"/>
    </row>
    <row r="281" spans="1:4" x14ac:dyDescent="0.35">
      <c r="A281" s="13"/>
      <c r="C281" s="13"/>
      <c r="D281" s="13"/>
    </row>
    <row r="282" spans="1:4" x14ac:dyDescent="0.35">
      <c r="A282" s="13"/>
      <c r="C282" s="13"/>
      <c r="D282" s="13"/>
    </row>
    <row r="283" spans="1:4" x14ac:dyDescent="0.35">
      <c r="A283" s="13"/>
      <c r="C283" s="13"/>
      <c r="D283" s="13"/>
    </row>
    <row r="284" spans="1:4" x14ac:dyDescent="0.35">
      <c r="A284" s="13"/>
      <c r="C284" s="13"/>
      <c r="D284" s="13"/>
    </row>
    <row r="285" spans="1:4" x14ac:dyDescent="0.35">
      <c r="A285" s="13"/>
      <c r="C285" s="13"/>
      <c r="D285" s="13"/>
    </row>
    <row r="286" spans="1:4" x14ac:dyDescent="0.35">
      <c r="A286" s="13"/>
      <c r="C286" s="13"/>
      <c r="D286" s="13"/>
    </row>
    <row r="287" spans="1:4" x14ac:dyDescent="0.35">
      <c r="A287" s="13"/>
      <c r="C287" s="13"/>
      <c r="D287" s="13"/>
    </row>
    <row r="288" spans="1:4" x14ac:dyDescent="0.35">
      <c r="A288" s="13"/>
      <c r="C288" s="13"/>
      <c r="D288" s="13"/>
    </row>
    <row r="289" spans="1:4" x14ac:dyDescent="0.35">
      <c r="A289" s="13"/>
      <c r="C289" s="13"/>
      <c r="D289" s="13"/>
    </row>
    <row r="290" spans="1:4" x14ac:dyDescent="0.35">
      <c r="A290" s="13"/>
      <c r="C290" s="13"/>
      <c r="D290" s="13"/>
    </row>
    <row r="291" spans="1:4" x14ac:dyDescent="0.35">
      <c r="A291" s="13"/>
      <c r="C291" s="13"/>
      <c r="D291" s="13"/>
    </row>
    <row r="292" spans="1:4" x14ac:dyDescent="0.35">
      <c r="A292" s="13"/>
      <c r="C292" s="13"/>
      <c r="D292" s="13"/>
    </row>
    <row r="293" spans="1:4" x14ac:dyDescent="0.35">
      <c r="A293" s="13"/>
      <c r="C293" s="13"/>
      <c r="D293" s="13"/>
    </row>
    <row r="294" spans="1:4" x14ac:dyDescent="0.35">
      <c r="A294" s="13"/>
      <c r="C294" s="13"/>
      <c r="D294" s="13"/>
    </row>
    <row r="295" spans="1:4" x14ac:dyDescent="0.35">
      <c r="A295" s="13"/>
      <c r="C295" s="13"/>
      <c r="D295" s="13"/>
    </row>
    <row r="296" spans="1:4" x14ac:dyDescent="0.35">
      <c r="A296" s="13"/>
      <c r="C296" s="13"/>
      <c r="D296" s="13"/>
    </row>
    <row r="297" spans="1:4" x14ac:dyDescent="0.35">
      <c r="A297" s="13"/>
      <c r="C297" s="13"/>
      <c r="D297" s="13"/>
    </row>
    <row r="298" spans="1:4" x14ac:dyDescent="0.35">
      <c r="A298" s="13"/>
      <c r="C298" s="13"/>
      <c r="D298" s="13"/>
    </row>
    <row r="299" spans="1:4" x14ac:dyDescent="0.35">
      <c r="A299" s="13"/>
      <c r="C299" s="13"/>
      <c r="D299" s="13"/>
    </row>
    <row r="300" spans="1:4" x14ac:dyDescent="0.35">
      <c r="A300" s="13"/>
      <c r="C300" s="13"/>
      <c r="D300" s="13"/>
    </row>
    <row r="301" spans="1:4" x14ac:dyDescent="0.35">
      <c r="A301" s="13"/>
      <c r="C301" s="13"/>
      <c r="D301" s="13"/>
    </row>
    <row r="302" spans="1:4" x14ac:dyDescent="0.35">
      <c r="A302" s="13"/>
      <c r="C302" s="13"/>
      <c r="D302" s="13"/>
    </row>
    <row r="303" spans="1:4" x14ac:dyDescent="0.35">
      <c r="A303" s="13"/>
      <c r="C303" s="13"/>
      <c r="D303" s="13"/>
    </row>
    <row r="304" spans="1:4" x14ac:dyDescent="0.35">
      <c r="A304" s="13"/>
      <c r="C304" s="13"/>
      <c r="D304" s="13"/>
    </row>
    <row r="305" spans="1:4" x14ac:dyDescent="0.35">
      <c r="A305" s="13"/>
      <c r="C305" s="13"/>
      <c r="D305" s="13"/>
    </row>
    <row r="306" spans="1:4" x14ac:dyDescent="0.35">
      <c r="A306" s="13"/>
      <c r="C306" s="13"/>
      <c r="D306" s="13"/>
    </row>
    <row r="307" spans="1:4" x14ac:dyDescent="0.35">
      <c r="A307" s="13"/>
      <c r="C307" s="13"/>
      <c r="D307" s="13"/>
    </row>
    <row r="308" spans="1:4" x14ac:dyDescent="0.35">
      <c r="A308" s="13"/>
      <c r="C308" s="13"/>
      <c r="D308" s="13"/>
    </row>
    <row r="309" spans="1:4" x14ac:dyDescent="0.35">
      <c r="A309" s="13"/>
      <c r="C309" s="13"/>
      <c r="D309" s="13"/>
    </row>
    <row r="310" spans="1:4" x14ac:dyDescent="0.35">
      <c r="A310" s="13"/>
      <c r="C310" s="13"/>
      <c r="D310" s="13"/>
    </row>
    <row r="311" spans="1:4" x14ac:dyDescent="0.35">
      <c r="A311" s="13"/>
      <c r="C311" s="13"/>
      <c r="D311" s="13"/>
    </row>
    <row r="312" spans="1:4" x14ac:dyDescent="0.35">
      <c r="A312" s="13"/>
      <c r="C312" s="13"/>
      <c r="D312" s="13"/>
    </row>
    <row r="313" spans="1:4" x14ac:dyDescent="0.35">
      <c r="A313" s="13"/>
      <c r="C313" s="13"/>
      <c r="D313" s="13"/>
    </row>
    <row r="314" spans="1:4" x14ac:dyDescent="0.35">
      <c r="A314" s="13"/>
      <c r="C314" s="13"/>
      <c r="D314" s="13"/>
    </row>
    <row r="315" spans="1:4" x14ac:dyDescent="0.35">
      <c r="A315" s="13"/>
      <c r="C315" s="13"/>
      <c r="D315" s="13"/>
    </row>
    <row r="316" spans="1:4" x14ac:dyDescent="0.35">
      <c r="A316" s="13"/>
      <c r="C316" s="13"/>
      <c r="D316" s="13"/>
    </row>
    <row r="317" spans="1:4" x14ac:dyDescent="0.35">
      <c r="A317" s="13"/>
      <c r="C317" s="13"/>
      <c r="D317" s="13"/>
    </row>
    <row r="318" spans="1:4" x14ac:dyDescent="0.35">
      <c r="A318" s="13"/>
      <c r="C318" s="13"/>
      <c r="D318" s="13"/>
    </row>
    <row r="319" spans="1:4" x14ac:dyDescent="0.35">
      <c r="A319" s="13"/>
      <c r="C319" s="13"/>
      <c r="D319" s="13"/>
    </row>
    <row r="320" spans="1:4" x14ac:dyDescent="0.35">
      <c r="A320" s="13"/>
      <c r="C320" s="13"/>
      <c r="D320" s="13"/>
    </row>
    <row r="321" spans="1:4" x14ac:dyDescent="0.35">
      <c r="A321" s="13"/>
      <c r="C321" s="13"/>
      <c r="D321" s="13"/>
    </row>
    <row r="322" spans="1:4" x14ac:dyDescent="0.35">
      <c r="A322" s="13"/>
      <c r="C322" s="13"/>
      <c r="D322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7"/>
  <sheetViews>
    <sheetView zoomScale="125" zoomScaleNormal="125" zoomScalePageLayoutView="125" workbookViewId="0">
      <selection activeCell="B47" sqref="B47"/>
    </sheetView>
  </sheetViews>
  <sheetFormatPr defaultColWidth="10.6640625" defaultRowHeight="15.5" x14ac:dyDescent="0.35"/>
  <cols>
    <col min="2" max="2" width="12.6640625" bestFit="1" customWidth="1"/>
  </cols>
  <sheetData>
    <row r="1" spans="1:2" x14ac:dyDescent="0.35">
      <c r="A1" t="s">
        <v>144</v>
      </c>
    </row>
    <row r="2" spans="1:2" x14ac:dyDescent="0.35">
      <c r="A2" t="s">
        <v>145</v>
      </c>
      <c r="B2">
        <v>2.1587000000000001</v>
      </c>
    </row>
    <row r="3" spans="1:2" x14ac:dyDescent="0.35">
      <c r="A3" t="s">
        <v>146</v>
      </c>
      <c r="B3">
        <v>1.1516999999999999</v>
      </c>
    </row>
    <row r="4" spans="1:2" x14ac:dyDescent="0.35">
      <c r="A4" t="s">
        <v>147</v>
      </c>
      <c r="B4" t="s">
        <v>148</v>
      </c>
    </row>
    <row r="5" spans="1:2" x14ac:dyDescent="0.35">
      <c r="A5">
        <v>0</v>
      </c>
      <c r="B5">
        <f>($B$2*A5)/(1+$B$3*A5^2)</f>
        <v>0</v>
      </c>
    </row>
    <row r="6" spans="1:2" x14ac:dyDescent="0.35">
      <c r="A6">
        <v>0.1</v>
      </c>
      <c r="B6">
        <f t="shared" ref="B6:B20" si="0">($B$2*A6)/(1+$B$3*A6^2)</f>
        <v>0.21341213247033911</v>
      </c>
    </row>
    <row r="7" spans="1:2" x14ac:dyDescent="0.35">
      <c r="A7">
        <v>0.2</v>
      </c>
      <c r="B7">
        <f t="shared" si="0"/>
        <v>0.41272651491107654</v>
      </c>
    </row>
    <row r="8" spans="1:2" x14ac:dyDescent="0.35">
      <c r="A8">
        <v>0.3</v>
      </c>
      <c r="B8">
        <f t="shared" si="0"/>
        <v>0.58678769504545358</v>
      </c>
    </row>
    <row r="9" spans="1:2" x14ac:dyDescent="0.35">
      <c r="A9">
        <v>0.4</v>
      </c>
      <c r="B9">
        <f t="shared" si="0"/>
        <v>0.72912303930178202</v>
      </c>
    </row>
    <row r="10" spans="1:2" x14ac:dyDescent="0.35">
      <c r="A10">
        <v>0.5</v>
      </c>
      <c r="B10">
        <f t="shared" si="0"/>
        <v>0.83805345808179832</v>
      </c>
    </row>
    <row r="11" spans="1:2" x14ac:dyDescent="0.35">
      <c r="A11">
        <v>0.6</v>
      </c>
      <c r="B11">
        <f t="shared" si="0"/>
        <v>0.91560088561386443</v>
      </c>
    </row>
    <row r="12" spans="1:2" x14ac:dyDescent="0.35">
      <c r="A12">
        <v>0.7</v>
      </c>
      <c r="B12">
        <f t="shared" si="0"/>
        <v>0.96596440783388193</v>
      </c>
    </row>
    <row r="13" spans="1:2" x14ac:dyDescent="0.35">
      <c r="A13">
        <v>0.8</v>
      </c>
      <c r="B13">
        <f t="shared" si="0"/>
        <v>0.99416955272271756</v>
      </c>
    </row>
    <row r="14" spans="1:2" x14ac:dyDescent="0.35">
      <c r="A14">
        <v>0.9</v>
      </c>
      <c r="B14">
        <f t="shared" si="0"/>
        <v>1.0051493188650908</v>
      </c>
    </row>
    <row r="15" spans="1:2" x14ac:dyDescent="0.35">
      <c r="A15">
        <v>1</v>
      </c>
      <c r="B15">
        <f t="shared" si="0"/>
        <v>1.003253241622903</v>
      </c>
    </row>
    <row r="16" spans="1:2" x14ac:dyDescent="0.35">
      <c r="A16">
        <v>1.1000000000000001</v>
      </c>
      <c r="B16">
        <f t="shared" si="0"/>
        <v>0.99206745442034594</v>
      </c>
    </row>
    <row r="17" spans="1:3" x14ac:dyDescent="0.35">
      <c r="A17">
        <v>1.2</v>
      </c>
      <c r="B17">
        <f t="shared" si="0"/>
        <v>0.97441815675913168</v>
      </c>
    </row>
    <row r="18" spans="1:3" x14ac:dyDescent="0.35">
      <c r="A18">
        <v>1.3</v>
      </c>
      <c r="B18">
        <f t="shared" si="0"/>
        <v>0.95246257008192781</v>
      </c>
    </row>
    <row r="19" spans="1:3" x14ac:dyDescent="0.35">
      <c r="A19">
        <v>1.4</v>
      </c>
      <c r="B19">
        <f t="shared" si="0"/>
        <v>0.92780840270503606</v>
      </c>
    </row>
    <row r="20" spans="1:3" x14ac:dyDescent="0.35">
      <c r="A20">
        <v>1.5</v>
      </c>
      <c r="B20">
        <f t="shared" si="0"/>
        <v>0.90163101362310583</v>
      </c>
    </row>
    <row r="22" spans="1:3" x14ac:dyDescent="0.35">
      <c r="A22">
        <v>600</v>
      </c>
      <c r="B22" t="s">
        <v>166</v>
      </c>
    </row>
    <row r="23" spans="1:3" x14ac:dyDescent="0.35">
      <c r="A23">
        <v>1.2</v>
      </c>
      <c r="B23" t="s">
        <v>69</v>
      </c>
    </row>
    <row r="24" spans="1:3" x14ac:dyDescent="0.35">
      <c r="A24">
        <f>A22/A23</f>
        <v>500</v>
      </c>
      <c r="B24" t="s">
        <v>167</v>
      </c>
    </row>
    <row r="25" spans="1:3" x14ac:dyDescent="0.35">
      <c r="A25" t="s">
        <v>70</v>
      </c>
      <c r="B25">
        <v>10</v>
      </c>
    </row>
    <row r="26" spans="1:3" x14ac:dyDescent="0.35">
      <c r="A26" t="s">
        <v>32</v>
      </c>
      <c r="B26">
        <v>1000</v>
      </c>
      <c r="C26" t="s">
        <v>168</v>
      </c>
    </row>
    <row r="27" spans="1:3" x14ac:dyDescent="0.35">
      <c r="A27" t="s">
        <v>169</v>
      </c>
      <c r="B27">
        <v>600</v>
      </c>
      <c r="C27" t="s">
        <v>166</v>
      </c>
    </row>
    <row r="28" spans="1:3" x14ac:dyDescent="0.35">
      <c r="A28" t="s">
        <v>65</v>
      </c>
      <c r="B28">
        <f>B25+10*LOG(B26/B27)</f>
        <v>12.218487496163565</v>
      </c>
    </row>
    <row r="29" spans="1:3" x14ac:dyDescent="0.35">
      <c r="A29" t="s">
        <v>96</v>
      </c>
      <c r="B29" s="13">
        <f>0.5*ERFC(SQRT(10^(B25/10)))</f>
        <v>3.8721082155220345E-6</v>
      </c>
    </row>
    <row r="33" spans="1:3" x14ac:dyDescent="0.35">
      <c r="A33" t="s">
        <v>65</v>
      </c>
      <c r="B33">
        <v>10</v>
      </c>
    </row>
    <row r="34" spans="1:3" x14ac:dyDescent="0.35">
      <c r="A34" t="s">
        <v>32</v>
      </c>
      <c r="B34">
        <v>1000</v>
      </c>
      <c r="C34" t="s">
        <v>168</v>
      </c>
    </row>
    <row r="35" spans="1:3" x14ac:dyDescent="0.35">
      <c r="A35" t="s">
        <v>169</v>
      </c>
      <c r="B35">
        <v>600</v>
      </c>
      <c r="C35" t="s">
        <v>166</v>
      </c>
    </row>
    <row r="36" spans="1:3" x14ac:dyDescent="0.35">
      <c r="A36" t="s">
        <v>70</v>
      </c>
      <c r="B36">
        <f>B33-10*LOG(B34/B35)</f>
        <v>7.7815125038364359</v>
      </c>
    </row>
    <row r="37" spans="1:3" x14ac:dyDescent="0.35">
      <c r="A37" t="s">
        <v>96</v>
      </c>
      <c r="B37" s="13">
        <f>0.5*ERFC(SQRT(10^(B36/10)))</f>
        <v>2.6600275256962456E-4</v>
      </c>
    </row>
    <row r="41" spans="1:3" x14ac:dyDescent="0.35">
      <c r="A41" t="s">
        <v>145</v>
      </c>
      <c r="B41">
        <v>0.35</v>
      </c>
    </row>
    <row r="42" spans="1:3" x14ac:dyDescent="0.35">
      <c r="A42" t="s">
        <v>170</v>
      </c>
      <c r="B42">
        <f>10*LOG(1-B41/4)</f>
        <v>-0.39767126871487696</v>
      </c>
    </row>
    <row r="44" spans="1:3" x14ac:dyDescent="0.35">
      <c r="A44" t="s">
        <v>68</v>
      </c>
      <c r="B44">
        <v>42.2</v>
      </c>
      <c r="C44" t="s">
        <v>75</v>
      </c>
    </row>
    <row r="45" spans="1:3" x14ac:dyDescent="0.35">
      <c r="A45" t="s">
        <v>69</v>
      </c>
      <c r="B45">
        <v>0.28000000000000003</v>
      </c>
    </row>
    <row r="46" spans="1:3" x14ac:dyDescent="0.35">
      <c r="A46" t="s">
        <v>171</v>
      </c>
      <c r="B46">
        <f>B44*(1+B45)</f>
        <v>54.016000000000005</v>
      </c>
      <c r="C46" t="s">
        <v>67</v>
      </c>
    </row>
    <row r="47" spans="1:3" x14ac:dyDescent="0.35">
      <c r="A47" t="s">
        <v>172</v>
      </c>
      <c r="B47">
        <f>B44*(188/204)</f>
        <v>38.890196078431373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6"/>
  <sheetViews>
    <sheetView topLeftCell="A91" zoomScale="125" zoomScaleNormal="125" zoomScalePageLayoutView="125" workbookViewId="0">
      <selection activeCell="B97" sqref="B97"/>
    </sheetView>
  </sheetViews>
  <sheetFormatPr defaultColWidth="10.6640625" defaultRowHeight="15.5" x14ac:dyDescent="0.35"/>
  <cols>
    <col min="1" max="1" width="12.83203125" bestFit="1" customWidth="1"/>
  </cols>
  <sheetData>
    <row r="1" spans="1:4" x14ac:dyDescent="0.35">
      <c r="A1" t="s">
        <v>196</v>
      </c>
      <c r="B1">
        <v>3.2</v>
      </c>
      <c r="C1">
        <v>4.0999999999999996</v>
      </c>
      <c r="D1" t="s">
        <v>197</v>
      </c>
    </row>
    <row r="2" spans="1:4" x14ac:dyDescent="0.35">
      <c r="A2" t="s">
        <v>198</v>
      </c>
      <c r="B2">
        <v>50</v>
      </c>
      <c r="C2">
        <v>100</v>
      </c>
      <c r="D2" t="s">
        <v>197</v>
      </c>
    </row>
    <row r="3" spans="1:4" x14ac:dyDescent="0.35">
      <c r="A3" t="s">
        <v>199</v>
      </c>
      <c r="B3">
        <f>100*B1</f>
        <v>320</v>
      </c>
      <c r="C3">
        <v>138</v>
      </c>
      <c r="D3" t="s">
        <v>201</v>
      </c>
    </row>
    <row r="4" spans="1:4" x14ac:dyDescent="0.35">
      <c r="A4" t="s">
        <v>200</v>
      </c>
      <c r="B4">
        <v>7000</v>
      </c>
      <c r="C4">
        <v>9000</v>
      </c>
      <c r="D4" t="s">
        <v>54</v>
      </c>
    </row>
    <row r="6" spans="1:4" x14ac:dyDescent="0.35">
      <c r="A6" t="s">
        <v>202</v>
      </c>
      <c r="B6">
        <f>B2/B1</f>
        <v>15.625</v>
      </c>
      <c r="C6">
        <f>C2/C1</f>
        <v>24.390243902439025</v>
      </c>
    </row>
    <row r="7" spans="1:4" x14ac:dyDescent="0.35">
      <c r="A7" t="s">
        <v>204</v>
      </c>
      <c r="B7">
        <f>16*B1</f>
        <v>51.2</v>
      </c>
      <c r="C7">
        <f>24*C1</f>
        <v>98.399999999999991</v>
      </c>
    </row>
    <row r="8" spans="1:4" x14ac:dyDescent="0.35">
      <c r="A8" t="s">
        <v>205</v>
      </c>
      <c r="B8">
        <f>B4*70/60</f>
        <v>8166.666666666667</v>
      </c>
      <c r="C8">
        <f>C4*70/60</f>
        <v>10500</v>
      </c>
      <c r="D8" t="s">
        <v>201</v>
      </c>
    </row>
    <row r="9" spans="1:4" x14ac:dyDescent="0.35">
      <c r="A9" t="s">
        <v>203</v>
      </c>
      <c r="B9">
        <f>B8/16/B3</f>
        <v>1.5950520833333335</v>
      </c>
      <c r="C9">
        <f>C4*72/60/330/16</f>
        <v>2.0454545454545454</v>
      </c>
    </row>
    <row r="10" spans="1:4" x14ac:dyDescent="0.35">
      <c r="A10" t="s">
        <v>206</v>
      </c>
      <c r="B10">
        <f>16*2*B3</f>
        <v>10240</v>
      </c>
      <c r="C10">
        <f>24*3*C3</f>
        <v>9936</v>
      </c>
    </row>
    <row r="13" spans="1:4" x14ac:dyDescent="0.35">
      <c r="A13" t="s">
        <v>207</v>
      </c>
      <c r="B13">
        <f>11.45*2.43</f>
        <v>27.823499999999999</v>
      </c>
      <c r="C13" t="s">
        <v>208</v>
      </c>
    </row>
    <row r="15" spans="1:4" x14ac:dyDescent="0.35">
      <c r="A15" t="s">
        <v>200</v>
      </c>
      <c r="B15">
        <v>7000</v>
      </c>
    </row>
    <row r="16" spans="1:4" x14ac:dyDescent="0.35">
      <c r="A16" t="s">
        <v>108</v>
      </c>
      <c r="B16">
        <v>0.3</v>
      </c>
      <c r="C16">
        <f>(9516-9074)/9516*100</f>
        <v>4.6448087431693992</v>
      </c>
    </row>
    <row r="17" spans="1:3" x14ac:dyDescent="0.35">
      <c r="A17" t="s">
        <v>179</v>
      </c>
      <c r="B17">
        <v>0.05</v>
      </c>
    </row>
    <row r="18" spans="1:3" x14ac:dyDescent="0.35">
      <c r="A18" t="s">
        <v>111</v>
      </c>
      <c r="B18">
        <v>0.2</v>
      </c>
    </row>
    <row r="20" spans="1:3" x14ac:dyDescent="0.35">
      <c r="A20" t="s">
        <v>207</v>
      </c>
      <c r="B20">
        <f>7000/1326/COS(23.44*PI()/180)/0.3/(1-B17)/(1-B18)</f>
        <v>25.23622649754768</v>
      </c>
      <c r="C20" t="s">
        <v>109</v>
      </c>
    </row>
    <row r="22" spans="1:3" x14ac:dyDescent="0.35">
      <c r="A22" t="s">
        <v>209</v>
      </c>
      <c r="B22">
        <v>11054</v>
      </c>
      <c r="C22" t="s">
        <v>67</v>
      </c>
    </row>
    <row r="23" spans="1:3" x14ac:dyDescent="0.35">
      <c r="A23" t="s">
        <v>210</v>
      </c>
      <c r="B23">
        <f>B22-18</f>
        <v>11036</v>
      </c>
    </row>
    <row r="24" spans="1:3" x14ac:dyDescent="0.35">
      <c r="A24" t="s">
        <v>211</v>
      </c>
      <c r="B24">
        <f>B22+18</f>
        <v>11072</v>
      </c>
    </row>
    <row r="25" spans="1:3" x14ac:dyDescent="0.35">
      <c r="A25" t="s">
        <v>45</v>
      </c>
      <c r="B25">
        <v>11040</v>
      </c>
      <c r="C25">
        <f>2*11040-11036</f>
        <v>11044</v>
      </c>
    </row>
    <row r="26" spans="1:3" x14ac:dyDescent="0.35">
      <c r="A26" t="s">
        <v>46</v>
      </c>
      <c r="B26">
        <v>11051</v>
      </c>
      <c r="C26">
        <f>(11072+11040)/2</f>
        <v>11056</v>
      </c>
    </row>
    <row r="27" spans="1:3" x14ac:dyDescent="0.35">
      <c r="A27" t="s">
        <v>47</v>
      </c>
      <c r="B27">
        <f>2*B25-B26</f>
        <v>11029</v>
      </c>
    </row>
    <row r="28" spans="1:3" x14ac:dyDescent="0.35">
      <c r="A28" t="s">
        <v>48</v>
      </c>
      <c r="B28">
        <f>2*B26-B25</f>
        <v>11062</v>
      </c>
    </row>
    <row r="30" spans="1:3" x14ac:dyDescent="0.35">
      <c r="A30" t="s">
        <v>45</v>
      </c>
      <c r="B30">
        <v>12500</v>
      </c>
      <c r="C30" t="s">
        <v>213</v>
      </c>
    </row>
    <row r="31" spans="1:3" x14ac:dyDescent="0.35">
      <c r="A31" t="s">
        <v>46</v>
      </c>
      <c r="B31">
        <v>12750</v>
      </c>
      <c r="C31" t="s">
        <v>213</v>
      </c>
    </row>
    <row r="32" spans="1:3" x14ac:dyDescent="0.35">
      <c r="A32" t="s">
        <v>212</v>
      </c>
      <c r="B32">
        <v>36</v>
      </c>
      <c r="C32" t="s">
        <v>213</v>
      </c>
    </row>
    <row r="34" spans="1:3" x14ac:dyDescent="0.35">
      <c r="A34" t="s">
        <v>120</v>
      </c>
      <c r="B34">
        <v>0.65</v>
      </c>
    </row>
    <row r="35" spans="1:3" x14ac:dyDescent="0.35">
      <c r="A35" t="s">
        <v>51</v>
      </c>
      <c r="B35">
        <v>2.5</v>
      </c>
      <c r="C35" t="s">
        <v>52</v>
      </c>
    </row>
    <row r="36" spans="1:3" x14ac:dyDescent="0.35">
      <c r="A36" t="s">
        <v>49</v>
      </c>
      <c r="B36">
        <v>12</v>
      </c>
      <c r="C36" t="s">
        <v>50</v>
      </c>
    </row>
    <row r="37" spans="1:3" x14ac:dyDescent="0.35">
      <c r="A37" t="s">
        <v>110</v>
      </c>
      <c r="B37">
        <v>100</v>
      </c>
      <c r="C37" t="s">
        <v>54</v>
      </c>
    </row>
    <row r="38" spans="1:3" x14ac:dyDescent="0.35">
      <c r="A38" t="s">
        <v>53</v>
      </c>
      <c r="B38">
        <f>10*LOG(B34)+20*LOG(21/B40)+20.4</f>
        <v>48.071558660821808</v>
      </c>
      <c r="C38" t="s">
        <v>57</v>
      </c>
    </row>
    <row r="39" spans="1:3" x14ac:dyDescent="0.35">
      <c r="A39" t="s">
        <v>222</v>
      </c>
      <c r="B39">
        <f>10*LOG(B37)+B38</f>
        <v>68.071558660821808</v>
      </c>
      <c r="C39" t="s">
        <v>58</v>
      </c>
    </row>
    <row r="40" spans="1:3" x14ac:dyDescent="0.35">
      <c r="A40" t="s">
        <v>56</v>
      </c>
      <c r="B40">
        <f>21/B36/B35</f>
        <v>0.7</v>
      </c>
      <c r="C40" t="s">
        <v>179</v>
      </c>
    </row>
    <row r="42" spans="1:3" x14ac:dyDescent="0.35">
      <c r="A42" t="s">
        <v>53</v>
      </c>
      <c r="B42">
        <f>10*LOG(B39)+20*LOG(B36*B35)+20.4</f>
        <v>68.272082043665932</v>
      </c>
    </row>
    <row r="43" spans="1:3" x14ac:dyDescent="0.35">
      <c r="A43" t="s">
        <v>55</v>
      </c>
      <c r="B43">
        <f>B42+10*LOG(120)</f>
        <v>89.063894504142183</v>
      </c>
    </row>
    <row r="47" spans="1:3" x14ac:dyDescent="0.35">
      <c r="A47" t="s">
        <v>183</v>
      </c>
      <c r="B47">
        <v>15.72</v>
      </c>
    </row>
    <row r="48" spans="1:3" x14ac:dyDescent="0.35">
      <c r="A48" t="s">
        <v>2</v>
      </c>
      <c r="B48">
        <f>86400/B47</f>
        <v>5496.1832061068699</v>
      </c>
    </row>
    <row r="49" spans="1:3" x14ac:dyDescent="0.35">
      <c r="A49" t="s">
        <v>0</v>
      </c>
      <c r="B49">
        <f>(398600.4418*B48^2/4/(PI())^2)^(1/3)</f>
        <v>6731.318603429756</v>
      </c>
    </row>
    <row r="50" spans="1:3" x14ac:dyDescent="0.35">
      <c r="A50" t="s">
        <v>214</v>
      </c>
      <c r="B50">
        <f>42164-B49</f>
        <v>35432.681396570246</v>
      </c>
    </row>
    <row r="52" spans="1:3" x14ac:dyDescent="0.35">
      <c r="A52" t="s">
        <v>183</v>
      </c>
      <c r="B52">
        <v>14.62779025</v>
      </c>
    </row>
    <row r="53" spans="1:3" x14ac:dyDescent="0.35">
      <c r="A53" t="s">
        <v>2</v>
      </c>
      <c r="B53">
        <f>86400/B52</f>
        <v>5906.5654157845202</v>
      </c>
      <c r="C53">
        <f>B53/60</f>
        <v>98.442756929742004</v>
      </c>
    </row>
    <row r="54" spans="1:3" x14ac:dyDescent="0.35">
      <c r="A54" t="s">
        <v>186</v>
      </c>
      <c r="B54">
        <f>B53/86164*360</f>
        <v>24.678096997382053</v>
      </c>
      <c r="C54">
        <f>360/B54</f>
        <v>14.587834711817131</v>
      </c>
    </row>
    <row r="55" spans="1:3" x14ac:dyDescent="0.35">
      <c r="A55" t="s">
        <v>120</v>
      </c>
      <c r="B55">
        <v>15</v>
      </c>
      <c r="C55">
        <f>B55*C53/60</f>
        <v>24.610689232435501</v>
      </c>
    </row>
    <row r="56" spans="1:3" x14ac:dyDescent="0.35">
      <c r="A56" t="s">
        <v>215</v>
      </c>
      <c r="B56">
        <f>MOD(45-B54*B55,360)</f>
        <v>34.828545039269216</v>
      </c>
    </row>
    <row r="58" spans="1:3" x14ac:dyDescent="0.35">
      <c r="A58" t="s">
        <v>215</v>
      </c>
      <c r="B58">
        <v>42</v>
      </c>
    </row>
    <row r="59" spans="1:3" x14ac:dyDescent="0.35">
      <c r="A59" t="s">
        <v>216</v>
      </c>
      <c r="B59">
        <v>36</v>
      </c>
    </row>
    <row r="60" spans="1:3" x14ac:dyDescent="0.35">
      <c r="A60" t="s">
        <v>217</v>
      </c>
      <c r="B60">
        <v>42</v>
      </c>
    </row>
    <row r="61" spans="1:3" x14ac:dyDescent="0.35">
      <c r="A61" t="s">
        <v>16</v>
      </c>
      <c r="B61">
        <f>ACOS(COS((B60-B58)*PI()/180)*COS(B59*PI()/180))*180/PI()</f>
        <v>35.999999999999993</v>
      </c>
    </row>
    <row r="62" spans="1:3" x14ac:dyDescent="0.35">
      <c r="A62" t="s">
        <v>10</v>
      </c>
      <c r="B62">
        <f>ATAN((42164*COS(B61*PI()/180)-6378)/42164/SIN(B61*PI()/180))*180/PI()</f>
        <v>48.215086855689457</v>
      </c>
    </row>
    <row r="63" spans="1:3" x14ac:dyDescent="0.35">
      <c r="A63" t="s">
        <v>17</v>
      </c>
      <c r="B63">
        <f>180-ASIN(SIN((B60-B58)*PI()/180)/SIN(B61*PI()/180))*180/PI()</f>
        <v>180</v>
      </c>
    </row>
    <row r="65" spans="1:2" x14ac:dyDescent="0.35">
      <c r="A65" t="s">
        <v>215</v>
      </c>
      <c r="B65">
        <v>33</v>
      </c>
    </row>
    <row r="66" spans="1:2" x14ac:dyDescent="0.35">
      <c r="A66" t="s">
        <v>216</v>
      </c>
      <c r="B66">
        <v>40</v>
      </c>
    </row>
    <row r="67" spans="1:2" x14ac:dyDescent="0.35">
      <c r="A67" t="s">
        <v>218</v>
      </c>
      <c r="B67">
        <v>154.6</v>
      </c>
    </row>
    <row r="68" spans="1:2" x14ac:dyDescent="0.35">
      <c r="A68" t="s">
        <v>219</v>
      </c>
      <c r="B68">
        <v>40.5</v>
      </c>
    </row>
    <row r="70" spans="1:2" x14ac:dyDescent="0.35">
      <c r="A70" t="s">
        <v>215</v>
      </c>
      <c r="B70">
        <v>33</v>
      </c>
    </row>
    <row r="71" spans="1:2" x14ac:dyDescent="0.35">
      <c r="A71" t="s">
        <v>216</v>
      </c>
      <c r="B71">
        <v>40</v>
      </c>
    </row>
    <row r="72" spans="1:2" x14ac:dyDescent="0.35">
      <c r="A72" t="s">
        <v>220</v>
      </c>
      <c r="B72">
        <f>6378/42164</f>
        <v>0.15126648325585809</v>
      </c>
    </row>
    <row r="73" spans="1:2" x14ac:dyDescent="0.35">
      <c r="A73" t="s">
        <v>221</v>
      </c>
      <c r="B73">
        <f>ACOS(B72/COS(B71*PI()/180))*180/PI()</f>
        <v>78.61127869150836</v>
      </c>
    </row>
    <row r="74" spans="1:2" x14ac:dyDescent="0.35">
      <c r="B74">
        <f>B73+B70</f>
        <v>111.61127869150836</v>
      </c>
    </row>
    <row r="75" spans="1:2" x14ac:dyDescent="0.35">
      <c r="B75">
        <f>B70-B73</f>
        <v>-45.61127869150836</v>
      </c>
    </row>
    <row r="77" spans="1:2" x14ac:dyDescent="0.35">
      <c r="A77" t="s">
        <v>108</v>
      </c>
      <c r="B77">
        <v>1</v>
      </c>
    </row>
    <row r="78" spans="1:2" x14ac:dyDescent="0.35">
      <c r="A78" t="s">
        <v>224</v>
      </c>
      <c r="B78">
        <v>326</v>
      </c>
    </row>
    <row r="79" spans="1:2" x14ac:dyDescent="0.35">
      <c r="A79" t="s">
        <v>98</v>
      </c>
      <c r="B79">
        <v>3000</v>
      </c>
    </row>
    <row r="80" spans="1:2" x14ac:dyDescent="0.35">
      <c r="A80" t="s">
        <v>190</v>
      </c>
      <c r="B80">
        <v>40</v>
      </c>
    </row>
    <row r="81" spans="1:3" x14ac:dyDescent="0.35">
      <c r="A81" t="s">
        <v>34</v>
      </c>
      <c r="B81">
        <f>1000*SQRT(398600*(2/42164-1/24363.5))</f>
        <v>1595.8023780719907</v>
      </c>
      <c r="C81" t="s">
        <v>35</v>
      </c>
    </row>
    <row r="82" spans="1:3" x14ac:dyDescent="0.35">
      <c r="A82" t="s">
        <v>5</v>
      </c>
      <c r="B82">
        <f>1000*SQRT(398600/42164)</f>
        <v>3074.6645801808263</v>
      </c>
      <c r="C82" t="s">
        <v>35</v>
      </c>
    </row>
    <row r="83" spans="1:3" x14ac:dyDescent="0.35">
      <c r="A83" t="s">
        <v>41</v>
      </c>
      <c r="B83">
        <f>SQRT(B82^2+B81^2-2*B82*B81*COS(B80*PI()/180))</f>
        <v>2117.2779662291641</v>
      </c>
      <c r="C83" t="s">
        <v>35</v>
      </c>
    </row>
    <row r="84" spans="1:3" x14ac:dyDescent="0.35">
      <c r="A84" t="s">
        <v>223</v>
      </c>
      <c r="B84">
        <f>3000*(1-EXP(-B83/B78/B77/9.8))</f>
        <v>1453.6675064937547</v>
      </c>
      <c r="C84" t="s">
        <v>225</v>
      </c>
    </row>
    <row r="88" spans="1:3" x14ac:dyDescent="0.35">
      <c r="A88" t="s">
        <v>220</v>
      </c>
      <c r="B88">
        <f>6378/42164</f>
        <v>0.15126648325585809</v>
      </c>
    </row>
    <row r="89" spans="1:3" x14ac:dyDescent="0.35">
      <c r="A89" t="s">
        <v>16</v>
      </c>
      <c r="B89">
        <f>ACOS(B88)*180/PI()</f>
        <v>81.299671756557203</v>
      </c>
    </row>
    <row r="91" spans="1:3" x14ac:dyDescent="0.35">
      <c r="A91" t="s">
        <v>68</v>
      </c>
      <c r="B91">
        <f>SQRT(42164^2-6278^2)</f>
        <v>41693.999712188801</v>
      </c>
    </row>
    <row r="92" spans="1:3" x14ac:dyDescent="0.35">
      <c r="A92" t="s">
        <v>68</v>
      </c>
      <c r="B92">
        <f>SQRT(42164^2+6378^2-2*42164*6378*B88)</f>
        <v>41678.81970497725</v>
      </c>
    </row>
    <row r="93" spans="1:3" x14ac:dyDescent="0.35">
      <c r="A93" t="s">
        <v>14</v>
      </c>
      <c r="B93">
        <v>0</v>
      </c>
    </row>
    <row r="94" spans="1:3" x14ac:dyDescent="0.35">
      <c r="A94" t="s">
        <v>249</v>
      </c>
      <c r="B94">
        <f>B88/COS(B93*PI()/180)</f>
        <v>0.15126648325585809</v>
      </c>
    </row>
    <row r="95" spans="1:3" x14ac:dyDescent="0.35">
      <c r="A95" t="s">
        <v>221</v>
      </c>
      <c r="B95">
        <f>ACOS(B94)*180/PI()</f>
        <v>81.299671756557203</v>
      </c>
    </row>
    <row r="96" spans="1:3" x14ac:dyDescent="0.35">
      <c r="B96">
        <f>B95+42</f>
        <v>123.2996717565572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74D3-12CB-4D9D-B18B-0CBC2579EE10}">
  <dimension ref="A1:C12"/>
  <sheetViews>
    <sheetView workbookViewId="0">
      <selection activeCell="B11" sqref="B11"/>
    </sheetView>
  </sheetViews>
  <sheetFormatPr defaultRowHeight="15.5" x14ac:dyDescent="0.35"/>
  <cols>
    <col min="1" max="1" width="9.33203125" bestFit="1" customWidth="1"/>
    <col min="2" max="2" width="11.75" bestFit="1" customWidth="1"/>
  </cols>
  <sheetData>
    <row r="1" spans="1:3" x14ac:dyDescent="0.35">
      <c r="A1" t="s">
        <v>269</v>
      </c>
      <c r="B1">
        <v>1.2</v>
      </c>
      <c r="C1" t="s">
        <v>179</v>
      </c>
    </row>
    <row r="2" spans="1:3" x14ac:dyDescent="0.35">
      <c r="A2" t="s">
        <v>216</v>
      </c>
      <c r="B2" s="3">
        <f>ASIN(2*35786/6378*SIN(B1*PI()/180))*180/PI()</f>
        <v>13.592185399914207</v>
      </c>
      <c r="C2" t="s">
        <v>179</v>
      </c>
    </row>
    <row r="4" spans="1:3" x14ac:dyDescent="0.35">
      <c r="A4" t="s">
        <v>140</v>
      </c>
      <c r="B4">
        <v>14</v>
      </c>
      <c r="C4" t="s">
        <v>50</v>
      </c>
    </row>
    <row r="5" spans="1:3" x14ac:dyDescent="0.35">
      <c r="A5" t="s">
        <v>139</v>
      </c>
      <c r="B5">
        <v>15</v>
      </c>
      <c r="C5" t="s">
        <v>52</v>
      </c>
    </row>
    <row r="6" spans="1:3" x14ac:dyDescent="0.35">
      <c r="A6" t="s">
        <v>119</v>
      </c>
      <c r="B6" s="3">
        <f>20*LOG(B4*B5)+18.53</f>
        <v>64.974385894678392</v>
      </c>
      <c r="C6" t="s">
        <v>122</v>
      </c>
    </row>
    <row r="7" spans="1:3" x14ac:dyDescent="0.35">
      <c r="A7" t="s">
        <v>270</v>
      </c>
      <c r="B7" s="2">
        <f>21/B4/B5</f>
        <v>0.1</v>
      </c>
      <c r="C7" t="s">
        <v>179</v>
      </c>
    </row>
    <row r="9" spans="1:3" x14ac:dyDescent="0.35">
      <c r="A9" t="s">
        <v>56</v>
      </c>
      <c r="B9">
        <v>0.2</v>
      </c>
      <c r="C9" t="s">
        <v>179</v>
      </c>
    </row>
    <row r="10" spans="1:3" x14ac:dyDescent="0.35">
      <c r="A10" t="s">
        <v>49</v>
      </c>
      <c r="B10">
        <v>14</v>
      </c>
      <c r="C10" t="s">
        <v>272</v>
      </c>
    </row>
    <row r="11" spans="1:3" x14ac:dyDescent="0.35">
      <c r="A11" t="s">
        <v>51</v>
      </c>
      <c r="B11">
        <f>21/(B10*B9)</f>
        <v>7.4999999999999991</v>
      </c>
      <c r="C11" t="s">
        <v>52</v>
      </c>
    </row>
    <row r="12" spans="1:3" x14ac:dyDescent="0.35">
      <c r="A12" t="s">
        <v>53</v>
      </c>
      <c r="B12" s="2">
        <f>20*LOG(B10*B11)+18.53</f>
        <v>58.953785981398759</v>
      </c>
      <c r="C12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zoomScale="125" zoomScaleNormal="125" zoomScalePageLayoutView="125" workbookViewId="0">
      <selection activeCell="B4" sqref="B4"/>
    </sheetView>
  </sheetViews>
  <sheetFormatPr defaultColWidth="10.6640625" defaultRowHeight="15.5" x14ac:dyDescent="0.35"/>
  <sheetData>
    <row r="1" spans="1:3" x14ac:dyDescent="0.35">
      <c r="A1" t="s">
        <v>352</v>
      </c>
      <c r="B1">
        <v>20</v>
      </c>
      <c r="C1" t="s">
        <v>57</v>
      </c>
    </row>
    <row r="2" spans="1:3" x14ac:dyDescent="0.35">
      <c r="A2" t="s">
        <v>169</v>
      </c>
      <c r="B2" s="45">
        <v>1000000</v>
      </c>
      <c r="C2" t="s">
        <v>130</v>
      </c>
    </row>
    <row r="4" spans="1:3" x14ac:dyDescent="0.35">
      <c r="A4" t="s">
        <v>351</v>
      </c>
      <c r="B4" s="45">
        <f>B2*LOG(1+10^(B1/10),2)</f>
        <v>6658211.4827517951</v>
      </c>
      <c r="C4" t="s">
        <v>350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9"/>
  <sheetViews>
    <sheetView topLeftCell="A3" workbookViewId="0">
      <selection activeCell="B4" sqref="B4"/>
    </sheetView>
  </sheetViews>
  <sheetFormatPr defaultColWidth="10.6640625" defaultRowHeight="15.5" x14ac:dyDescent="0.35"/>
  <sheetData>
    <row r="2" spans="1:3" x14ac:dyDescent="0.35">
      <c r="A2" t="s">
        <v>8</v>
      </c>
      <c r="B2">
        <v>398600</v>
      </c>
      <c r="C2" t="s">
        <v>1</v>
      </c>
    </row>
    <row r="3" spans="1:3" x14ac:dyDescent="0.35">
      <c r="A3" t="s">
        <v>264</v>
      </c>
      <c r="B3">
        <v>14.553246489999999</v>
      </c>
    </row>
    <row r="4" spans="1:3" x14ac:dyDescent="0.35">
      <c r="A4" t="s">
        <v>2</v>
      </c>
      <c r="B4" s="2">
        <f>86400/B3</f>
        <v>5936.8196683377964</v>
      </c>
      <c r="C4" t="s">
        <v>266</v>
      </c>
    </row>
    <row r="5" spans="1:3" x14ac:dyDescent="0.35">
      <c r="A5" t="s">
        <v>185</v>
      </c>
      <c r="B5" s="2">
        <f>B4/60</f>
        <v>98.946994472296609</v>
      </c>
      <c r="C5" t="s">
        <v>265</v>
      </c>
    </row>
    <row r="6" spans="1:3" x14ac:dyDescent="0.35">
      <c r="A6" t="s">
        <v>0</v>
      </c>
      <c r="B6">
        <f>(B2*B4^2/4/PI()^2)^(1/3)</f>
        <v>7086.4450546280295</v>
      </c>
    </row>
    <row r="7" spans="1:3" x14ac:dyDescent="0.35">
      <c r="A7" t="s">
        <v>267</v>
      </c>
      <c r="B7">
        <f>B6-6378</f>
        <v>708.44505462802954</v>
      </c>
    </row>
    <row r="8" spans="1:3" x14ac:dyDescent="0.35">
      <c r="A8" t="s">
        <v>145</v>
      </c>
      <c r="B8">
        <f>2*ACOS(6378/B6)*180/PI()</f>
        <v>51.676465858668244</v>
      </c>
      <c r="C8">
        <f>B8/2</f>
        <v>25.838232929334122</v>
      </c>
    </row>
    <row r="9" spans="1:3" x14ac:dyDescent="0.35">
      <c r="A9" t="s">
        <v>268</v>
      </c>
      <c r="B9">
        <f>B8/360*B4/60</f>
        <v>14.203419393515196</v>
      </c>
      <c r="C9" t="s">
        <v>265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2D2F-B150-410A-8A39-C221A1F962FE}">
  <dimension ref="A1:C6"/>
  <sheetViews>
    <sheetView workbookViewId="0">
      <selection activeCell="C10" sqref="C10"/>
    </sheetView>
  </sheetViews>
  <sheetFormatPr defaultRowHeight="15.5" x14ac:dyDescent="0.35"/>
  <cols>
    <col min="1" max="1" width="11" bestFit="1" customWidth="1"/>
  </cols>
  <sheetData>
    <row r="1" spans="1:3" x14ac:dyDescent="0.35">
      <c r="A1" t="s">
        <v>307</v>
      </c>
      <c r="B1">
        <v>9000</v>
      </c>
      <c r="C1" t="s">
        <v>54</v>
      </c>
    </row>
    <row r="2" spans="1:3" x14ac:dyDescent="0.35">
      <c r="A2" t="s">
        <v>22</v>
      </c>
      <c r="B2" s="41">
        <v>0.17</v>
      </c>
    </row>
    <row r="3" spans="1:3" x14ac:dyDescent="0.35">
      <c r="A3" t="s">
        <v>308</v>
      </c>
      <c r="B3" s="41">
        <v>0.16</v>
      </c>
    </row>
    <row r="4" spans="1:3" x14ac:dyDescent="0.35">
      <c r="A4" t="s">
        <v>309</v>
      </c>
      <c r="B4" s="41">
        <v>0.1</v>
      </c>
    </row>
    <row r="6" spans="1:3" x14ac:dyDescent="0.35">
      <c r="A6" t="s">
        <v>310</v>
      </c>
      <c r="B6" s="3">
        <f>B1/(1326*COS(23.44*PI()/180)*B2*(1-B3)*(1-B4))</f>
        <v>57.561621062833858</v>
      </c>
      <c r="C6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2E18-50A5-4F76-8644-022B3165A92B}">
  <dimension ref="A1:C11"/>
  <sheetViews>
    <sheetView workbookViewId="0">
      <selection activeCell="C9" sqref="C9"/>
    </sheetView>
  </sheetViews>
  <sheetFormatPr defaultRowHeight="15.5" x14ac:dyDescent="0.35"/>
  <cols>
    <col min="1" max="1" width="14.1640625" customWidth="1"/>
  </cols>
  <sheetData>
    <row r="1" spans="1:3" x14ac:dyDescent="0.35">
      <c r="A1" t="s">
        <v>311</v>
      </c>
      <c r="B1">
        <v>4</v>
      </c>
      <c r="C1" t="s">
        <v>197</v>
      </c>
    </row>
    <row r="2" spans="1:3" x14ac:dyDescent="0.35">
      <c r="A2" t="s">
        <v>322</v>
      </c>
      <c r="B2">
        <v>140</v>
      </c>
      <c r="C2" t="s">
        <v>201</v>
      </c>
    </row>
    <row r="3" spans="1:3" x14ac:dyDescent="0.35">
      <c r="A3" t="s">
        <v>312</v>
      </c>
      <c r="B3">
        <v>7000</v>
      </c>
      <c r="C3" t="s">
        <v>54</v>
      </c>
    </row>
    <row r="4" spans="1:3" x14ac:dyDescent="0.35">
      <c r="A4" t="s">
        <v>313</v>
      </c>
      <c r="B4">
        <v>96</v>
      </c>
      <c r="C4" t="s">
        <v>197</v>
      </c>
    </row>
    <row r="5" spans="1:3" x14ac:dyDescent="0.35">
      <c r="A5" t="s">
        <v>314</v>
      </c>
      <c r="B5">
        <v>72</v>
      </c>
      <c r="C5" t="s">
        <v>3</v>
      </c>
    </row>
    <row r="7" spans="1:3" x14ac:dyDescent="0.35">
      <c r="A7" t="s">
        <v>315</v>
      </c>
      <c r="B7">
        <f>B3*B5/60</f>
        <v>8400</v>
      </c>
      <c r="C7" t="s">
        <v>201</v>
      </c>
    </row>
    <row r="8" spans="1:3" x14ac:dyDescent="0.35">
      <c r="A8" t="s">
        <v>324</v>
      </c>
      <c r="B8">
        <f>B4/B1</f>
        <v>24</v>
      </c>
      <c r="C8" t="s">
        <v>112</v>
      </c>
    </row>
    <row r="9" spans="1:3" x14ac:dyDescent="0.35">
      <c r="A9" t="s">
        <v>323</v>
      </c>
      <c r="B9">
        <f>B8*B2</f>
        <v>3360</v>
      </c>
      <c r="C9" t="s">
        <v>201</v>
      </c>
    </row>
    <row r="10" spans="1:3" x14ac:dyDescent="0.35">
      <c r="A10" t="s">
        <v>326</v>
      </c>
      <c r="B10">
        <f>B8*B2*2</f>
        <v>6720</v>
      </c>
      <c r="C10" t="s">
        <v>201</v>
      </c>
    </row>
    <row r="11" spans="1:3" x14ac:dyDescent="0.35">
      <c r="A11" t="s">
        <v>325</v>
      </c>
      <c r="B11">
        <f>B8*B2*3</f>
        <v>10080</v>
      </c>
      <c r="C11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3CFC-25B8-47DC-9500-5564B58BFEFA}">
  <dimension ref="A1:D18"/>
  <sheetViews>
    <sheetView topLeftCell="A6" workbookViewId="0">
      <selection activeCell="B14" sqref="B14"/>
    </sheetView>
  </sheetViews>
  <sheetFormatPr defaultRowHeight="15.5" x14ac:dyDescent="0.35"/>
  <cols>
    <col min="1" max="1" width="9.9140625" bestFit="1" customWidth="1"/>
    <col min="2" max="2" width="11.75" bestFit="1" customWidth="1"/>
    <col min="3" max="3" width="12.33203125" bestFit="1" customWidth="1"/>
    <col min="4" max="4" width="11.75" bestFit="1" customWidth="1"/>
  </cols>
  <sheetData>
    <row r="1" spans="1:4" x14ac:dyDescent="0.35">
      <c r="A1" t="s">
        <v>331</v>
      </c>
      <c r="B1">
        <v>299792458</v>
      </c>
      <c r="C1" t="s">
        <v>35</v>
      </c>
    </row>
    <row r="3" spans="1:4" x14ac:dyDescent="0.35">
      <c r="A3" t="s">
        <v>328</v>
      </c>
      <c r="B3">
        <v>4515400</v>
      </c>
      <c r="C3">
        <v>2835300</v>
      </c>
      <c r="D3">
        <v>4091400</v>
      </c>
    </row>
    <row r="5" spans="1:4" x14ac:dyDescent="0.35">
      <c r="A5" t="s">
        <v>327</v>
      </c>
      <c r="B5">
        <v>17858419.688000001</v>
      </c>
      <c r="C5">
        <v>-14112320.574999999</v>
      </c>
      <c r="D5">
        <v>13266513.491</v>
      </c>
    </row>
    <row r="6" spans="1:4" x14ac:dyDescent="0.35">
      <c r="A6" t="s">
        <v>329</v>
      </c>
      <c r="B6">
        <v>-9966634.523</v>
      </c>
      <c r="C6">
        <v>23229994.377999999</v>
      </c>
      <c r="D6">
        <v>7198261.2369999997</v>
      </c>
    </row>
    <row r="7" spans="1:4" x14ac:dyDescent="0.35">
      <c r="A7" t="s">
        <v>330</v>
      </c>
      <c r="B7">
        <v>26175407.208000001</v>
      </c>
      <c r="C7">
        <v>-5560362.7180000003</v>
      </c>
      <c r="D7">
        <v>-87234.876000000004</v>
      </c>
    </row>
    <row r="8" spans="1:4" x14ac:dyDescent="0.35">
      <c r="A8" t="s">
        <v>332</v>
      </c>
      <c r="B8">
        <v>6675782.4280000003</v>
      </c>
      <c r="C8">
        <v>-14640726.59</v>
      </c>
      <c r="D8">
        <v>21095927.776999999</v>
      </c>
    </row>
    <row r="10" spans="1:4" x14ac:dyDescent="0.35">
      <c r="A10" t="s">
        <v>333</v>
      </c>
      <c r="B10">
        <f>SQRT((B5-B3)^2+(C5-C3)^2+(D5-D3)^2)/B1</f>
        <v>7.8187930884779058E-2</v>
      </c>
    </row>
    <row r="11" spans="1:4" x14ac:dyDescent="0.35">
      <c r="A11" t="s">
        <v>334</v>
      </c>
      <c r="B11">
        <f>SQRT((B6-B3)^2+(C6-C3)^2+(D6-D3)^2)/B1</f>
        <v>8.4077043191851594E-2</v>
      </c>
    </row>
    <row r="12" spans="1:4" x14ac:dyDescent="0.35">
      <c r="A12" t="s">
        <v>335</v>
      </c>
      <c r="B12">
        <f>SQRT((B7-B3)^2+(C7-C3)^2+(D7-D3)^2)/B1</f>
        <v>7.8731306167233506E-2</v>
      </c>
    </row>
    <row r="13" spans="1:4" x14ac:dyDescent="0.35">
      <c r="A13" t="s">
        <v>336</v>
      </c>
      <c r="B13">
        <f>SQRT((B8-B3)^2+(C8-C3)^2+(D8-D3)^2)/B1</f>
        <v>8.1653923500977291E-2</v>
      </c>
    </row>
    <row r="14" spans="1:4" x14ac:dyDescent="0.35">
      <c r="A14" t="s">
        <v>338</v>
      </c>
      <c r="B14">
        <f>0.01</f>
        <v>0.01</v>
      </c>
    </row>
    <row r="15" spans="1:4" x14ac:dyDescent="0.35">
      <c r="A15" t="s">
        <v>337</v>
      </c>
      <c r="B15">
        <f>B10-B14</f>
        <v>6.8187930884779063E-2</v>
      </c>
    </row>
    <row r="16" spans="1:4" x14ac:dyDescent="0.35">
      <c r="A16" t="s">
        <v>339</v>
      </c>
      <c r="B16">
        <f>B11-B14</f>
        <v>7.4077043191851599E-2</v>
      </c>
    </row>
    <row r="17" spans="1:2" x14ac:dyDescent="0.35">
      <c r="A17" t="s">
        <v>340</v>
      </c>
      <c r="B17">
        <f>B12-B14</f>
        <v>6.8731306167233511E-2</v>
      </c>
    </row>
    <row r="18" spans="1:2" x14ac:dyDescent="0.35">
      <c r="A18" t="s">
        <v>341</v>
      </c>
      <c r="B18">
        <f>B13-B14</f>
        <v>7.1653923500977296E-2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ACC6-B5BA-4735-9045-2A5818FC53FC}">
  <dimension ref="A1:C12"/>
  <sheetViews>
    <sheetView workbookViewId="0">
      <selection activeCell="B6" sqref="B6"/>
    </sheetView>
  </sheetViews>
  <sheetFormatPr defaultRowHeight="15.5" x14ac:dyDescent="0.35"/>
  <sheetData>
    <row r="1" spans="1:3" x14ac:dyDescent="0.35">
      <c r="A1" t="s">
        <v>319</v>
      </c>
      <c r="B1">
        <v>3000</v>
      </c>
      <c r="C1" t="s">
        <v>225</v>
      </c>
    </row>
    <row r="2" spans="1:3" x14ac:dyDescent="0.35">
      <c r="A2" t="s">
        <v>320</v>
      </c>
      <c r="B2">
        <v>1700</v>
      </c>
      <c r="C2" t="s">
        <v>225</v>
      </c>
    </row>
    <row r="3" spans="1:3" x14ac:dyDescent="0.35">
      <c r="A3" t="s">
        <v>316</v>
      </c>
      <c r="B3">
        <v>1494</v>
      </c>
      <c r="C3" t="s">
        <v>35</v>
      </c>
    </row>
    <row r="4" spans="1:3" x14ac:dyDescent="0.35">
      <c r="A4" t="s">
        <v>317</v>
      </c>
      <c r="B4">
        <v>9.8066499999999994</v>
      </c>
    </row>
    <row r="5" spans="1:3" x14ac:dyDescent="0.35">
      <c r="A5" t="s">
        <v>318</v>
      </c>
      <c r="B5">
        <v>321</v>
      </c>
      <c r="C5" t="s">
        <v>4</v>
      </c>
    </row>
    <row r="6" spans="1:3" x14ac:dyDescent="0.35">
      <c r="A6" t="s">
        <v>108</v>
      </c>
      <c r="B6">
        <v>0.99</v>
      </c>
    </row>
    <row r="9" spans="1:3" x14ac:dyDescent="0.35">
      <c r="A9" t="s">
        <v>223</v>
      </c>
      <c r="B9" s="3">
        <f>B1*(1-EXP(-B3/(B4*B5*B6)))</f>
        <v>1142.5185908550523</v>
      </c>
      <c r="C9" t="s">
        <v>225</v>
      </c>
    </row>
    <row r="10" spans="1:3" x14ac:dyDescent="0.35">
      <c r="A10" t="s">
        <v>321</v>
      </c>
      <c r="B10" s="42">
        <f>B9/B2</f>
        <v>0.67206975932650137</v>
      </c>
    </row>
    <row r="12" spans="1:3" x14ac:dyDescent="0.35">
      <c r="B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3CD2-0145-429B-AC5F-BB17E880A8CE}">
  <dimension ref="A1:K14"/>
  <sheetViews>
    <sheetView zoomScaleNormal="100" workbookViewId="0">
      <selection activeCell="B3" sqref="B3"/>
    </sheetView>
  </sheetViews>
  <sheetFormatPr defaultRowHeight="15.5" x14ac:dyDescent="0.35"/>
  <cols>
    <col min="1" max="1" width="9.25" bestFit="1" customWidth="1"/>
    <col min="2" max="2" width="8.75" bestFit="1" customWidth="1"/>
    <col min="3" max="3" width="5.08203125" bestFit="1" customWidth="1"/>
    <col min="4" max="4" width="10.9140625" bestFit="1" customWidth="1"/>
    <col min="5" max="5" width="8.75" bestFit="1" customWidth="1"/>
    <col min="6" max="6" width="5.4140625" bestFit="1" customWidth="1"/>
    <col min="7" max="7" width="8.4140625" bestFit="1" customWidth="1"/>
    <col min="8" max="8" width="3.75" bestFit="1" customWidth="1"/>
    <col min="9" max="9" width="8" bestFit="1" customWidth="1"/>
    <col min="10" max="10" width="10.9140625" bestFit="1" customWidth="1"/>
    <col min="11" max="11" width="6.25" bestFit="1" customWidth="1"/>
    <col min="12" max="12" width="8" bestFit="1" customWidth="1"/>
  </cols>
  <sheetData>
    <row r="1" spans="1:11" x14ac:dyDescent="0.35">
      <c r="A1" s="40" t="s">
        <v>45</v>
      </c>
      <c r="B1">
        <v>12230</v>
      </c>
      <c r="C1" t="s">
        <v>67</v>
      </c>
      <c r="D1" s="40"/>
      <c r="G1" s="40"/>
      <c r="J1" s="40"/>
    </row>
    <row r="2" spans="1:11" x14ac:dyDescent="0.35">
      <c r="A2" t="s">
        <v>46</v>
      </c>
      <c r="B2" s="19">
        <v>12255</v>
      </c>
      <c r="C2" t="s">
        <v>67</v>
      </c>
      <c r="E2" s="3"/>
      <c r="K2" s="2"/>
    </row>
    <row r="3" spans="1:11" x14ac:dyDescent="0.35">
      <c r="A3" t="s">
        <v>47</v>
      </c>
      <c r="B3">
        <f>2*B1-B2</f>
        <v>12205</v>
      </c>
      <c r="D3">
        <v>12225</v>
      </c>
      <c r="E3" s="3"/>
      <c r="K3" s="2"/>
    </row>
    <row r="4" spans="1:11" x14ac:dyDescent="0.35">
      <c r="A4" t="s">
        <v>48</v>
      </c>
      <c r="B4" s="43">
        <f>2*B2-B1</f>
        <v>12280</v>
      </c>
      <c r="D4">
        <v>12258</v>
      </c>
      <c r="E4" s="14"/>
      <c r="K4" s="14"/>
    </row>
    <row r="5" spans="1:11" x14ac:dyDescent="0.35">
      <c r="E5" s="14"/>
      <c r="K5" s="2"/>
    </row>
    <row r="6" spans="1:11" x14ac:dyDescent="0.35">
      <c r="A6" t="s">
        <v>304</v>
      </c>
      <c r="B6">
        <f>2*B1-12258</f>
        <v>12202</v>
      </c>
      <c r="E6" s="2"/>
      <c r="K6" s="2"/>
    </row>
    <row r="7" spans="1:11" x14ac:dyDescent="0.35">
      <c r="A7" t="s">
        <v>304</v>
      </c>
      <c r="B7">
        <f>(12230+12258)/2</f>
        <v>12244</v>
      </c>
      <c r="E7" s="2"/>
      <c r="H7" s="3"/>
      <c r="K7" s="2"/>
    </row>
    <row r="8" spans="1:11" x14ac:dyDescent="0.35">
      <c r="E8" s="2"/>
      <c r="K8" s="2"/>
    </row>
    <row r="9" spans="1:11" x14ac:dyDescent="0.35">
      <c r="E9" s="2"/>
      <c r="K9" s="2"/>
    </row>
    <row r="10" spans="1:11" x14ac:dyDescent="0.35">
      <c r="E10" s="2"/>
      <c r="K10" s="2"/>
    </row>
    <row r="11" spans="1:11" x14ac:dyDescent="0.35">
      <c r="K11" s="2"/>
    </row>
    <row r="12" spans="1:11" x14ac:dyDescent="0.35">
      <c r="E12" s="2"/>
    </row>
    <row r="13" spans="1:11" x14ac:dyDescent="0.35">
      <c r="E13" s="2"/>
    </row>
    <row r="14" spans="1:11" x14ac:dyDescent="0.35">
      <c r="B14" s="14"/>
      <c r="E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4D59-C485-4C9F-A34F-04E19A47BB24}">
  <dimension ref="A1:K14"/>
  <sheetViews>
    <sheetView zoomScaleNormal="100" workbookViewId="0">
      <selection activeCell="B3" sqref="B3"/>
    </sheetView>
  </sheetViews>
  <sheetFormatPr defaultRowHeight="15.5" x14ac:dyDescent="0.35"/>
  <cols>
    <col min="1" max="1" width="9.25" bestFit="1" customWidth="1"/>
    <col min="2" max="2" width="8.75" bestFit="1" customWidth="1"/>
    <col min="3" max="3" width="5.08203125" bestFit="1" customWidth="1"/>
    <col min="4" max="4" width="10.9140625" bestFit="1" customWidth="1"/>
    <col min="5" max="5" width="8.75" bestFit="1" customWidth="1"/>
    <col min="6" max="6" width="5.4140625" bestFit="1" customWidth="1"/>
    <col min="7" max="7" width="8.4140625" bestFit="1" customWidth="1"/>
    <col min="8" max="8" width="3.75" bestFit="1" customWidth="1"/>
    <col min="9" max="9" width="8" bestFit="1" customWidth="1"/>
    <col min="10" max="10" width="10.9140625" bestFit="1" customWidth="1"/>
    <col min="11" max="11" width="6.25" bestFit="1" customWidth="1"/>
    <col min="12" max="12" width="8" bestFit="1" customWidth="1"/>
  </cols>
  <sheetData>
    <row r="1" spans="1:11" x14ac:dyDescent="0.35">
      <c r="A1" s="40" t="s">
        <v>276</v>
      </c>
      <c r="D1" s="40" t="s">
        <v>277</v>
      </c>
      <c r="G1" s="40"/>
      <c r="J1" s="40"/>
    </row>
    <row r="2" spans="1:11" x14ac:dyDescent="0.35">
      <c r="A2" t="s">
        <v>273</v>
      </c>
      <c r="B2">
        <v>51</v>
      </c>
      <c r="C2" t="s">
        <v>10</v>
      </c>
      <c r="D2" t="s">
        <v>16</v>
      </c>
      <c r="E2" s="2">
        <f>ACOS(COS((B2-B3)*PI()/180)*COS(B4*PI()/180))*180/PI()</f>
        <v>43.234896783266144</v>
      </c>
      <c r="F2" t="s">
        <v>179</v>
      </c>
      <c r="K2" s="2"/>
    </row>
    <row r="3" spans="1:11" x14ac:dyDescent="0.35">
      <c r="A3" t="s">
        <v>274</v>
      </c>
      <c r="B3">
        <v>33</v>
      </c>
      <c r="C3" t="s">
        <v>10</v>
      </c>
      <c r="D3" t="s">
        <v>295</v>
      </c>
      <c r="E3" s="2">
        <f>180-ASIN(   SIN(   (B2-B3)*PI()/(180) )/SIN(E2*PI()/(180)) ) * 180/PI()</f>
        <v>153.18407264487763</v>
      </c>
      <c r="F3" t="s">
        <v>179</v>
      </c>
      <c r="K3" s="2"/>
    </row>
    <row r="4" spans="1:11" x14ac:dyDescent="0.35">
      <c r="A4" t="s">
        <v>275</v>
      </c>
      <c r="B4">
        <v>40</v>
      </c>
      <c r="C4" t="s">
        <v>303</v>
      </c>
      <c r="D4" t="s">
        <v>296</v>
      </c>
      <c r="E4" s="2">
        <f>ATAN2(42164*SQRT(1-(COS((B2-B3)*PI()/180)*COS(B4*PI()/180))^2),(42164*COS((B2-B3)*PI()/180)*COS(B4*PI()/180)-6378))*180/PI()</f>
        <v>40.122951446473579</v>
      </c>
      <c r="F4" t="s">
        <v>179</v>
      </c>
      <c r="K4" s="14"/>
    </row>
    <row r="5" spans="1:11" x14ac:dyDescent="0.35">
      <c r="D5" t="s">
        <v>18</v>
      </c>
      <c r="E5" s="14">
        <f>SQRT(42164^2+6378^2-2*42164*6378*COS((H4-H5)*PI()/180)*COS(H6*PI()/180))</f>
        <v>35786</v>
      </c>
      <c r="F5" t="s">
        <v>1</v>
      </c>
      <c r="K5" s="2"/>
    </row>
    <row r="6" spans="1:11" x14ac:dyDescent="0.35">
      <c r="E6" s="2"/>
      <c r="K6" s="2"/>
    </row>
    <row r="7" spans="1:11" x14ac:dyDescent="0.35">
      <c r="E7" s="2"/>
      <c r="H7" s="3"/>
      <c r="K7" s="2"/>
    </row>
    <row r="8" spans="1:11" x14ac:dyDescent="0.35">
      <c r="E8" s="2"/>
      <c r="K8" s="2"/>
    </row>
    <row r="9" spans="1:11" x14ac:dyDescent="0.35">
      <c r="E9" s="2"/>
      <c r="K9" s="2"/>
    </row>
    <row r="10" spans="1:11" x14ac:dyDescent="0.35">
      <c r="E10" s="2"/>
      <c r="K10" s="2"/>
    </row>
    <row r="11" spans="1:11" x14ac:dyDescent="0.35">
      <c r="K11" s="2"/>
    </row>
    <row r="12" spans="1:11" x14ac:dyDescent="0.35">
      <c r="E12" s="2"/>
    </row>
    <row r="13" spans="1:11" x14ac:dyDescent="0.35">
      <c r="E13" s="2"/>
    </row>
    <row r="14" spans="1:11" x14ac:dyDescent="0.35">
      <c r="B14" s="14"/>
      <c r="E14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FD06-EDC3-41E1-A370-EE2C3B1594B4}">
  <dimension ref="A1:F8"/>
  <sheetViews>
    <sheetView workbookViewId="0">
      <selection activeCell="F3" sqref="F3"/>
    </sheetView>
  </sheetViews>
  <sheetFormatPr defaultRowHeight="15.5" x14ac:dyDescent="0.35"/>
  <cols>
    <col min="3" max="4" width="10.75" bestFit="1" customWidth="1"/>
    <col min="5" max="5" width="11.75" bestFit="1" customWidth="1"/>
    <col min="6" max="6" width="17.6640625" customWidth="1"/>
  </cols>
  <sheetData>
    <row r="1" spans="1:6" x14ac:dyDescent="0.35">
      <c r="A1" s="19" t="s">
        <v>182</v>
      </c>
      <c r="B1" s="19" t="s">
        <v>301</v>
      </c>
      <c r="C1" s="19" t="s">
        <v>302</v>
      </c>
      <c r="D1" s="19" t="s">
        <v>298</v>
      </c>
      <c r="E1" s="19" t="s">
        <v>299</v>
      </c>
      <c r="F1" s="19" t="s">
        <v>349</v>
      </c>
    </row>
    <row r="2" spans="1:6" x14ac:dyDescent="0.35">
      <c r="A2" t="s">
        <v>183</v>
      </c>
      <c r="B2">
        <v>14.726148682</v>
      </c>
      <c r="C2">
        <v>1.00269619</v>
      </c>
      <c r="D2">
        <v>1.00269619</v>
      </c>
      <c r="E2">
        <v>14.661625369999999</v>
      </c>
      <c r="F2">
        <v>14.62775905</v>
      </c>
    </row>
    <row r="3" spans="1:6" x14ac:dyDescent="0.35">
      <c r="A3" t="s">
        <v>184</v>
      </c>
      <c r="B3" s="14">
        <f t="shared" ref="B3:C3" si="0">86400/B2</f>
        <v>5867.1144686735415</v>
      </c>
      <c r="C3" s="14">
        <f t="shared" si="0"/>
        <v>86167.675574791996</v>
      </c>
      <c r="D3" s="14">
        <f>86400/D2</f>
        <v>86167.675574791996</v>
      </c>
      <c r="E3" s="14">
        <f>86400/E2</f>
        <v>5892.9346385284161</v>
      </c>
      <c r="F3" s="14">
        <f>86400/F2</f>
        <v>5906.578014080701</v>
      </c>
    </row>
    <row r="4" spans="1:6" x14ac:dyDescent="0.35">
      <c r="A4" t="s">
        <v>185</v>
      </c>
      <c r="B4" s="3">
        <f t="shared" ref="B4:C4" si="1">B3/60</f>
        <v>97.785241144559023</v>
      </c>
      <c r="C4" s="3">
        <f t="shared" si="1"/>
        <v>1436.1279262465332</v>
      </c>
      <c r="D4" s="3">
        <f>D3/60</f>
        <v>1436.1279262465332</v>
      </c>
      <c r="E4" s="3">
        <f>E3/60</f>
        <v>98.215577308806942</v>
      </c>
      <c r="F4" s="3">
        <f>F3/60</f>
        <v>98.442966901345017</v>
      </c>
    </row>
    <row r="5" spans="1:6" x14ac:dyDescent="0.35">
      <c r="A5" t="s">
        <v>300</v>
      </c>
      <c r="B5" s="2">
        <f>B4/60</f>
        <v>1.6297540190759838</v>
      </c>
      <c r="C5" s="2">
        <f>C4/60</f>
        <v>23.935465437442222</v>
      </c>
      <c r="D5" s="2">
        <f t="shared" ref="D5:E5" si="2">D4/60</f>
        <v>23.935465437442222</v>
      </c>
      <c r="E5" s="2">
        <f t="shared" si="2"/>
        <v>1.6369262884801157</v>
      </c>
      <c r="F5" s="2">
        <f t="shared" ref="F5" si="3">F4/60</f>
        <v>1.640716115022417</v>
      </c>
    </row>
    <row r="6" spans="1:6" x14ac:dyDescent="0.35">
      <c r="A6" t="s">
        <v>297</v>
      </c>
      <c r="B6" s="14">
        <f>((B3/(2*PI()))^2*398600.4418)^(1/3)</f>
        <v>7030.8697739351155</v>
      </c>
      <c r="C6" s="14">
        <f>((C3/(2*PI()))^2*398600.4418)^(1/3)</f>
        <v>42165.339180549374</v>
      </c>
      <c r="D6" s="44">
        <f>((D3/(2*PI()))^2*398600.4418)^(1/3)</f>
        <v>42165.339180549374</v>
      </c>
      <c r="E6" s="14">
        <f>((E3/(2*PI()))^2*398600.4418)^(1/3)</f>
        <v>7051.4824458466683</v>
      </c>
      <c r="F6" s="14">
        <f>((F3/(2*PI()))^2*398600.4418)^(1/3)</f>
        <v>7062.3620210682639</v>
      </c>
    </row>
    <row r="7" spans="1:6" x14ac:dyDescent="0.35">
      <c r="A7" t="s">
        <v>68</v>
      </c>
      <c r="B7" s="14">
        <f>B6-6378</f>
        <v>652.86977393511552</v>
      </c>
      <c r="C7" s="14">
        <f>C6-6378</f>
        <v>35787.339180549374</v>
      </c>
      <c r="D7" s="14">
        <f>D6-6378</f>
        <v>35787.339180549374</v>
      </c>
      <c r="E7" s="14">
        <f>E6-6378</f>
        <v>673.48244584666827</v>
      </c>
      <c r="F7" s="14">
        <f>F6-6378</f>
        <v>684.36202106826386</v>
      </c>
    </row>
    <row r="8" spans="1:6" x14ac:dyDescent="0.35">
      <c r="A8" t="s">
        <v>186</v>
      </c>
      <c r="B8" s="2">
        <f>B3/86164*360</f>
        <v>24.513267823249556</v>
      </c>
      <c r="C8" s="2">
        <f>C3/86164*360</f>
        <v>360.01535684189588</v>
      </c>
      <c r="D8" s="2">
        <f>D3/86164*360</f>
        <v>360.01535684189588</v>
      </c>
      <c r="E8" s="2">
        <f>E3/86164*360</f>
        <v>24.621146533009494</v>
      </c>
      <c r="F8" s="2">
        <f>F3/86164*360</f>
        <v>24.678149634058915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kepler</vt:lpstr>
      <vt:lpstr>antenna</vt:lpstr>
      <vt:lpstr>Solar</vt:lpstr>
      <vt:lpstr>battery</vt:lpstr>
      <vt:lpstr>GPS</vt:lpstr>
      <vt:lpstr>rocket</vt:lpstr>
      <vt:lpstr>CIM3</vt:lpstr>
      <vt:lpstr>azel</vt:lpstr>
      <vt:lpstr>tle</vt:lpstr>
      <vt:lpstr>orbit</vt:lpstr>
      <vt:lpstr>link budget</vt:lpstr>
      <vt:lpstr>propellant</vt:lpstr>
      <vt:lpstr>Downlink</vt:lpstr>
      <vt:lpstr>rain</vt:lpstr>
      <vt:lpstr>coding</vt:lpstr>
      <vt:lpstr>satellite</vt:lpstr>
      <vt:lpstr>grasp</vt:lpstr>
      <vt:lpstr>twta</vt:lpstr>
      <vt:lpstr>mt</vt:lpstr>
      <vt:lpstr>Shannon</vt:lpstr>
      <vt:lpstr>final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</dc:creator>
  <cp:lastModifiedBy>senol gulgonul</cp:lastModifiedBy>
  <dcterms:created xsi:type="dcterms:W3CDTF">2017-01-10T09:43:32Z</dcterms:created>
  <dcterms:modified xsi:type="dcterms:W3CDTF">2024-12-04T19:48:41Z</dcterms:modified>
</cp:coreProperties>
</file>