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end" sheetId="1" r:id="rId4"/>
    <sheet state="visible" name="Gaps 31-05-21" sheetId="2" r:id="rId5"/>
    <sheet state="visible" name="vault-activity" sheetId="3" r:id="rId6"/>
    <sheet state="visible" name="Task" sheetId="4" r:id="rId7"/>
    <sheet state="visible" name="Login" sheetId="5" r:id="rId8"/>
    <sheet state="visible" name="Forms" sheetId="6" r:id="rId9"/>
    <sheet state="visible" name="Dashboard" sheetId="7" r:id="rId10"/>
    <sheet state="visible" name="Home" sheetId="8" r:id="rId11"/>
    <sheet state="visible" name="Terra (includes creation of tic" sheetId="9" r:id="rId12"/>
    <sheet state="visible" name="Thermal (includes part of Vault" sheetId="10" r:id="rId13"/>
    <sheet state="visible" name="Tickets(Tasks)" sheetId="11" r:id="rId14"/>
    <sheet state="visible" name="Vault" sheetId="12" r:id="rId15"/>
    <sheet state="visible" name="Project Management" sheetId="13" r:id="rId16"/>
    <sheet state="visible" name="Users" sheetId="14" r:id="rId17"/>
    <sheet state="visible" name="Mobile App" sheetId="15" r:id="rId18"/>
    <sheet state="visible" name="mixed" sheetId="16" r:id="rId19"/>
    <sheet state="visible" name="missed" sheetId="17" r:id="rId20"/>
    <sheet state="visible" name="Missed Words" sheetId="18" r:id="rId21"/>
  </sheets>
  <definedNames>
    <definedName hidden="1" localSheetId="17" name="_xlnm._FilterDatabase">'Missed Words'!$A$1:$Z$1000</definedName>
    <definedName hidden="1" localSheetId="17" name="Z_4E5A523E_B912_43FC_BFE5_D92DEF2D07F8_.wvu.FilterData">'Missed Words'!$A$1:$Z$1000</definedName>
    <definedName hidden="1" localSheetId="17" name="Z_2C6E081C_0917_46F4_AF32_DAB81C336D25_.wvu.FilterData">'Missed Words'!$A$1:$Z$1000</definedName>
  </definedNames>
  <calcPr/>
  <customWorkbookViews>
    <customWorkbookView activeSheetId="0" maximized="1" windowHeight="0" windowWidth="0" guid="{2C6E081C-0917-46F4-AF32-DAB81C336D25}" name="Filter 2"/>
    <customWorkbookView activeSheetId="0" maximized="1" windowHeight="0" windowWidth="0" guid="{4E5A523E-B912-43FC-BFE5-D92DEF2D07F8}"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F431">
      <text>
        <t xml:space="preserve">It's an image. We will update later
	-Vinita Kumbhar</t>
      </text>
    </comment>
    <comment authorId="0" ref="F378">
      <text>
        <t xml:space="preserve">User input
	-Vinita Kumbhar</t>
      </text>
    </comment>
    <comment authorId="0" ref="F375">
      <text>
        <t xml:space="preserve">The location mentioned is user text
	-Vinita Kumbhar</t>
      </text>
    </comment>
    <comment authorId="0" ref="E9">
      <text>
        <t xml:space="preserve">It is data value we are receiving from the backed
	-Vinita Kumbhar</t>
      </text>
    </comment>
    <comment authorId="0" ref="E479">
      <text>
        <t xml:space="preserve">Already in Spanish but the phrase must be change to "Buscar Tarea"
	-Neomar Hernández</t>
      </text>
    </comment>
    <comment authorId="0" ref="F421">
      <text>
        <t xml:space="preserve">This must be applied whatever else is needed
	-Neomar Hernández</t>
      </text>
    </comment>
    <comment authorId="0" ref="F417">
      <text>
        <t xml:space="preserve">This group applies to all the Vault sections on which the user is able to delete files
	-Neomar Hernández</t>
      </text>
    </comment>
    <comment authorId="0" ref="F414">
      <text>
        <t xml:space="preserve">This group applies to all the Vault sections on which the user is able to delete folders
	-Neomar Hernández
These are being used as separate words. I have added them everywhere.
	-Vinita Kumbhar</t>
      </text>
    </comment>
    <comment authorId="0" ref="F413">
      <text>
        <t xml:space="preserve">This applies to all the Vault sections on which the user is able to download files
	-Neomar Hernández</t>
      </text>
    </comment>
    <comment authorId="0" ref="E407">
      <text>
        <t xml:space="preserve">These dates must be displayed in Spanish considering all the previous given information related to months, days, etc.
	-Neomar Hernández</t>
      </text>
    </comment>
    <comment authorId="0" ref="F406">
      <text>
        <t xml:space="preserve">This extends to other time lenghts, years (años), weeks (semanas), hours (horas), months (meses)
	-Neomar Hernández</t>
      </text>
    </comment>
    <comment authorId="0" ref="F261">
      <text>
        <t xml:space="preserve">This applies for the Thermal Map Viewer and Task-Checklists tab as well
	-Neomar Hernández</t>
      </text>
    </comment>
    <comment authorId="0" ref="F404">
      <text>
        <t xml:space="preserve">This must be applied in all the instances on which a Task can be created / edited
	-Neomar Hernández</t>
      </text>
    </comment>
    <comment authorId="0" ref="E403">
      <text>
        <t xml:space="preserve">Already in Spanish but the phrase must be changed to "Nueva Tarea"
	-Neomar Hernández</t>
      </text>
    </comment>
    <comment authorId="0" ref="F401">
      <text>
        <t xml:space="preserve">This Schedule message must be displayed in Spanish based on the given translated words
	-Neomar Hernández</t>
      </text>
    </comment>
    <comment authorId="0" ref="E399">
      <text>
        <t xml:space="preserve">Already in Spanish but the phrase must be changed to "Título de la tarea"
This must be extended to all the live site
	-Neomar Hernández
Updated
	-Vinita Kumbhar</t>
      </text>
    </comment>
    <comment authorId="0" ref="F395">
      <text>
        <t xml:space="preserve">This must be extended to all the places on which you have results displayed as a list with several entries
	-Neomar Hernández
A dynamically generate string can not be translated as immediately. Will update it once we find a solution
	-Vinita Kumbhar</t>
      </text>
    </comment>
    <comment authorId="0" ref="F392">
      <text>
        <t xml:space="preserve">These dates should be displayed in Spanish
	-Neomar Hernández</t>
      </text>
    </comment>
    <comment authorId="0" ref="F391">
      <text>
        <t xml:space="preserve">This must be extended to the rest of the Status categories: In Progress (En Progreso), Rejected (Rechazado), Resolved (Resuelto), Closed (Cerrado). This status pop windown is displayed when the user moves the mouse on the bar.
This applies to the rest of the dashboards
	-Neomar Hernández</t>
      </text>
    </comment>
    <comment authorId="0" ref="F390">
      <text>
        <t xml:space="preserve">Extend this to hours as well: "hace 1 hora" for example
	-Neomar Hernández
same as abive
	-Vinita Kumbhar</t>
      </text>
    </comment>
    <comment authorId="0" ref="F385">
      <text>
        <t xml:space="preserve">Extend this to hours as well: "hace 1 hora" for example
	-Neomar Hernández
Adding translations for dynamic data with changed grammar structure is little complicated at the moment. We will add this when we find a solution
	-Vinita Kumbhar</t>
      </text>
    </comment>
    <comment authorId="0" ref="F371">
      <text>
        <t xml:space="preserve">This group of words is refered to the information concerning the status, priority and due date of a task that is shown on a pop up window when the user is hovering on the map. These categories have been already translated into Spanish in other parts of the live site but are not being displayed here specifically.
	-Neomar Hernández</t>
      </text>
    </comment>
    <comment authorId="0" ref="F231">
      <text>
        <t xml:space="preserve">This applies for the Thermal Map Viewer as well
	-Neomar Hernández</t>
      </text>
    </comment>
    <comment authorId="0" ref="F274">
      <text>
        <t xml:space="preserve">This group applies for the Thermal Map Viewer as well
	-Neomar Hernández</t>
      </text>
    </comment>
    <comment authorId="0" ref="F272">
      <text>
        <t xml:space="preserve">This group applies for the Thermal Map Viewer as well
	-Neomar Hernández</t>
      </text>
    </comment>
    <comment authorId="0" ref="F302">
      <text>
        <t xml:space="preserve">This group applies for the Thermal Map Viewer as well
	-Neomar Hernández</t>
      </text>
    </comment>
    <comment authorId="0" ref="F356">
      <text>
        <t xml:space="preserve">This applies for the Thermal Map Viewer as well
	-Neomar Hernández</t>
      </text>
    </comment>
    <comment authorId="0" ref="F336">
      <text>
        <t xml:space="preserve">This applies for the Thermal Map Viewer as well
	-Neomar Hernández</t>
      </text>
    </comment>
    <comment authorId="0" ref="F323">
      <text>
        <t xml:space="preserve">This applies for the Thermal Map Viewer as well
	-Neomar Hernández</t>
      </text>
    </comment>
    <comment authorId="0" ref="F322">
      <text>
        <t xml:space="preserve">This applies for the Thermal Map Viewer as well
	-Neomar Hernández</t>
      </text>
    </comment>
    <comment authorId="0" ref="F351">
      <text>
        <t xml:space="preserve">This group applies for the Thermal Map Viewer as well
	-Neomar Hernández</t>
      </text>
    </comment>
    <comment authorId="0" ref="F342">
      <text>
        <t xml:space="preserve">This group applies for the Thermal Map Viewer as well
	-Neomar Hernández</t>
      </text>
    </comment>
    <comment authorId="0" ref="F337">
      <text>
        <t xml:space="preserve">This group applies for the Thermal Map Viewer as well
	-Neomar Hernández</t>
      </text>
    </comment>
    <comment authorId="0" ref="F329">
      <text>
        <t xml:space="preserve">This group applies for the Thermal Map Viewer as well
	-Neomar Hernández</t>
      </text>
    </comment>
    <comment authorId="0" ref="F324">
      <text>
        <t xml:space="preserve">This group applies for the Thermal Map Viewer as well
	-Neomar Hernández</t>
      </text>
    </comment>
    <comment authorId="0" ref="F319">
      <text>
        <t xml:space="preserve">This group applies for the Thermal Map Viewer as well
	-Neomar Hernández</t>
      </text>
    </comment>
    <comment authorId="0" ref="F318">
      <text>
        <t xml:space="preserve">This applies for the Thermal Map Viewer as well
	-Neomar Hernández</t>
      </text>
    </comment>
    <comment authorId="0" ref="F301">
      <text>
        <t xml:space="preserve">This applies for the Thermal Map Viewer as well
	-Neomar Hernández</t>
      </text>
    </comment>
    <comment authorId="0" ref="F311">
      <text>
        <t xml:space="preserve">This group applies for the Thermal Map Viewer as well
	-Neomar Hernández</t>
      </text>
    </comment>
    <comment authorId="0" ref="F309">
      <text>
        <t xml:space="preserve">This group applies for the Thermal Map Viewer as well
	-Neomar Hernández</t>
      </text>
    </comment>
    <comment authorId="0" ref="F305">
      <text>
        <t xml:space="preserve">This group applies for the Thermal Map Viewer as well
	-Neomar Hernández</t>
      </text>
    </comment>
    <comment authorId="0" ref="F271">
      <text>
        <t xml:space="preserve">This applies for the Thermal Map Viewer as well
	-Neomar Hernández</t>
      </text>
    </comment>
    <comment authorId="0" ref="E355">
      <text>
        <t xml:space="preserve">This is built with the same words previously shown
	-Neomar Hernández</t>
      </text>
    </comment>
    <comment authorId="0" ref="F353">
      <text>
        <t xml:space="preserve">Extends this to Open (Abierto)
	-Neomar Hernández</t>
      </text>
    </comment>
    <comment authorId="0" ref="F352">
      <text>
        <t xml:space="preserve">This extends to other time lenghts, years (años),  weeks (semanas), hours (horas), months (meses)
	-Neomar Hernández</t>
      </text>
    </comment>
    <comment authorId="0" ref="F321">
      <text>
        <t xml:space="preserve">Change "Cada uno" to "Cada"
	-Neomar Hernández</t>
      </text>
    </comment>
    <comment authorId="0" ref="F300">
      <text>
        <t xml:space="preserve">This applies for the Thermal Map Viewer as well
	-Neomar Hernández</t>
      </text>
    </comment>
    <comment authorId="0" ref="F295">
      <text>
        <t xml:space="preserve">This group applies for the Thermal Map Viewer as well
	-Neomar Hernández</t>
      </text>
    </comment>
    <comment authorId="0" ref="F291">
      <text>
        <t xml:space="preserve">This group applies for the Thermal Map Viewer as well
	-Neomar Hernández</t>
      </text>
    </comment>
    <comment authorId="0" ref="F288">
      <text>
        <t xml:space="preserve">This group applies for the Thermal Map Viewer as well
	-Neomar Hernández</t>
      </text>
    </comment>
    <comment authorId="0" ref="F280">
      <text>
        <t xml:space="preserve">This group applies for the Thermal Map Viewer as well
	-Neomar Hernández</t>
      </text>
    </comment>
    <comment authorId="0" ref="E292">
      <text>
        <t xml:space="preserve">applies for the rest of the status categories already translated. Consider the priority categories as well.
	-Neomar Hernández</t>
      </text>
    </comment>
    <comment authorId="0" ref="E291">
      <text>
        <t xml:space="preserve">applies for the rest of the status categories already translated. Consider the priority categories as well.
	-Neomar Hernández</t>
      </text>
    </comment>
    <comment authorId="0" ref="F279">
      <text>
        <t xml:space="preserve">This applies for the Thermal Map Viewer as well
	-Neomar Hernández</t>
      </text>
    </comment>
    <comment authorId="0" ref="F278">
      <text>
        <t xml:space="preserve">This applies for the Thermal Map Viewer as well
	-Neomar Hernández</t>
      </text>
    </comment>
    <comment authorId="0" ref="F277">
      <text>
        <t xml:space="preserve">This applies for the Thermal Map Viewer as well
	-Neomar Hernández</t>
      </text>
    </comment>
    <comment authorId="0" ref="F276">
      <text>
        <t xml:space="preserve">This applies for the Thermal Map Viewer as well
	-Neomar Hernández</t>
      </text>
    </comment>
    <comment authorId="0" ref="F270">
      <text>
        <t xml:space="preserve">This applies for the Thermal Map Viewer as well
	-Neomar Hernández</t>
      </text>
    </comment>
    <comment authorId="0" ref="F269">
      <text>
        <t xml:space="preserve">This applies for the Thermal Map Viewer as well
	-Neomar Hernández</t>
      </text>
    </comment>
    <comment authorId="0" ref="F268">
      <text>
        <t xml:space="preserve">This applies for the Thermal Map Viewer as well
	-Neomar Hernández</t>
      </text>
    </comment>
    <comment authorId="0" ref="F267">
      <text>
        <t xml:space="preserve">This applies for the Thermal Map Viewer as well
	-Neomar Hernández</t>
      </text>
    </comment>
    <comment authorId="0" ref="F266">
      <text>
        <t xml:space="preserve">This applies for the Thermal Map Viewer as well
	-Neomar Hernández</t>
      </text>
    </comment>
    <comment authorId="0" ref="F260">
      <text>
        <t xml:space="preserve">This applies for the Thermal Map Viewer and Task-Checklists tab as well
	-Neomar Hernández</t>
      </text>
    </comment>
    <comment authorId="0" ref="F259">
      <text>
        <t xml:space="preserve">This applies for the Thermal Map Viewer and Task-Checklists tab as well
	-Neomar Hernández</t>
      </text>
    </comment>
    <comment authorId="0" ref="F258">
      <text>
        <t xml:space="preserve">This applies for the Thermal Map Viewer and Task-Checklists tab as well
	-Neomar Hernández</t>
      </text>
    </comment>
    <comment authorId="0" ref="F257">
      <text>
        <t xml:space="preserve">This applies for the Thermal Map Viewer and Task-Checklists tab as well
	-Neomar Hernández</t>
      </text>
    </comment>
    <comment authorId="0" ref="F256">
      <text>
        <t xml:space="preserve">This applies for the Thermal Map Viewer and Task-Checklists tab as well
	-Neomar Hernández</t>
      </text>
    </comment>
    <comment authorId="0" ref="F255">
      <text>
        <t xml:space="preserve">This applies for the Thermal Map Viewer and Task-Checklists tab as well
	-Neomar Hernández</t>
      </text>
    </comment>
    <comment authorId="0" ref="F254">
      <text>
        <t xml:space="preserve">This applies for the Thermal Map Viewer and Task-Checklists tab as well
	-Neomar Hernández</t>
      </text>
    </comment>
    <comment authorId="0" ref="F253">
      <text>
        <t xml:space="preserve">This applies for the Thermal Map Viewer and Task-Checklists tab as well
	-Neomar Hernández</t>
      </text>
    </comment>
    <comment authorId="0" ref="F252">
      <text>
        <t xml:space="preserve">This applies for the Thermal Map Viewer and Task-Checklists tab as well
	-Neomar Hernández</t>
      </text>
    </comment>
    <comment authorId="0" ref="F251">
      <text>
        <t xml:space="preserve">This applies for the Thermal Map Viewer and Task-Checklists tab as well
	-Neomar Hernández</t>
      </text>
    </comment>
    <comment authorId="0" ref="F250">
      <text>
        <t xml:space="preserve">This applies for the Thermal Map Viewer and Task-Checklists tab as well
	-Neomar Hernández</t>
      </text>
    </comment>
    <comment authorId="0" ref="F249">
      <text>
        <t xml:space="preserve">This applies for the Thermal Map Viewer and Task-Checklists tab as well
	-Neomar Hernández</t>
      </text>
    </comment>
    <comment authorId="0" ref="F248">
      <text>
        <t xml:space="preserve">This applies for the Thermal Map Viewer and Task-Checklists tab as well
	-Neomar Hernández</t>
      </text>
    </comment>
    <comment authorId="0" ref="F247">
      <text>
        <t xml:space="preserve">This applies for the Thermal Map Viewer and Task-Checklists tab as well
	-Neomar Hernández</t>
      </text>
    </comment>
    <comment authorId="0" ref="F246">
      <text>
        <t xml:space="preserve">This applies for the Thermal Map Viewer and Task-Checklists tab as well
	-Neomar Hernández</t>
      </text>
    </comment>
    <comment authorId="0" ref="F245">
      <text>
        <t xml:space="preserve">This applies for the Thermal Map Viewer and Task-Checklists tab as well
	-Neomar Hernández</t>
      </text>
    </comment>
    <comment authorId="0" ref="F244">
      <text>
        <t xml:space="preserve">This applies for the Thermal Map Viewer and Task-Checklists tab as well
	-Neomar Hernández</t>
      </text>
    </comment>
    <comment authorId="0" ref="F243">
      <text>
        <t xml:space="preserve">This applies for the Thermal Map Viewer and Task-Checklists tab as well
	-Neomar Hernández</t>
      </text>
    </comment>
    <comment authorId="0" ref="F242">
      <text>
        <t xml:space="preserve">This applies for the Thermal Map Viewer and Task-Checklists tab as well
	-Neomar Hernández</t>
      </text>
    </comment>
    <comment authorId="0" ref="F237">
      <text>
        <t xml:space="preserve">This applies for the Thermal Map Viewer as well
	-Neomar Hernández</t>
      </text>
    </comment>
    <comment authorId="0" ref="F153">
      <text>
        <t xml:space="preserve">This applies for the Thermal Map Viewer as well
	-Neomar Hernández</t>
      </text>
    </comment>
    <comment authorId="0" ref="F152">
      <text>
        <t xml:space="preserve">This applies for the Thermal Map Viewer as well
	-Neomar Hernández</t>
      </text>
    </comment>
    <comment authorId="0" ref="F151">
      <text>
        <t xml:space="preserve">This applies for the Thermal Map Viewer as well
	-Neomar Hernández</t>
      </text>
    </comment>
    <comment authorId="0" ref="F150">
      <text>
        <t xml:space="preserve">This applies for the Thermal Map Viewer as well https://drive.google.com/file/d/1ilJ29PVQD9pSRlo79cJeUPUG9gkRrk9Z/view?usp=sharing
	-Neomar Hernández</t>
      </text>
    </comment>
    <comment authorId="0" ref="F149">
      <text>
        <t xml:space="preserve">This applies for the Thermal Map Viewer as well https://drive.google.com/file/d/1ilJ29PVQD9pSRlo79cJeUPUG9gkRrk9Z/view?usp=sharing
	-Neomar Hernández</t>
      </text>
    </comment>
    <comment authorId="0" ref="F148">
      <text>
        <t xml:space="preserve">This applies for the Thermal Map Viewer as well https://drive.google.com/file/d/1ilJ29PVQD9pSRlo79cJeUPUG9gkRrk9Z/view?usp=sharing
	-Neomar Hernández</t>
      </text>
    </comment>
    <comment authorId="0" ref="F147">
      <text>
        <t xml:space="preserve">This applies for the Thermal Map Viewer as well https://drive.google.com/file/d/1ilJ29PVQD9pSRlo79cJeUPUG9gkRrk9Z/view?usp=sharing
	-Neomar Hernández</t>
      </text>
    </comment>
    <comment authorId="0" ref="F146">
      <text>
        <t xml:space="preserve">This applies for the Thermal Map Viewer as well
	-Neomar Hernández</t>
      </text>
    </comment>
    <comment authorId="0" ref="F145">
      <text>
        <t xml:space="preserve">This applies for the Thermal Map Viewer as well
	-Neomar Hernández</t>
      </text>
    </comment>
    <comment authorId="0" ref="F144">
      <text>
        <t xml:space="preserve">This applies for the Thermal Map Viewer as well
	-Neomar Hernández</t>
      </text>
    </comment>
    <comment authorId="0" ref="F226">
      <text>
        <t xml:space="preserve">This message is displayed after a form is submitted, so this translation applies to all the site
	-Neomar Hernández</t>
      </text>
    </comment>
    <comment authorId="0" ref="F223">
      <text>
        <t xml:space="preserve">The pop up window for the form should display the information in Spanish. This translation is present in other parts of the site but not here.
	-Neomar Hernández</t>
      </text>
    </comment>
    <comment authorId="0" ref="F233">
      <text>
        <t xml:space="preserve">This group of words is refered to the information concerning the status, priority and due date of a task that is shown on a pop up window when the user is hovering on the map. These categories have been already translated into Spanish in other parts of the live site but are not being displayed here specifically.
	-Neomar Hernández</t>
      </text>
    </comment>
    <comment authorId="0" ref="F225">
      <text>
        <t xml:space="preserve">This word is used within the phrase that describes the number of sections on a Form
	-Neomar Hernández</t>
      </text>
    </comment>
    <comment authorId="0" ref="F224">
      <text>
        <t xml:space="preserve">This is for a Form that is about to get saved and delivered
	-Neomar Hernández</t>
      </text>
    </comment>
    <comment authorId="0" ref="F222">
      <text>
        <t xml:space="preserve">The pop up window for the form should display the information in Spanish. This translation is present in other parts of the site but not here.
	-Neomar Hernández</t>
      </text>
    </comment>
    <comment authorId="0" ref="E221">
      <text>
        <t xml:space="preserve">This is built with the same words previously shown
	-Neomar Hernández</t>
      </text>
    </comment>
    <comment authorId="0" ref="F191">
      <text>
        <t xml:space="preserve">Please change to "Cada" instead of "Cada uno"
	-Neomar Hernández</t>
      </text>
    </comment>
    <comment authorId="0" ref="F190">
      <text>
        <t xml:space="preserve">For more than 1 hour, the plural will be "Horas"
	-Neomar Hernández</t>
      </text>
    </comment>
    <comment authorId="0" ref="E129">
      <text>
        <t xml:space="preserve">already in spanish but the word "Ticket" must be changed to "Tarea". Check cell "E"
	-Neomar Hernández</t>
      </text>
    </comment>
    <comment authorId="0" ref="E110">
      <text>
        <t xml:space="preserve">Take notice of the Priority categories that also need to be displayed in Spanish
	-Neomar Hernández</t>
      </text>
    </comment>
    <comment authorId="0" ref="E109">
      <text>
        <t xml:space="preserve">Take notice of the status categories that also need to be displayed in Spanish
	-Neomar Hernández</t>
      </text>
    </comment>
    <comment authorId="0" ref="E65">
      <text>
        <t xml:space="preserve">applies for the rest of the priority categories already translated
	-Neomar Hernández</t>
      </text>
    </comment>
    <comment authorId="0" ref="E64">
      <text>
        <t xml:space="preserve">applies for the rest of the priority categories already translated
	-Neomar Hernández</t>
      </text>
    </comment>
    <comment authorId="0" ref="E63">
      <text>
        <t xml:space="preserve">applies for the rest of the status categories already translated
	-Neomar Hernández</t>
      </text>
    </comment>
    <comment authorId="0" ref="E62">
      <text>
        <t xml:space="preserve">applies for the rest of the status categories already translated
	-Neomar Hernández</t>
      </text>
    </comment>
    <comment authorId="0" ref="E20">
      <text>
        <t xml:space="preserve">All the displayed dates should be in Spanish too
	-Neomar Hernández</t>
      </text>
    </comment>
  </commentList>
</comments>
</file>

<file path=xl/comments10.xml><?xml version="1.0" encoding="utf-8"?>
<comments xmlns:r="http://schemas.openxmlformats.org/officeDocument/2006/relationships" xmlns="http://schemas.openxmlformats.org/spreadsheetml/2006/main">
  <authors>
    <author/>
  </authors>
  <commentList>
    <comment authorId="0" ref="D143">
      <text>
        <t xml:space="preserve">This Spanish Translation is pending to be displayed in the SenseHawk site @mahesh@sensehawk.com
	-Neomar Hernández
updated
	-Vinita Kumbhar</t>
      </text>
    </comment>
    <comment authorId="0" ref="D120">
      <text>
        <t xml:space="preserve">This Spanish Translation is pending to be displayed in the SenseHawk site @mahesh@sensehawk.com
	-Neomar Hernández</t>
      </text>
    </comment>
    <comment authorId="0" ref="D118">
      <text>
        <t xml:space="preserve">This Spanish Translation is pending to be displayed in the SenseHawk site, along with the rest contained within this block (until line 119) @mahesh@sensehawk.com
	-Neomar Hernández
updated
	-Vinita Kumbhar</t>
      </text>
    </comment>
    <comment authorId="0" ref="D117">
      <text>
        <t xml:space="preserve">This Spanish Translation is pending to be displayed in the SenseHawk site @mahesh@sensehawk.com
	-Neomar Hernández
already updated
	-Vinita Kumbhar</t>
      </text>
    </comment>
    <comment authorId="0" ref="D113">
      <text>
        <t xml:space="preserve">This Spanish Translation is pending to be displayed in the SenseHawk site, along with the rest contained within this block (until line 116) @mahesh@sensehawk.com
	-Neomar Hernández
updated
	-Vinita Kumbhar</t>
      </text>
    </comment>
    <comment authorId="0" ref="D112">
      <text>
        <t xml:space="preserve">This Spanish Translation is pending to be displayed in the SenseHawk site @mahesh@sensehawk.com
	-Neomar Hernández
@neomar@sensehawk.com this needs to be broken down into each word. Please check missed words, I will add the keys
	-Vinita Kumbhar</t>
      </text>
    </comment>
    <comment authorId="0" ref="D111">
      <text>
        <t xml:space="preserve">This Spanish Translation is pending to be displayed in the SenseHawk site @mahesh@sensehawk.com
	-Neomar Hernández</t>
      </text>
    </comment>
    <comment authorId="0" ref="D75">
      <text>
        <t xml:space="preserve">This Spanish Translation is pending to be displayed in the SenseHawk site, along with the rest contained within this block (until line 78) @mahesh@sensehawk.com
	-Neomar Hernández
@saideep@sensehawk.com do these need to be translated?
	-Vinita Kumbhar</t>
      </text>
    </comment>
    <comment authorId="0" ref="D70">
      <text>
        <t xml:space="preserve">This Spanish Translation is pending to be displayed in the SenseHawk site, along with the rest contained within this block (until line 74) @mahesh@sensehawk.com
	-Neomar Hernández
Updated all
	-Vinita Kumbhar</t>
      </text>
    </comment>
    <comment authorId="0" ref="D67">
      <text>
        <t xml:space="preserve">This Spanish Translation is pending to be displayed in the SenseHawk site, along with line 68 @mahesh@sensehawk.com
	-Neomar Hernández
Updated both
	-Vinita Kumbhar</t>
      </text>
    </comment>
    <comment authorId="0" ref="D64">
      <text>
        <t xml:space="preserve">This Spanish Translation is pending to be displayed in the SenseHawk site, along with the rest contained within this block (until line 66) @mahesh@sensehawk.com
	-Neomar Hernández
Updated all
	-Vinita Kumbhar</t>
      </text>
    </comment>
    <comment authorId="0" ref="D53">
      <text>
        <t xml:space="preserve">This Spanish Translation is pending to be displayed in the SenseHawk site, along with the rest contained within this block (until line 63) @mahesh@sensehawk.com
	-Neomar Hernández
Updated all of them
	-Vinita Kumbhar</t>
      </text>
    </comment>
    <comment authorId="0" ref="D52">
      <text>
        <t xml:space="preserve">still pending to display this Spanish Translation in the site @mahesh@sensehawk.com
	-Neomar Hernández
updated
	-Vinita Kumbhar</t>
      </text>
    </comment>
    <comment authorId="0" ref="D51">
      <text>
        <t xml:space="preserve">still pending to display this Spanish Translation in the site @mahesh@sensehawk.com
	-Neomar Hernández
updated
	-Vinita Kumbhar</t>
      </text>
    </comment>
    <comment authorId="0" ref="D50">
      <text>
        <t xml:space="preserve">still pending to display this Spanish Translation in the site @mahesh@sensehawk.com
	-Neomar Hernández
updated
	-Vinita Kumbhar</t>
      </text>
    </comment>
    <comment authorId="0" ref="D49">
      <text>
        <t xml:space="preserve">still pending to display this Spanish Translation in the site @mahesh@sensehawk.com
	-Neomar Hernández
already updated
	-Vinita Kumbhar</t>
      </text>
    </comment>
    <comment authorId="0" ref="D110">
      <text>
        <t xml:space="preserve">The Spanish translation of this phrase is pending to be written within the platform: https://drive.google.com/file/d/1psqITzxz1xZE4EpQ5rM3ZyjVq0qolVxS/view?usp=sharing
	-Neomar Hernández
@mahesh@sensehawk.com still pending
	-Neomar Hernández</t>
      </text>
    </comment>
    <comment authorId="0" ref="D109">
      <text>
        <t xml:space="preserve">The Spanish translation of this phrase is pending to be written within the platform: https://drive.google.com/file/d/1psqITzxz1xZE4EpQ5rM3ZyjVq0qolVxS/view?usp=sharing
	-Neomar Hernández
@mahesh@sensehawk.com still pending
	-Neomar Hernández</t>
      </text>
    </comment>
    <comment authorId="0" ref="D106">
      <text>
        <t xml:space="preserve">The Spanish translation of this phrase is pending to be written within the platform: https://drive.google.com/file/d/1psqITzxz1xZE4EpQ5rM3ZyjVq0qolVxS/view?usp=sharing
	-Neomar Hernández
@mahesh@sensehawk.com still pending
	-Neomar Hernández</t>
      </text>
    </comment>
    <comment authorId="0" ref="D105">
      <text>
        <t xml:space="preserve">The Spanish translation of this phrase is pending to be written within the platform: https://drive.google.com/file/d/1n9xmchE4cGoGQNexzAM_BMwnCe3Rh2P7/view?usp=sharing
	-Neomar Hernández
@mahesh@sensehawk.com still pending
	-Neomar Hernández</t>
      </text>
    </comment>
    <comment authorId="0" ref="D104">
      <text>
        <t xml:space="preserve">The Spanish translation of this phrase is pending to be written within the platform: https://drive.google.com/file/d/1n9xmchE4cGoGQNexzAM_BMwnCe3Rh2P7/view?usp=sharing
	-Neomar Hernández
@mahesh@sensehawk.com still pending
	-Neomar Hernández</t>
      </text>
    </comment>
    <comment authorId="0" ref="D102">
      <text>
        <t xml:space="preserve">The Spanish translation of this phrase is pending to be written within the platform: https://drive.google.com/file/d/1n9xmchE4cGoGQNexzAM_BMwnCe3Rh2P7/view?usp=sharing
	-Neomar Hernández
@mahesh@sensehawk.com still pending
	-Neomar Hernández</t>
      </text>
    </comment>
    <comment authorId="0" ref="D101">
      <text>
        <t xml:space="preserve">The Spanish translation of this phrase is pending to be written within the platform: https://drive.google.com/file/d/1eoHndWSEqyiw-0Iy8orNAACgfj_dKkKx/view?usp=sharing
	-Neomar Hernández
@mahesh@sensehawk.com still pending
	-Neomar Hernández</t>
      </text>
    </comment>
    <comment authorId="0" ref="D100">
      <text>
        <t xml:space="preserve">The Spanish translation of this phrase is pending to be written within the platform: https://drive.google.com/file/d/1eoHndWSEqyiw-0Iy8orNAACgfj_dKkKx/view?usp=sharing
	-Neomar Hernández
@mahesh@sensehawk.com still pending
	-Neomar Hernández</t>
      </text>
    </comment>
    <comment authorId="0" ref="D99">
      <text>
        <t xml:space="preserve">The Spanish translation of this phrase is pending to be written within the platform: https://drive.google.com/file/d/1eoHndWSEqyiw-0Iy8orNAACgfj_dKkKx/view?usp=sharing
	-Neomar Hernández
@mahesh@sensehawk.com still pending
	-Neomar Hernández</t>
      </text>
    </comment>
    <comment authorId="0" ref="D98">
      <text>
        <t xml:space="preserve">The Spanish translation of this phrase is pending to be written within the platform: https://drive.google.com/file/d/1eoHndWSEqyiw-0Iy8orNAACgfj_dKkKx/view?usp=sharing
	-Neomar Hernández
@mahesh@sensehawk.com still pending
	-Neomar Hernández
This Spanish Translation is pending to be displayed in the SenseHawk site, along with the rest contained within this block (until line 110) @mahesh@sensehawk.com
	-Neomar Hernández
These are report types
	-Vinita Kumbhar</t>
      </text>
    </comment>
    <comment authorId="0" ref="D10">
      <text>
        <t xml:space="preserve">The Spanish translation of this phrase is pending to be written within the platform: https://drive.google.com/file/d/1u3i51f89zgXs1BqWUXvZWS3TwUZ0fcfY/view?usp=sharing
	-Neomar Hernández
@mahesh@sensehawk.com still pending
	-Neomar Hernández
@mahesh@sensehawk.com still pending
	-Neomar Hernández
updated
	-Vinita Kumbhar</t>
      </text>
    </comment>
    <comment authorId="0" ref="D5">
      <text>
        <t xml:space="preserve">The Spanish translation of this word is pending to be written within the platform: https://drive.google.com/file/d/1u3i51f89zgXs1BqWUXvZWS3TwUZ0fcfY/view?usp=sharing
	-Neomar Hernández
@mahesh@sensehawk.com still pending
	-Neomar Hernández
@mahesh@sensehawk.com still pending
	-Neomar Hernández
already updated
	-Vinita Kumbhar</t>
      </text>
    </comment>
    <comment authorId="0" ref="D4">
      <text>
        <t xml:space="preserve">The Spanish translation of this word is pending to be written within the platform: https://drive.google.com/file/d/1u3i51f89zgXs1BqWUXvZWS3TwUZ0fcfY/view?usp=sharing
	-Neomar Hernández
@mahesh@sensehawk.com still pending
	-Neomar Hernández
@mahesh@sensehawk.com still pending
	-Neomar Hernández
already updated
	-Vinita Kumbhar</t>
      </text>
    </comment>
    <comment authorId="0" ref="D3">
      <text>
        <t xml:space="preserve">The Spanish translation of this word is pending to be written within the platform: https://drive.google.com/file/d/1u3i51f89zgXs1BqWUXvZWS3TwUZ0fcfY/view?usp=sharing
	-Neomar Hernández
@mahesh@sensehawk.com still pending
	-Neomar Hernández
@mahesh@sensehawk.com still pending
	-Neomar Hernández
Already updated
	-Vinita Kumbhar</t>
      </text>
    </comment>
  </commentList>
</comments>
</file>

<file path=xl/comments11.xml><?xml version="1.0" encoding="utf-8"?>
<comments xmlns:r="http://schemas.openxmlformats.org/officeDocument/2006/relationships" xmlns="http://schemas.openxmlformats.org/spreadsheetml/2006/main">
  <authors>
    <author/>
  </authors>
  <commentList>
    <comment authorId="0" ref="D61">
      <text>
        <t xml:space="preserve">This Spanish Translation is pending to be displayed in the SenseHawk site @mahesh@sensehawk.com
	-Neomar Hernández
off
	-Saideep Talari
@saideep@sensehawk.com What does this mean?
	-Mahesh Shenoy
updated
	-Vinita Kumbhar</t>
      </text>
    </comment>
    <comment authorId="0" ref="D52">
      <text>
        <t xml:space="preserve">This Spanish Translation is pending to be displayed in the SenseHawk site @mahesh@sensehawk.com
	-Neomar Hernández
updated
	-Vinita Kumbhar</t>
      </text>
    </comment>
    <comment authorId="0" ref="D23">
      <text>
        <t xml:space="preserve">This Spanish Translation is pending to be displayed in the SenseHawk site @mahesh@sensehawk.com
	-Neomar Hernández
Updated
	-Vinita Kumbhar</t>
      </text>
    </comment>
    <comment authorId="0" ref="D18">
      <text>
        <t xml:space="preserve">@mahesh@sensehawk.com its keyname was not found in "mixed" or in any other tab
	-Neomar Hernández
still pending to display the Spanish translation
	-Neomar Hernández</t>
      </text>
    </comment>
    <comment authorId="0" ref="D31">
      <text>
        <t xml:space="preserve">The Spanish translation of this phrase is pending to be written within the platform: https://drive.google.com/file/d/10QuXyqqtZPPO1r-MFOqRh9TOewsQj-th/view?usp=sharing
	-Neomar Hernández
@mahesh@sensehawk.com still pending
	-Neomar Hernández
@mahesh@sensehawk.com still pending
	-Neomar Hernández
Updated key, will be available in next cycle
	-Vinita Kumbhar</t>
      </text>
    </comment>
    <comment authorId="0" ref="D30">
      <text>
        <t xml:space="preserve">The Spanish translation of this phrase is pending to be written within the platform: https://drive.google.com/file/d/10QuXyqqtZPPO1r-MFOqRh9TOewsQj-th/view?usp=sharing
	-Neomar Hernández
@mahesh@sensehawk.com still pending
	-Neomar Hernández
@mahesh@sensehawk.com still pending
	-Neomar Hernández
updated
	-Vinita Kumbhar</t>
      </text>
    </comment>
    <comment authorId="0" ref="D12">
      <text>
        <t xml:space="preserve">The Spanish translation of this word is pending to be written within the platform: https://drive.google.com/file/d/1nJz7iov8BDx3TdbAQyo-nnRRubNX_Jh5/view?usp=sharing
	-Neomar Hernández
@mahesh@sensehawk.com still pending
	-Neomar Hernández
@mahesh@sensehawk.com still pending
	-Neomar Hernández</t>
      </text>
    </comment>
    <comment authorId="0" ref="D6">
      <text>
        <t xml:space="preserve">The Spanish translation of this phrase is pending to be written within the platform: https://drive.google.com/file/d/1gEbSpRXsGDcbah21VNuZq7lrJv0AlURx/view?usp=sharing
	-Neomar Hernández
@mahesh@sensehawk.com still pending
	-Neomar Hernández
still pending
	-Neomar Hernández
Updated
	-Vinita Kumbhar</t>
      </text>
    </comment>
    <comment authorId="0" ref="D11">
      <text>
        <t xml:space="preserve">The Spanish translation of this word is pending to be written within the platform: https://drive.google.com/file/d/1gEbSpRXsGDcbah21VNuZq7lrJv0AlURx/view?usp=sharing
	-Neomar Hernández
@mahesh@sensehawk.com still pending
	-Neomar Hernández
@mahesh@sensehawk.com still pending
	-Neomar Hernández</t>
      </text>
    </comment>
    <comment authorId="0" ref="D16">
      <text>
        <t xml:space="preserve">The Spanish translation of this phrase is pending to be written within the platform: https://drive.google.com/file/d/1gEbSpRXsGDcbah21VNuZq7lrJv0AlURx/view?usp=sharing
	-Neomar Hernández
@mahesh@sensehawk.com still pending
	-Neomar Hernández
@mahesh@sensehawk.com still pending
	-Neomar Hernández
Updated
	-Vinita Kumbhar</t>
      </text>
    </comment>
    <comment authorId="0" ref="D15">
      <text>
        <t xml:space="preserve">The Spanish translation of this word is pending to be written within the platform: https://drive.google.com/file/d/1gEbSpRXsGDcbah21VNuZq7lrJv0AlURx/view?usp=sharing
	-Neomar Hernández
@mahesh@sensehawk.com still pending
	-Neomar Hernández
@mahesh@sensehawk.com still pending
	-Neomar Hernández
updated
	-Vinita Kumbhar</t>
      </text>
    </comment>
    <comment authorId="0" ref="D5">
      <text>
        <t xml:space="preserve">The Spanish translation of this word is pending to be written within the platform: https://drive.google.com/file/d/1KEl3JJKWIKfpsbI6ChauDiBFjEKqgLBa/view?usp=sharing
	-Neomar Hernández
@mahesh@sensehawk.com still pending
	-Neomar Hernández
@mahesh@sensehawk.com still pending
	-Neomar Hernández
Updated
	-Vinita Kumbhar</t>
      </text>
    </comment>
    <comment authorId="0" ref="D3">
      <text>
        <t xml:space="preserve">The Spanish translation of this word is pending to be written within the platform: https://drive.google.com/file/d/1KEl3JJKWIKfpsbI6ChauDiBFjEKqgLBa/view?usp=sharing
	-Neomar Hernández
@mahesh@sensehawk.com still pending
	-Neomar Hernández
@mahesh@sensehawk.com still pending
	-Neomar Hernández
@neomar@sensehawk.com @mahesh@sensehawk.com updated
	-Vinita Kumbhar</t>
      </text>
    </comment>
  </commentList>
</comments>
</file>

<file path=xl/comments12.xml><?xml version="1.0" encoding="utf-8"?>
<comments xmlns:r="http://schemas.openxmlformats.org/officeDocument/2006/relationships" xmlns="http://schemas.openxmlformats.org/spreadsheetml/2006/main">
  <authors>
    <author/>
  </authors>
  <commentList>
    <comment authorId="0" ref="E3">
      <text>
        <t xml:space="preserve">@vinitak@sensehawk.com updated
	-Neomar Hernández
Added to the code as well. Will be available on app in next cycle
	-Vinita Kumbhar</t>
      </text>
    </comment>
  </commentList>
</comments>
</file>

<file path=xl/comments2.xml><?xml version="1.0" encoding="utf-8"?>
<comments xmlns:r="http://schemas.openxmlformats.org/officeDocument/2006/relationships" xmlns="http://schemas.openxmlformats.org/spreadsheetml/2006/main">
  <authors>
    <author/>
  </authors>
  <commentList>
    <comment authorId="0" ref="D2">
      <text>
        <t xml:space="preserve">@neomar@sensehawk.com Please fill in translations in this column corresponding to the English words in column C please.
_Assigned to Neomar Hernández_
	-Mahesh Shenoy
some of these were reported weeks ago in other parts of this spreadsheet, others are new. Nevertheless, here you have what you required. By that time, I was focused on testing Forms at the Piling QC Asset.
	-Neomar Hernández</t>
      </text>
    </comment>
  </commentList>
</comments>
</file>

<file path=xl/comments3.xml><?xml version="1.0" encoding="utf-8"?>
<comments xmlns:r="http://schemas.openxmlformats.org/officeDocument/2006/relationships" xmlns="http://schemas.openxmlformats.org/spreadsheetml/2006/main">
  <authors>
    <author/>
  </authors>
  <commentList>
    <comment authorId="0" ref="D123">
      <text>
        <t xml:space="preserve">@puravit@sensehawk.com everything related to the Schedule setting is pending to display the Spanish translation on the live site (lines 123-160)
	-Neomar Hernández
@souryav@sensehawk.com, please take a look.
	-Puravi Gundala</t>
      </text>
    </comment>
    <comment authorId="0" ref="D16">
      <text>
        <t xml:space="preserve">@puravit@sensehawk.com pending to display Spanish translation on the live site
	-Neomar Hernández</t>
      </text>
    </comment>
    <comment authorId="0" ref="D15">
      <text>
        <t xml:space="preserve">@puravit@sensehawk.com pending to display Spanish translation on the live site
	-Neomar Hernández</t>
      </text>
    </comment>
    <comment authorId="0" ref="D14">
      <text>
        <t xml:space="preserve">@puravit@sensehawk.com pending to display Spanish translation on the live site
	-Neomar Hernández</t>
      </text>
    </comment>
    <comment authorId="0" ref="D13">
      <text>
        <t xml:space="preserve">@puravit@sensehawk.com pending to display Spanish translation on the live site
	-Neomar Hernández
@souryav@sensehawk.com, please take a look.
	-Puravi Gundala</t>
      </text>
    </comment>
    <comment authorId="0" ref="D12">
      <text>
        <t xml:space="preserve">@puravit@sensehawk.com pending to display Spanish translation on the live site
	-Neomar Hernández</t>
      </text>
    </comment>
    <comment authorId="0" ref="C160">
      <text>
        <t xml:space="preserve">@puravit@sensehawk.com please report the updates for both the English and Spanish translations of these
_Assigned to Puravi Gundala_
	-Neomar Hernández</t>
      </text>
    </comment>
    <comment authorId="0" ref="C142">
      <text>
        <t xml:space="preserve">@puravit@sensehawk.com please report the updates for both the English and Spanish translations of these
_Assigned to Puravi Gundala_
	-Neomar Hernández</t>
      </text>
    </comment>
  </commentList>
</comments>
</file>

<file path=xl/comments4.xml><?xml version="1.0" encoding="utf-8"?>
<comments xmlns:r="http://schemas.openxmlformats.org/officeDocument/2006/relationships" xmlns="http://schemas.openxmlformats.org/spreadsheetml/2006/main">
  <authors>
    <author/>
  </authors>
  <commentList>
    <comment authorId="0" ref="D18">
      <text>
        <t xml:space="preserve">The Spanish translation of this word is pending to be written within the platform: https://drive.google.com/file/d/1qYzQLUmCXwDN35urDl8B--_cLF1rfH_r/view?usp=sharing
	-Neomar Hernández
Still pending @mahesh@sensehawk.com These are pop messages that appear when the user moves the mouse on the chart
	-Neomar Hernández
@mahesh@sensehawk.com still pending
	-Neomar Hernández
Updated
	-Prajwal Bharadwaj
I see that with the last update the Dashboard has been hidden, correct?
	-Neomar Hernández</t>
      </text>
    </comment>
  </commentList>
</comments>
</file>

<file path=xl/comments5.xml><?xml version="1.0" encoding="utf-8"?>
<comments xmlns:r="http://schemas.openxmlformats.org/officeDocument/2006/relationships" xmlns="http://schemas.openxmlformats.org/spreadsheetml/2006/main">
  <authors>
    <author/>
  </authors>
  <commentList>
    <comment authorId="0" ref="D172">
      <text>
        <t xml:space="preserve">@vinitak@sensehawk.com I added the Spanish Translation
_Assigned to Vinita Kumbhar_
	-Neomar Hernández</t>
      </text>
    </comment>
    <comment authorId="0" ref="A172">
      <text>
        <t xml:space="preserve">@vinitak@sensehawk.com This was newly added. So KeyName needs to be added
_Assigned to Vinita Kumbhar_
	-Mahesh Shenoy</t>
      </text>
    </comment>
  </commentList>
</comments>
</file>

<file path=xl/comments6.xml><?xml version="1.0" encoding="utf-8"?>
<comments xmlns:r="http://schemas.openxmlformats.org/officeDocument/2006/relationships" xmlns="http://schemas.openxmlformats.org/spreadsheetml/2006/main">
  <authors>
    <author/>
  </authors>
  <commentList>
    <comment authorId="0" ref="D395">
      <text>
        <t xml:space="preserve">@puravit@sensehawk.com all of these "Forms" creation features must be translated into Spanish within the SenseHawk platform. Lines 395-427.
	-Neomar Hernández
@souryav@sensehawk.com, please take a look.
	-Puravi Gundala</t>
      </text>
    </comment>
    <comment authorId="0" ref="D407">
      <text>
        <t xml:space="preserve">applies for 2 Selected, 3 Selected, and so on @puravit@sensehawk.com
	-Neomar Hernández</t>
      </text>
    </comment>
    <comment authorId="0" ref="D387">
      <text>
        <t xml:space="preserve">@puravit@sensehawk.com pending to display the Spanish translation at the live site
	-Neomar Hernández</t>
      </text>
    </comment>
    <comment authorId="0" ref="D394">
      <text>
        <t xml:space="preserve">@puravit@sensehawk.com pending to display the Spanish translation at the live site
	-Neomar Hernández</t>
      </text>
    </comment>
    <comment authorId="0" ref="D384">
      <text>
        <t xml:space="preserve">@puravit@sensehawk.com pending to display the Spanish translation at the live site
	-Neomar Hernández</t>
      </text>
    </comment>
    <comment authorId="0" ref="D389">
      <text>
        <t xml:space="preserve">applies for Section 2, Section 3, etc @puravit@sensehawk.com
	-Neomar Hernández</t>
      </text>
    </comment>
    <comment authorId="0" ref="D390">
      <text>
        <t xml:space="preserve">@puravit@sensehawk.com pending to display the Spanish translation at the live site
	-Neomar Hernández</t>
      </text>
    </comment>
    <comment authorId="0" ref="D375">
      <text>
        <t xml:space="preserve">@puravit@sensehawk.com pending to display Spanish Translation on the live site
_Assigned to Puravi Gundala_
	-Neomar Hernández</t>
      </text>
    </comment>
    <comment authorId="0" ref="D374">
      <text>
        <t xml:space="preserve">@puravit@sensehawk.com pending to display Spanish Translation on the live site
_Assigned to Puravi Gundala_
	-Neomar Hernández</t>
      </text>
    </comment>
    <comment authorId="0" ref="D376">
      <text>
        <t xml:space="preserve">@puravit@sensehawk.com these are new additions, therefore their Spanish translations need to be added
_Assigned to Puravi Gundala_
	-Neomar Hernández
Lines from 376 to 382
	-Neomar Hernández
@neomar@sensehawk.com is it possible to get the japanese translations soon here? so we can update all.
_Reassigned to Neomar Hernández_
	-sourya V
Hey Sourya, Neomar doesn't take care of the japanese translations.
	-Puravi Gundala</t>
      </text>
    </comment>
    <comment authorId="0" ref="D270">
      <text>
        <t xml:space="preserve">@puravit@sensehawk.com I think this part of Checklist does not belong to library,  therefore the Spanish translation can be applied. From line 270 to 308
_Assigned to Puravi Gundala_
	-Neomar Hernández</t>
      </text>
    </comment>
    <comment authorId="0" ref="D434">
      <text>
        <t xml:space="preserve">@puravit@sensehawk.com from line 434 to 445 must be updated within the platform. These are new features.
_Assigned to Puravi Gundala_
	-Neomar Hernández
Hii @neomar@sensehawk.com  could you pls update the japanese translations also here. so I can add all these at once.
_Reassigned to Neomar Hernández_
	-sourya V
@Sourya, Neomar doesn't take care of the japanese translations.
	-Puravi Gundala</t>
      </text>
    </comment>
    <comment authorId="0" ref="D369">
      <text>
        <t xml:space="preserve">This Spanish Translation is pending to be displayed in the SenseHawk site @puravit@sensehawk.com
	-Neomar Hernández
still pending
	-Neomar Hernández</t>
      </text>
    </comment>
    <comment authorId="0" ref="D327">
      <text>
        <t xml:space="preserve">This Spanish Translation is pending to be displayed in the SenseHawk site, along with the rest related to "New Schedule" within the creation of tasks (until line 363) @puravit@sensehawk.com
	-Neomar Hernández
This calendar setting is present in several parts of the platform, therefore it needs to be updated
	-Neomar Hernández
@souryav@sensehawk.com , please take a look.
	-Puravi Gundala</t>
      </text>
    </comment>
    <comment authorId="0" ref="D312">
      <text>
        <t xml:space="preserve">This Spanish Translation is pending to be displayed in the SenseHawk site, along with the rest related to "Comments/Conversation" within the creation of tasks (until line 323) @puravit@sensehawk.com
	-Neomar Hernández</t>
      </text>
    </comment>
    <comment authorId="0" ref="D174">
      <text>
        <t xml:space="preserve">This Spanish Translation is pending to be displayed in the SenseHawk site
	-Neomar Hernández
@vinitak@sensehawk.com still pending
	-Neomar Hernández</t>
      </text>
    </comment>
    <comment authorId="0" ref="D170">
      <text>
        <t xml:space="preserve">This Spanish Translation is pending to be displayed in the SenseHawk site @mahesh@sensehawk.com
	-Neomar Hernández
@vinitak@sensehawk.com still pending
	-Neomar Hernández</t>
      </text>
    </comment>
  </commentList>
</comments>
</file>

<file path=xl/comments7.xml><?xml version="1.0" encoding="utf-8"?>
<comments xmlns:r="http://schemas.openxmlformats.org/officeDocument/2006/relationships" xmlns="http://schemas.openxmlformats.org/spreadsheetml/2006/main">
  <authors>
    <author/>
  </authors>
  <commentList>
    <comment authorId="0" ref="D176">
      <text>
        <t xml:space="preserve">This Spanish Translation is pending to be displayed in the SenseHawk site @mahesh@sensehawk.com
	-Neomar Hernández</t>
      </text>
    </comment>
    <comment authorId="0" ref="D172">
      <text>
        <t xml:space="preserve">This Spanish Translation is pending to be displayed in the SenseHawk site, along with the rest of the phrases within this block @mahesh@sensehawk.com
	-Neomar Hernández</t>
      </text>
    </comment>
    <comment authorId="0" ref="D171">
      <text>
        <t xml:space="preserve">This Spanish Translation is pending to be displayed in the SenseHawk site @mahesh@sensehawk.com
	-Neomar Hernández</t>
      </text>
    </comment>
    <comment authorId="0" ref="D166">
      <text>
        <t xml:space="preserve">This Spanish Translation is pending to be displayed in the SenseHawk site @mahesh@sensehawk.com
	-Neomar Hernández</t>
      </text>
    </comment>
    <comment authorId="0" ref="D116">
      <text>
        <t xml:space="preserve">This Spanish Translation is pending to be displayed in the SenseHawk site, along with the rest of the words in this block (until line 121) @mahesh@sensehawk.com
	-Neomar Hernández</t>
      </text>
    </comment>
    <comment authorId="0" ref="D114">
      <text>
        <t xml:space="preserve">This Spanish Translation is pending to be displayed in the SenseHawk site, along with the rest of the words in this block (until line 115) @mahesh@sensehawk.com
	-Neomar Hernández</t>
      </text>
    </comment>
    <comment authorId="0" ref="D100">
      <text>
        <t xml:space="preserve">This Spanish Translation is pending to be displayed in the SenseHawk site, along with the rest of the words in this block (until line 113) @mahesh@sensehawk.com
	-Neomar Hernández
from library
	-sourya V</t>
      </text>
    </comment>
    <comment authorId="0" ref="D99">
      <text>
        <t xml:space="preserve">This Spanish Translation is pending to be displayed in the SenseHawk site @mahesh@sensehawk.com
	-Neomar Hernández</t>
      </text>
    </comment>
    <comment authorId="0" ref="D53">
      <text>
        <t xml:space="preserve">This Spanish Translation is pending to be displayed in the SenseHawk site @mahesh@sensehawk.com
	-Neomar Hernández</t>
      </text>
    </comment>
    <comment authorId="0" ref="D51">
      <text>
        <t xml:space="preserve">This Spanish Translation is pending to be displayed in the SenseHawk site @mahesh@sensehawk.com
	-Neomar Hernández</t>
      </text>
    </comment>
    <comment authorId="0" ref="D50">
      <text>
        <t xml:space="preserve">This Spanish Translation is pending to be displayed in the SenseHawk site @mahesh@sensehawk.com
	-Neomar Hernández
Hi, this is from library, we cannot add in ui.
	-sourya V</t>
      </text>
    </comment>
    <comment authorId="0" ref="D25">
      <text>
        <t xml:space="preserve">This Spanish Translation is pending to be displayed in the SenseHawk site @mahesh@sensehawk.com
	-Neomar Hernández</t>
      </text>
    </comment>
    <comment authorId="0" ref="D24">
      <text>
        <t xml:space="preserve">This Spanish Translation is pending to be displayed in the SenseHawk site @mahesh@sensehawk.com
	-Neomar Hernández</t>
      </text>
    </comment>
    <comment authorId="0" ref="D23">
      <text>
        <t xml:space="preserve">This Spanish Translation is pending to be displayed in the SenseHawk site @mahesh@sensehawk.com
	-Neomar Hernández</t>
      </text>
    </comment>
    <comment authorId="0" ref="D22">
      <text>
        <t xml:space="preserve">This Spanish Translation is pending to be displayed in the SenseHawk site @mahesh@sensehawk.com
	-Neomar Hernández</t>
      </text>
    </comment>
    <comment authorId="0" ref="D21">
      <text>
        <t xml:space="preserve">This Spanish Translation is pending to be displayed in the SenseHawk site @mahesh@sensehawk.com
	-Neomar Hernández
These are from library
	-sourya V</t>
      </text>
    </comment>
    <comment authorId="0" ref="D80">
      <text>
        <t xml:space="preserve">@mahesh@sensehawk.com pending to show spanish translation
	-Neomar Hernández
@mahesh@sensehawk.com still pending
	-Neomar Hernández
from library
	-sourya V</t>
      </text>
    </comment>
    <comment authorId="0" ref="D198">
      <text>
        <t xml:space="preserve">@mahesh@sensehawk.com its kyeyname was not found in "mixed" or in any other tab
	-Neomar Hernández</t>
      </text>
    </comment>
    <comment authorId="0" ref="D195">
      <text>
        <t xml:space="preserve">@mahesh@sensehawk.com its kyeyname was not found in "mixed" or in any other tab
	-Neomar Hernández</t>
      </text>
    </comment>
    <comment authorId="0" ref="D193">
      <text>
        <t xml:space="preserve">@mahesh@sensehawk.com its keyname was not found in "mixed" or in any other tab
	-Neomar Hernández
all of this block is still pending to display its Spanish Translation within the SenseHawk site
	-Neomar Hernández
this needs some modification, have added more related keys and english words in new sheet(vault-activity) that requires to be translated
	-sourya V
@mahesh@sensehawk.com
	-sourya V</t>
      </text>
    </comment>
    <comment authorId="0" ref="D163">
      <text>
        <t xml:space="preserve">The Spanish translation of this phrase is pending to be written within the platform: https://drive.google.com/file/d/1JuBcXWCC-GOLweMFLDomBMjSIi4kLskG/view?usp=sharing
	-Neomar Hernández
@mahesh@sensehawk.com still pending
	-Neomar Hernández
@mahesh@sensehawk.com still pending
	-Neomar Hernández</t>
      </text>
    </comment>
    <comment authorId="0" ref="D162">
      <text>
        <t xml:space="preserve">The Spanish translation of this phrase is pending to be written within the platform: https://drive.google.com/file/d/1JuBcXWCC-GOLweMFLDomBMjSIi4kLskG/view?usp=sharing
	-Neomar Hernández
@mahesh@sensehawk.com still pending
	-Neomar Hernández
@mahesh@sensehawk.com still pending
	-Neomar Hernández</t>
      </text>
    </comment>
    <comment authorId="0" ref="D155">
      <text>
        <t xml:space="preserve">The Spanish translation of this word is pending to be written within the platform: https://drive.google.com/file/d/1tifYuV9iBUCRtSkK6pw53X3LlSnkfzrz/view?usp=sharing
	-Neomar Hernández
@mahesh@sensehawk.com still pending
	-Neomar Hernández
@mahesh@sensehawk.com still pending
	-Neomar Hernández</t>
      </text>
    </comment>
    <comment authorId="0" ref="D154">
      <text>
        <t xml:space="preserve">The Spanish translation of this phrase is pending to be written within the platform: https://drive.google.com/file/d/1tifYuV9iBUCRtSkK6pw53X3LlSnkfzrz/view?usp=sharing
	-Neomar Hernández
@mahesh@sensehawk.com still pending
	-Neomar Hernández
@mahesh@sensehawk.com still pending
	-Neomar Hernández</t>
      </text>
    </comment>
    <comment authorId="0" ref="D148">
      <text>
        <t xml:space="preserve">The Spanish translation of this word is pending to be written within the platform: https://drive.google.com/file/d/16MA29OSJoQtaS49PPAg881wVyutsXHGW/view?usp=sharing
	-Neomar Hernández
@mahesh@sensehawk.com still pending
	-Neomar Hernández
@mahesh@sensehawk.com still pending
	-Neomar Hernández</t>
      </text>
    </comment>
    <comment authorId="0" ref="D79">
      <text>
        <t xml:space="preserve">The Spanish translation of this word is pending to be written within the platform: https://drive.google.com/file/d/1rk8vY2_ND8H1cL_ZJTPjbT1cus_fkDcA/view?usp=sharing
	-Neomar Hernández
@mahesh@sensehawk.com still pending
	-Neomar Hernández
@mahesh@sensehawk.com still pending
	-Neomar Hernández</t>
      </text>
    </comment>
    <comment authorId="0" ref="D78">
      <text>
        <t xml:space="preserve">The Spanish translation of this word is pending to be written within the platform: https://drive.google.com/file/d/1tntsHv5cStn6uYWfHFLFXrXw_gYr0qjO/view?usp=sharing
	-Neomar Hernández
@mahesh@sensehawk.com still pending
	-Neomar Hernández
@mahesh@sensehawk.com still pending
	-Neomar Hernández
this.is  from lib, we cannot add for this
	-sourya V</t>
      </text>
    </comment>
    <comment authorId="0" ref="D64">
      <text>
        <t xml:space="preserve">The Spanish translation of this phrase is pending to be written within the platform: https://drive.google.com/file/d/1x03xAMJH80c8aO99MKkDPCzduKNmyfPs/view?usp=sharing
	-Neomar Hernández
@mahesh@sensehawk.com still pending
	-Neomar Hernández
@mahesh@sensehawk.com still pending
	-Neomar Hernández
updated
	-sourya V</t>
      </text>
    </comment>
    <comment authorId="0" ref="D61">
      <text>
        <t xml:space="preserve">The Spanish translation of this word is pending to be written within the platform: https://drive.google.com/file/d/110lf2Z79ANKErUrFgrnvWhtlY1sESppj/view?usp=sharing
	-Neomar Hernández
@mahesh@sensehawk.com still pending
	-Neomar Hernández
@mahesh@sensehawk.com still pending
	-Neomar Hernández
dynamic data, cannot be translated
	-sourya V</t>
      </text>
    </comment>
    <comment authorId="0" ref="D58">
      <text>
        <t xml:space="preserve">The Spanish translation of this word is pending to be written within the platform: https://drive.google.com/file/d/110lf2Z79ANKErUrFgrnvWhtlY1sESppj/view?usp=sharing
	-Neomar Hernández
@mahesh@sensehawk.com still pending
	-Neomar Hernández
@mahesh@sensehawk.com still pending
	-Neomar Hernández</t>
      </text>
    </comment>
    <comment authorId="0" ref="D48">
      <text>
        <t xml:space="preserve">The Spanish translation of this phrase is pending to be written within the platform: https://drive.google.com/file/d/1pUmA8NCgV4vp4FniZmZfFbht0A0SrnP0/view?usp=sharing
	-Neomar Hernández
@mahesh@sensehawk.com still pending
	-Neomar Hernández
@mahesh@sensehawk.com still pending
	-Neomar Hernández</t>
      </text>
    </comment>
    <comment authorId="0" ref="D47">
      <text>
        <t xml:space="preserve">The Spanish translation of this phrase is pending to be written within the platform: https://drive.google.com/file/d/1pUmA8NCgV4vp4FniZmZfFbht0A0SrnP0/view?usp=sharing
	-Neomar Hernández
@mahesh@sensehawk.com still pending
	-Neomar Hernández
@mahesh@sensehawk.com still pending
	-Neomar Hernández</t>
      </text>
    </comment>
    <comment authorId="0" ref="D45">
      <text>
        <t xml:space="preserve">The Spanish translation of this phrase is pending to be written within the platform: https://drive.google.com/file/d/13d3bc9uXuRW33zBh5ayRiJMk8wcJx-VP/view?usp=sharing
	-Neomar Hernández
@mahesh@sensehawk.com still pending
	-Neomar Hernández
@mahesh@sensehawk.com still pending
	-Neomar Hernández</t>
      </text>
    </comment>
    <comment authorId="0" ref="D44">
      <text>
        <t xml:space="preserve">The Spanish translation of this phrase is pending to be written within the platform: https://drive.google.com/file/d/13d3bc9uXuRW33zBh5ayRiJMk8wcJx-VP/view?usp=sharing
	-Neomar Hernández
@mahesh@sensehawk.com still pending
	-Neomar Hernández
@mahesh@sensehawk.com still pending
	-Neomar Hernández</t>
      </text>
    </comment>
    <comment authorId="0" ref="D43">
      <text>
        <t xml:space="preserve">The Spanish translation of this phrase is pending to be written within the platform: https://drive.google.com/file/d/13d3bc9uXuRW33zBh5ayRiJMk8wcJx-VP/view?usp=sharing
	-Neomar Hernández
@mahesh@sensehawk.com still pending
	-Neomar Hernández
@mahesh@sensehawk.com still pending
	-Neomar Hernández</t>
      </text>
    </comment>
    <comment authorId="0" ref="D42">
      <text>
        <t xml:space="preserve">The Spanish translation of this phrase is pending to be written within the platform: https://drive.google.com/file/d/13d3bc9uXuRW33zBh5ayRiJMk8wcJx-VP/view?usp=sharing
	-Neomar Hernández
@mahesh@sensehawk.com still pending
	-Neomar Hernández
@mahesh@sensehawk.com still pending
	-Neomar Hernández</t>
      </text>
    </comment>
    <comment authorId="0" ref="D41">
      <text>
        <t xml:space="preserve">The Spanish translation of this phrase is pending to be written within the platform: https://drive.google.com/file/d/13d3bc9uXuRW33zBh5ayRiJMk8wcJx-VP/view?usp=sharing
	-Neomar Hernández
@mahesh@sensehawk.com still pending
	-Neomar Hernández
@mahesh@sensehawk.com still pending
	-Neomar Hernández</t>
      </text>
    </comment>
    <comment authorId="0" ref="D39">
      <text>
        <t xml:space="preserve">The Spanish translation of this phrase is pending to be written within the platform: https://drive.google.com/file/d/1z_CAUUa288zod6WMEwteDYKsKj5fdFAX/view?usp=sharing
	-Neomar Hernández
@mahesh@sensehawk.com still pending
	-Neomar Hernández
@mahesh@sensehawk.com still pending
	-Neomar Hernández</t>
      </text>
    </comment>
    <comment authorId="0" ref="D38">
      <text>
        <t xml:space="preserve">The Spanish translation of this phrase is pending to be written within the platform: https://drive.google.com/file/d/1z_CAUUa288zod6WMEwteDYKsKj5fdFAX/view?usp=sharing
	-Neomar Hernández
@mahesh@sensehawk.com still pending
	-Neomar Hernández
@mahesh@sensehawk.com still pending
	-Neomar Hernández</t>
      </text>
    </comment>
    <comment authorId="0" ref="D37">
      <text>
        <t xml:space="preserve">The Spanish translation of this phrase is pending to be written within the platform: https://drive.google.com/file/d/1z_CAUUa288zod6WMEwteDYKsKj5fdFAX/view?usp=sharing
	-Neomar Hernández
@mahesh@sensehawk.com still pending
	-Neomar Hernández
@mahesh@sensehawk.com still pending
	-Neomar Hernández</t>
      </text>
    </comment>
    <comment authorId="0" ref="D36">
      <text>
        <t xml:space="preserve">The Spanish translation of this phrase is pending to be written within the platform: https://drive.google.com/file/d/1z_CAUUa288zod6WMEwteDYKsKj5fdFAX/view?usp=sharing
	-Neomar Hernández
@mahesh@sensehawk.com still pending
	-Neomar Hernández
@mahesh@sensehawk.com still pending
	-Neomar Hernández</t>
      </text>
    </comment>
    <comment authorId="0" ref="D35">
      <text>
        <t xml:space="preserve">The Spanish translation of this phrase is pending to be written within the platform: https://drive.google.com/file/d/1z_CAUUa288zod6WMEwteDYKsKj5fdFAX/view?usp=sharing
	-Neomar Hernández
@mahesh@sensehawk.com still pending
	-Neomar Hernández
@mahesh@sensehawk.com still pending
	-Neomar Hernández</t>
      </text>
    </comment>
    <comment authorId="0" ref="D34">
      <text>
        <t xml:space="preserve">The Spanish translation of this word is pending to be written within the platform: https://drive.google.com/file/d/1z_CAUUa288zod6WMEwteDYKsKj5fdFAX/view?usp=sharing
	-Neomar Hernández
@mahesh@sensehawk.com still pending
	-Neomar Hernández
@mahesh@sensehawk.com still pending
	-Neomar Hernández
Hi, these are dynamic data, cannot be translated on UI. till 48 row
	-sourya V</t>
      </text>
    </comment>
    <comment authorId="0" ref="D14">
      <text>
        <t xml:space="preserve">The Spanish translation of this phrase is pending to be written within the platform: https://drive.google.com/file/d/1YZldQqNxr5AOc77wwVvRdOFgA3-bKPdA/view
	-Neomar Hernández
@mahesh@sensehawk.com still pending
	-Neomar Hernández
@mahesh@sensehawk.com still pending
	-Neomar Hernández</t>
      </text>
    </comment>
    <comment authorId="0" ref="D13">
      <text>
        <t xml:space="preserve">The Spanish translation of this phrase is pending to be written within the platform: https://drive.google.com/file/d/1YZldQqNxr5AOc77wwVvRdOFgA3-bKPdA/view
	-Neomar Hernández
@mahesh@sensehawk.com still pending
	-Neomar Hernández
@mahesh@sensehawk.com still pending
	-Neomar Hernández</t>
      </text>
    </comment>
  </commentList>
</comments>
</file>

<file path=xl/comments8.xml><?xml version="1.0" encoding="utf-8"?>
<comments xmlns:r="http://schemas.openxmlformats.org/officeDocument/2006/relationships" xmlns="http://schemas.openxmlformats.org/spreadsheetml/2006/main">
  <authors>
    <author/>
  </authors>
  <commentList>
    <comment authorId="0" ref="D121">
      <text>
        <t xml:space="preserve">This Spanish Translation is pending to be displayed in the SenseHawk site, along with the rest contained in this block @mahesh@sensehawk.com
	-Neomar Hernández
Updated
	-Vinita Kumbhar</t>
      </text>
    </comment>
    <comment authorId="0" ref="D115">
      <text>
        <t xml:space="preserve">This Spanish Translation is pending to be displayed in the SenseHawk site @mahesh@sensehawk.com
	-Neomar Hernández
updated
	-Vinita Kumbhar</t>
      </text>
    </comment>
    <comment authorId="0" ref="D114">
      <text>
        <t xml:space="preserve">This Spanish Translation is pending to be displayed in the SenseHawk site @mahesh@sensehawk.com
	-Neomar Hernández
Updated
	-Vinita Kumbhar</t>
      </text>
    </comment>
    <comment authorId="0" ref="D109">
      <text>
        <t xml:space="preserve">This Spanish Translation is pending to be displayed in the SenseHawk site, along with the rest contained in this block @mahesh@sensehawk.com
	-Neomar Hernández
updated
	-Vinita Kumbhar</t>
      </text>
    </comment>
    <comment authorId="0" ref="D108">
      <text>
        <t xml:space="preserve">This Spanish Translation is pending to be displayed in the SenseHawk site @mahesh@sensehawk.com
	-Neomar Hernández
Already Updated
	-Vinita Kumbhar</t>
      </text>
    </comment>
    <comment authorId="0" ref="D104">
      <text>
        <t xml:space="preserve">This Spanish Translation is pending to be displayed in the SenseHawk site @mahesh@sensehawk.com
	-Neomar Hernández
Updated
	-Vinita Kumbhar</t>
      </text>
    </comment>
    <comment authorId="0" ref="D103">
      <text>
        <t xml:space="preserve">This Spanish Translation is pending to be displayed in the SenseHawk site @mahesh@sensehawk.com
	-Neomar Hernández
Already updated
	-Vinita Kumbhar</t>
      </text>
    </comment>
    <comment authorId="0" ref="D94">
      <text>
        <t xml:space="preserve">This Spanish Translation is pending to be displayed in the SenseHawk site @mahesh@sensehawk.com
	-Neomar Hernández</t>
      </text>
    </comment>
    <comment authorId="0" ref="D93">
      <text>
        <t xml:space="preserve">This Spanish Translation is pending to be displayed in the SenseHawk site @mahesh@sensehawk.com
	-Neomar Hernández</t>
      </text>
    </comment>
    <comment authorId="0" ref="D92">
      <text>
        <t xml:space="preserve">This Spanish Translation is pending to be displayed in the SenseHawk site @mahesh@sensehawk.com
	-Neomar Hernández</t>
      </text>
    </comment>
    <comment authorId="0" ref="D91">
      <text>
        <t xml:space="preserve">This Spanish Translation is pending to be displayed in the SenseHawk site @mahesh@sensehawk.com
	-Neomar Hernández
Updated all
	-Vinita Kumbhar</t>
      </text>
    </comment>
    <comment authorId="0" ref="D90">
      <text>
        <t xml:space="preserve">This Spanish Translation is pending to be displayed in the SenseHawk site @mahesh@sensehawk.com
	-Neomar Hernández
updated the key. Will be available in next cycle
	-Vinita Kumbhar</t>
      </text>
    </comment>
    <comment authorId="0" ref="D87">
      <text>
        <t xml:space="preserve">This Spanish Translation is pending to be displayed in the SenseHawk site @mahesh@sensehawk.com
	-Neomar Hernández</t>
      </text>
    </comment>
    <comment authorId="0" ref="D46">
      <text>
        <t xml:space="preserve">This Spanish Translation is pending to be displayed in the SenseHawk site, along with the rest related to the calendar (until line 64) @mahesh@sensehawk.com
	-Neomar Hernández</t>
      </text>
    </comment>
    <comment authorId="0" ref="D20">
      <text>
        <t xml:space="preserve">@mahesh@sensehawk.com its keyname was not found in "mixed" or in any other tab
	-Neomar Hernández</t>
      </text>
    </comment>
    <comment authorId="0" ref="D86">
      <text>
        <t xml:space="preserve">@mahesh@sensehawk.com its keyname was not found in "mixed" or in any other tab
	-Neomar Hernández
This Spanish Translation is pending to be displayed in the SenseHawk site @mahesh@sensehawk.com
	-Neomar Hernández
Updated
	-Vinita Kumbhar</t>
      </text>
    </comment>
    <comment authorId="0" ref="D120">
      <text>
        <t xml:space="preserve">@mahesh@sensehawk.com its keyname was not found in "mixed" or in any other tab
	-Neomar Hernández</t>
      </text>
    </comment>
    <comment authorId="0" ref="D45">
      <text>
        <t xml:space="preserve">The Spanish translation of this phrase is pending to be written within the platform: https://drive.google.com/file/d/1QubWbEwQPIgEsH9ClJovhHcTY8k9f_hs/view?usp=sharing
	-Neomar Hernández
@mahesh@sensehawk.com still pending
	-Neomar Hernández
@mahesh@sensehawk.com still pending
	-Neomar Hernández</t>
      </text>
    </comment>
  </commentList>
</comments>
</file>

<file path=xl/comments9.xml><?xml version="1.0" encoding="utf-8"?>
<comments xmlns:r="http://schemas.openxmlformats.org/officeDocument/2006/relationships" xmlns="http://schemas.openxmlformats.org/spreadsheetml/2006/main">
  <authors>
    <author/>
  </authors>
  <commentList>
    <comment authorId="0" ref="D36">
      <text>
        <t xml:space="preserve">This Spanish Translation is pending to be displayed in the SenseHawk site @mahesh@sensehawk.com
	-Neomar Hernández
Updated
	-Vinita Kumbhar</t>
      </text>
    </comment>
    <comment authorId="0" ref="D13">
      <text>
        <t xml:space="preserve">This Spanish Translation is pending to be displayed in the SenseHawk site (to 7 or any amount of days) @mahesh@sensehawk.com
	-Neomar Hernández
@neomar@sensehawk.com this is added. Last 30 days is missing however, I have added it to missed words list
	-Vinita Kumbhar</t>
      </text>
    </comment>
    <comment authorId="0" ref="D51">
      <text>
        <t xml:space="preserve">@mahesh@sensehawk.com its keyname was not found in "mixed" or in any other tab
	-Neomar Hernández
still pending to display this Spanish Translation in the site
	-Neomar Hernández</t>
      </text>
    </comment>
    <comment authorId="0" ref="D50">
      <text>
        <t xml:space="preserve">@mahesh@sensehawk.com its keyname was not found in "mixed" or in any other tab
	-Neomar Hernández
still pending to display this Spanish Translation in the site
	-Neomar Hernández</t>
      </text>
    </comment>
    <comment authorId="0" ref="D49">
      <text>
        <t xml:space="preserve">@mahesh@sensehawk.com its keyname was not found in "mixed" or in any other tab
	-Neomar Hernández
still pending to display this Spanish Translation in the site
	-Neomar Hernández</t>
      </text>
    </comment>
    <comment authorId="0" ref="D45">
      <text>
        <t xml:space="preserve">The Spanish translation of this phrase is pending to be written within the platform: https://drive.google.com/file/d/1JWQTxxEL8-MZ3Php1P65zIPMAwd3KyzB/view?usp=sharing
	-Neomar Hernández
@mahesh@sensehawk.com still pending
	-Neomar Hernández
Still pending
	-Neomar Hernández</t>
      </text>
    </comment>
    <comment authorId="0" ref="D48">
      <text>
        <t xml:space="preserve">The Spanish translation of this phrase is pending to be written within the platform: https://drive.google.com/file/d/1JWQTxxEL8-MZ3Php1P65zIPMAwd3KyzB/view?usp=sharing
	-Neomar Hernández
@mahesh@sensehawk.com still pending
	-Neomar Hernández
still pending
	-Neomar Hernández</t>
      </text>
    </comment>
    <comment authorId="0" ref="D47">
      <text>
        <t xml:space="preserve">The Spanish translation of this phrase is pending to be written within the platform: https://drive.google.com/file/d/1JWQTxxEL8-MZ3Php1P65zIPMAwd3KyzB/view?usp=sharing
	-Neomar Hernández
@mahesh@sensehawk.com still pending
	-Neomar Hernández
still pending
	-Neomar Hernández
@neomar@sensehawk.com this is dynamic data, we will need some time to figure out how to update this
	-Vinita Kumbhar</t>
      </text>
    </comment>
  </commentList>
</comments>
</file>

<file path=xl/sharedStrings.xml><?xml version="1.0" encoding="utf-8"?>
<sst xmlns="http://schemas.openxmlformats.org/spreadsheetml/2006/main" count="8390" uniqueCount="4703">
  <si>
    <t>Translation pending</t>
  </si>
  <si>
    <t>Translation done, not on platform</t>
  </si>
  <si>
    <t>Updated on the platform</t>
  </si>
  <si>
    <t>Key</t>
  </si>
  <si>
    <t>Section</t>
  </si>
  <si>
    <t>Path</t>
  </si>
  <si>
    <t>Description / Visual Aid</t>
  </si>
  <si>
    <t>English</t>
  </si>
  <si>
    <t>Spanish</t>
  </si>
  <si>
    <t>Home</t>
  </si>
  <si>
    <t>Applications tab</t>
  </si>
  <si>
    <t>https://drive.google.com/file/d/1hhfwJdl2jD-RvJkxhN_WD4aNoOAgRaGQ/view?usp=sharing</t>
  </si>
  <si>
    <t>Forms</t>
  </si>
  <si>
    <t>Formularios</t>
  </si>
  <si>
    <t>app-tickets</t>
  </si>
  <si>
    <t>Tickets (this must be changed to "Tareas")</t>
  </si>
  <si>
    <t>Tareas</t>
  </si>
  <si>
    <t>Applications pop up window for an asset</t>
  </si>
  <si>
    <t>https://drive.google.com/file/d/11HigCamHCISmCm_o5HCIxNEU0QCuHRcX/view?usp=sharing</t>
  </si>
  <si>
    <t>app-therm-affected</t>
  </si>
  <si>
    <t>https://drive.google.com/file/d/1G6mTmTHDTD-UrvSxDiJ6w4aoG-_zvmUQ/view?usp=sharing</t>
  </si>
  <si>
    <t>Therm Affected</t>
  </si>
  <si>
    <t>Capacidad total afectada</t>
  </si>
  <si>
    <t>app-edit-resource</t>
  </si>
  <si>
    <t>Dashboard for an asset</t>
  </si>
  <si>
    <t>https://drive.google.com/file/d/12rQyRyHeJJ7Oqkv41CBY0lEeNVUN1HnN/view?usp=sharing</t>
  </si>
  <si>
    <t>Edit Resource</t>
  </si>
  <si>
    <t>Editar Recurso</t>
  </si>
  <si>
    <t>app-delete-resource</t>
  </si>
  <si>
    <t>Delete Resource</t>
  </si>
  <si>
    <t>Eliminar Recurso</t>
  </si>
  <si>
    <t>app-sections</t>
  </si>
  <si>
    <t>Sections</t>
  </si>
  <si>
    <t>Secciones</t>
  </si>
  <si>
    <t>app-layers</t>
  </si>
  <si>
    <t>Layers</t>
  </si>
  <si>
    <t>Capas</t>
  </si>
  <si>
    <t>app-edit-terra-view-for</t>
  </si>
  <si>
    <t>https://drive.google.com/file/d/1mLitREh0n-IZUgK5Ffnq7GEiHirSfixy/view?usp=sharing</t>
  </si>
  <si>
    <t>Edit Terra View for</t>
  </si>
  <si>
    <t>Editar Vista de Terra para</t>
  </si>
  <si>
    <t>app-no-description</t>
  </si>
  <si>
    <t>https://drive.google.com/file/d/18x1iav_d1peK9gP4V1bTgx9KRi5XR2To/view?usp=sharing</t>
  </si>
  <si>
    <t>No description</t>
  </si>
  <si>
    <t>Sin descripción</t>
  </si>
  <si>
    <t>app-map</t>
  </si>
  <si>
    <t>Therm V2</t>
  </si>
  <si>
    <t>https://drive.google.com/file/d/1XxRO9wbZGFroFcyrK6i1hj-bifVEPyO5/view?usp=sharing</t>
  </si>
  <si>
    <t>Map</t>
  </si>
  <si>
    <t>Mapa</t>
  </si>
  <si>
    <t>app-defects</t>
  </si>
  <si>
    <t>Defects</t>
  </si>
  <si>
    <t>Defectos</t>
  </si>
  <si>
    <t>app-supports</t>
  </si>
  <si>
    <t>Support</t>
  </si>
  <si>
    <t>Ayuda</t>
  </si>
  <si>
    <t>app-export-to</t>
  </si>
  <si>
    <t>Export to</t>
  </si>
  <si>
    <t>Exportar a</t>
  </si>
  <si>
    <t>app-thermography</t>
  </si>
  <si>
    <t>Thermography</t>
  </si>
  <si>
    <t>Termografía</t>
  </si>
  <si>
    <t>app-defects-list</t>
  </si>
  <si>
    <t>Defects List</t>
  </si>
  <si>
    <t>Lista de Defectos</t>
  </si>
  <si>
    <t>app-search-defects</t>
  </si>
  <si>
    <t>Search Defects</t>
  </si>
  <si>
    <t>Buscar Defectos</t>
  </si>
  <si>
    <t>app-scan-date</t>
  </si>
  <si>
    <t>Scan Date</t>
  </si>
  <si>
    <t>Fecha de Escaneo</t>
  </si>
  <si>
    <t>app-defect-details</t>
  </si>
  <si>
    <t>https://drive.google.com/file/d/1JRCZ-WmRFgHaC0hzVworZWD7yqa438YU/view?usp=sharing</t>
  </si>
  <si>
    <t>Defect details</t>
  </si>
  <si>
    <t>Detalles del defecto</t>
  </si>
  <si>
    <t>app-previous</t>
  </si>
  <si>
    <t>Previous</t>
  </si>
  <si>
    <t>Anterior</t>
  </si>
  <si>
    <t>app-next</t>
  </si>
  <si>
    <t>Next</t>
  </si>
  <si>
    <t>Siguiente</t>
  </si>
  <si>
    <t>app-task-attributes</t>
  </si>
  <si>
    <t>Therm V2 / Tasks</t>
  </si>
  <si>
    <t>https://drive.google.com/file/d/1KtofP7vcAwg-PhnDTgb9do8Uxj2hOVfn/view?usp=sharing</t>
  </si>
  <si>
    <t>Task Attributes</t>
  </si>
  <si>
    <t>Atributos de la tarea</t>
  </si>
  <si>
    <t>app-asset</t>
  </si>
  <si>
    <t>Asset</t>
  </si>
  <si>
    <t>Activo</t>
  </si>
  <si>
    <t>app-report-date</t>
  </si>
  <si>
    <t>Report date</t>
  </si>
  <si>
    <t>Fecha de reporte</t>
  </si>
  <si>
    <t>app-timestamp</t>
  </si>
  <si>
    <t>Timestamp</t>
  </si>
  <si>
    <t>Fecha de la incidencia</t>
  </si>
  <si>
    <t>app-end-date</t>
  </si>
  <si>
    <t>End Date</t>
  </si>
  <si>
    <t>Fecha de vencimiento</t>
  </si>
  <si>
    <t>app-show-more</t>
  </si>
  <si>
    <t>Show More</t>
  </si>
  <si>
    <t>Mostrar más</t>
  </si>
  <si>
    <t>https://drive.google.com/file/d/1zRWlrXtl7_asDFaxvFGJxN2hPlFYZoCD/view?usp=sharing</t>
  </si>
  <si>
    <t>January</t>
  </si>
  <si>
    <t>Enero</t>
  </si>
  <si>
    <t>February</t>
  </si>
  <si>
    <t>Febrero</t>
  </si>
  <si>
    <t>March</t>
  </si>
  <si>
    <t>Marzo</t>
  </si>
  <si>
    <t>April</t>
  </si>
  <si>
    <t>Abril</t>
  </si>
  <si>
    <t>May</t>
  </si>
  <si>
    <t>Mayo</t>
  </si>
  <si>
    <t>June</t>
  </si>
  <si>
    <t>Junio</t>
  </si>
  <si>
    <t>July</t>
  </si>
  <si>
    <t>Julio</t>
  </si>
  <si>
    <t>August</t>
  </si>
  <si>
    <t>Agosto</t>
  </si>
  <si>
    <t>September</t>
  </si>
  <si>
    <t>Septiembre</t>
  </si>
  <si>
    <t>October</t>
  </si>
  <si>
    <t>Octubre</t>
  </si>
  <si>
    <t>November</t>
  </si>
  <si>
    <t>Noviembre</t>
  </si>
  <si>
    <t>December</t>
  </si>
  <si>
    <t>Diciembre</t>
  </si>
  <si>
    <t>Sun</t>
  </si>
  <si>
    <t>Dom</t>
  </si>
  <si>
    <t>Mon</t>
  </si>
  <si>
    <t>Lun</t>
  </si>
  <si>
    <t>Tue</t>
  </si>
  <si>
    <t>Mar</t>
  </si>
  <si>
    <t>https://drive.google.com/file/d/1h5kXIst2890523sEQIecXNblbsUakAh-/view?usp=sharing</t>
  </si>
  <si>
    <t>Wed</t>
  </si>
  <si>
    <t>Mié</t>
  </si>
  <si>
    <t>Thu</t>
  </si>
  <si>
    <t>Jue</t>
  </si>
  <si>
    <t>Fri</t>
  </si>
  <si>
    <t>Vie</t>
  </si>
  <si>
    <t>Sat</t>
  </si>
  <si>
    <t>Sáb</t>
  </si>
  <si>
    <t>https://drive.google.com/file/d/19A9AbCJKUVRox7RnOBlOtPkv3pelrSlp/view?usp=sharing</t>
  </si>
  <si>
    <t>Hours</t>
  </si>
  <si>
    <t>Horas</t>
  </si>
  <si>
    <t>Minutes</t>
  </si>
  <si>
    <t>Minutos</t>
  </si>
  <si>
    <t>Save</t>
  </si>
  <si>
    <t>Guardar</t>
  </si>
  <si>
    <t>app-are-you-sure-you-want-to-delete</t>
  </si>
  <si>
    <t>https://drive.google.com/file/d/1B9UedI34lWVB9XMAdtPT0PbFfn_Rh5TX/view?usp=sharing</t>
  </si>
  <si>
    <t>Are you sure you want to delete...?</t>
  </si>
  <si>
    <t>¿Está seguro que desea eliminar ...?</t>
  </si>
  <si>
    <t>app-show-less</t>
  </si>
  <si>
    <t>https://drive.google.com/file/d/1vFlhmJV9TkZaWuDShCBJzSZXn-71XpGD/view?usp=sharing</t>
  </si>
  <si>
    <t>Show Less</t>
  </si>
  <si>
    <t>Mostrar menos</t>
  </si>
  <si>
    <t>app-changed-status</t>
  </si>
  <si>
    <t>Changed status</t>
  </si>
  <si>
    <t>Cambió estado</t>
  </si>
  <si>
    <t>app-changed-priority</t>
  </si>
  <si>
    <t>Changed priority</t>
  </si>
  <si>
    <t>Cambió prioridad</t>
  </si>
  <si>
    <t>app-changed-duedate</t>
  </si>
  <si>
    <t>Changed duedate</t>
  </si>
  <si>
    <t>Cambió fecha de vencimiento</t>
  </si>
  <si>
    <t>app-pinned</t>
  </si>
  <si>
    <t>Pinned</t>
  </si>
  <si>
    <t>Fijado</t>
  </si>
  <si>
    <t>app-assigned-ticket-to</t>
  </si>
  <si>
    <t>Assigned ticket to</t>
  </si>
  <si>
    <t xml:space="preserve">Asignó tarea a </t>
  </si>
  <si>
    <t>app-added-attachment</t>
  </si>
  <si>
    <t>Added attachment</t>
  </si>
  <si>
    <t>Añadió archivo adjunto</t>
  </si>
  <si>
    <t>app-from</t>
  </si>
  <si>
    <t>https://drive.google.com/file/d/1QK-LTRJ4Wz-JpQur1kOKB_bCtj1F_SZF/view?usp=sharing</t>
  </si>
  <si>
    <t>from</t>
  </si>
  <si>
    <t>de</t>
  </si>
  <si>
    <t>app-to</t>
  </si>
  <si>
    <t>to</t>
  </si>
  <si>
    <t>a</t>
  </si>
  <si>
    <t>app-pending</t>
  </si>
  <si>
    <t>https://drive.google.com/file/d/1dX4xja_nNxzsmUFL2HbdkKMp6vKrBTvQ/view?usp=sharing</t>
  </si>
  <si>
    <t>Pending</t>
  </si>
  <si>
    <t>Pendiente</t>
  </si>
  <si>
    <t>app-in-progress</t>
  </si>
  <si>
    <t>In Progress</t>
  </si>
  <si>
    <t>En Progreso</t>
  </si>
  <si>
    <t>app-low</t>
  </si>
  <si>
    <t>Low</t>
  </si>
  <si>
    <t>Baja</t>
  </si>
  <si>
    <t>app-medium</t>
  </si>
  <si>
    <t>Medium</t>
  </si>
  <si>
    <t>Media</t>
  </si>
  <si>
    <t>app-attachment-added</t>
  </si>
  <si>
    <t>Attachment added</t>
  </si>
  <si>
    <t>Archivo adjunto añadido</t>
  </si>
  <si>
    <t>https://drive.google.com/file/d/12MErZqfiNTK40H__Ofha03yiqD_0X5La/view?usp=sharing</t>
  </si>
  <si>
    <t>Reply</t>
  </si>
  <si>
    <t>Responder</t>
  </si>
  <si>
    <t>Collapse</t>
  </si>
  <si>
    <t>Contraer</t>
  </si>
  <si>
    <t>app-un-pin-comment</t>
  </si>
  <si>
    <t>https://drive.google.com/file/d/1wrOYghKgbVDw9I-jzlIrTy11rSHYCAEt/view?usp=sharing</t>
  </si>
  <si>
    <t>Un-pin comment</t>
  </si>
  <si>
    <t>Desfijar comentario</t>
  </si>
  <si>
    <t>app-reply-to-this-comment</t>
  </si>
  <si>
    <t>Reply to this comment</t>
  </si>
  <si>
    <t>Responder a este comentario</t>
  </si>
  <si>
    <t>app-edit-this-comment</t>
  </si>
  <si>
    <t>Edit this comment</t>
  </si>
  <si>
    <t>Editar este comentario</t>
  </si>
  <si>
    <t>app-delete-this-comment</t>
  </si>
  <si>
    <t>Delete this comment</t>
  </si>
  <si>
    <t>Eliminar este comentario</t>
  </si>
  <si>
    <t>https://drive.google.com/file/d/1Ge9_ZiaJ5Hb5gv60czG10XdUodWnpNGa/view?usp=sharing</t>
  </si>
  <si>
    <t>This comment was deleted</t>
  </si>
  <si>
    <t>Este comentario fue eliminado</t>
  </si>
  <si>
    <t>https://drive.google.com/file/d/1zxoZo2wMjphw4NNFzYab5XPmU2YSFK2o/view?usp=sharing</t>
  </si>
  <si>
    <t>Search</t>
  </si>
  <si>
    <t>Buscar</t>
  </si>
  <si>
    <t>app-previous-defect</t>
  </si>
  <si>
    <t>https://drive.google.com/file/d/1DS4BDVqgBEJgYxicbeJ7NgQr7xJdvdyd/view?usp=sharing</t>
  </si>
  <si>
    <t>Previous Defect</t>
  </si>
  <si>
    <t>Defecto anterior</t>
  </si>
  <si>
    <t>app-next-defect</t>
  </si>
  <si>
    <t>https://drive.google.com/file/d/1Ov5FQ-4FDjRIAgl_hei15J-pfK5z5bWh/view?usp=sharing</t>
  </si>
  <si>
    <t>Next Defect</t>
  </si>
  <si>
    <t>Defecto siguiente</t>
  </si>
  <si>
    <t>app-import</t>
  </si>
  <si>
    <t>https://drive.google.com/file/d/1FJDY67JLoAHYst4cIggMAUdhM_c1V7Wz/view?usp=sharing</t>
  </si>
  <si>
    <t>Import</t>
  </si>
  <si>
    <t>Importar</t>
  </si>
  <si>
    <t>app-assign-all-to...</t>
  </si>
  <si>
    <t>Assign all to</t>
  </si>
  <si>
    <t>Asignar todos a</t>
  </si>
  <si>
    <t>app-unassign-all</t>
  </si>
  <si>
    <t>Unassign all</t>
  </si>
  <si>
    <t>Anular asignación de todos</t>
  </si>
  <si>
    <t>app-check-all</t>
  </si>
  <si>
    <t>Check all</t>
  </si>
  <si>
    <t>Verificar todos</t>
  </si>
  <si>
    <t>app-save-as-template</t>
  </si>
  <si>
    <t>Save as Template</t>
  </si>
  <si>
    <t>Guardar como Plantilla</t>
  </si>
  <si>
    <t>app-add-task</t>
  </si>
  <si>
    <t>https://drive.google.com/file/d/1_BEX6IrS2QdAwuc7Uc3jD-fk_4yLlMdQ/view?usp=sharing</t>
  </si>
  <si>
    <t>Add Task</t>
  </si>
  <si>
    <t>Añadir Tarea</t>
  </si>
  <si>
    <t>app-edit-name</t>
  </si>
  <si>
    <t>https://drive.google.com/file/d/1_Csmsu9xyQ744m99o8w6Z8N-Vjgk6n_0/view?usp=sharing</t>
  </si>
  <si>
    <t>Edit name</t>
  </si>
  <si>
    <t>Editar título</t>
  </si>
  <si>
    <t>app-duplicate-checklist</t>
  </si>
  <si>
    <t>https://drive.google.com/file/d/1fT3HhPpW_3xuoo2SrZT_u3JNGZ1Mf3mw/view?usp=sharing</t>
  </si>
  <si>
    <t>Duplicate checklist</t>
  </si>
  <si>
    <t>Duplicar lista de verificación</t>
  </si>
  <si>
    <t>app-delete</t>
  </si>
  <si>
    <t>https://drive.google.com/file/d/1fDOOMUhQ726vMmpwOa674VS63kvrU6iE/view?usp=sharing</t>
  </si>
  <si>
    <t>Delete</t>
  </si>
  <si>
    <t>Eliminar</t>
  </si>
  <si>
    <t>app-checklist-task-name</t>
  </si>
  <si>
    <t>https://drive.google.com/file/d/1ohXj7NYbUomUUn6UfQVbxupi85dy9svd/view?usp=sharing</t>
  </si>
  <si>
    <t>Checklist task name</t>
  </si>
  <si>
    <t>Título de lista de verificación de tareas</t>
  </si>
  <si>
    <t>app-add</t>
  </si>
  <si>
    <t>Add</t>
  </si>
  <si>
    <t>Añadir</t>
  </si>
  <si>
    <t>app-cancel</t>
  </si>
  <si>
    <t>Cancel</t>
  </si>
  <si>
    <t>Cancelar</t>
  </si>
  <si>
    <t>app-search-users</t>
  </si>
  <si>
    <t>Therm V2 / Tasks / Checklist / Assign all to</t>
  </si>
  <si>
    <t>https://drive.google.com/file/d/1WS65z1IWxEaZy53FITmZDIxPZnMECQ5m/view?usp=sharing</t>
  </si>
  <si>
    <t>Search users</t>
  </si>
  <si>
    <t>Buscar usuarios</t>
  </si>
  <si>
    <t>app-select-template</t>
  </si>
  <si>
    <t>Therm V2 / Tasks / Checklist / Save as template</t>
  </si>
  <si>
    <t>https://drive.google.com/file/d/1LcogSXRnp98NAEJkmKH9is9AdKH9mr5u/view?usp=sharing</t>
  </si>
  <si>
    <t>Select Template</t>
  </si>
  <si>
    <t>Seleccionar Plantilla</t>
  </si>
  <si>
    <t>app-include</t>
  </si>
  <si>
    <t>Include</t>
  </si>
  <si>
    <t>Incluir</t>
  </si>
  <si>
    <t>app-add-notes-here</t>
  </si>
  <si>
    <t>Therm V2 / Tasks / Checklist</t>
  </si>
  <si>
    <t>https://drive.google.com/file/d/1c-oqWZIX-1sWlfevyrBAX5xfOtOIfNYj/view?usp=sharing</t>
  </si>
  <si>
    <t>Add notes here</t>
  </si>
  <si>
    <t>Añadir notas aquí</t>
  </si>
  <si>
    <t>app-checklist-duplicated</t>
  </si>
  <si>
    <t>https://drive.google.com/file/d/1OSlu-xA-Q-ctSami9Avlbuu36iClkkK2/view?usp=sharing</t>
  </si>
  <si>
    <t>Checklist duplicated</t>
  </si>
  <si>
    <t>Lista de verificación duplicada</t>
  </si>
  <si>
    <t>app-add-sub-task</t>
  </si>
  <si>
    <t>https://drive.google.com/file/d/1L9nCocNfuGzTZ8cX3vD6lYTWvpEvPQ5l/view?usp=sharing</t>
  </si>
  <si>
    <t>Add sub task</t>
  </si>
  <si>
    <t>Añadir subtarea</t>
  </si>
  <si>
    <t>app-edit</t>
  </si>
  <si>
    <t>Edit</t>
  </si>
  <si>
    <t>Editar</t>
  </si>
  <si>
    <t>app-resolved</t>
  </si>
  <si>
    <t>https://drive.google.com/file/d/1KQUR0Cg0_hWiLAKb52dIz603p7xdxX0z/view?usp=sharing</t>
  </si>
  <si>
    <t>Resolved</t>
  </si>
  <si>
    <t>Resuelto</t>
  </si>
  <si>
    <t>app-rejected</t>
  </si>
  <si>
    <t>https://drive.google.com/file/d/1cCl6AGNz2KNV_T2OSJaEOwREGJIH1zfH/view?usp=sharing</t>
  </si>
  <si>
    <t>Rejected</t>
  </si>
  <si>
    <t>Rechazado</t>
  </si>
  <si>
    <t>app-on-hold</t>
  </si>
  <si>
    <t>https://drive.google.com/file/d/1rxVYNchGvtPCP616SCw5jZ_mMIIW02rB/view?usp=sharing</t>
  </si>
  <si>
    <t>On Hold</t>
  </si>
  <si>
    <t>En Espera</t>
  </si>
  <si>
    <t>https://drive.google.com/file/d/1auP0nOQ9oiY5u6YwpHXz3P68Y_v6PXQQ/view?usp=sharing</t>
  </si>
  <si>
    <t>app-tap-anywhere-on-the-map-to-add-a-task</t>
  </si>
  <si>
    <t>https://drive.google.com/file/d/1rbdiDEm1Nhhm8gVhTPsAmbBxcS-Ive_r/view?usp=sharing</t>
  </si>
  <si>
    <t>Tap anywhere on the map to add a task</t>
  </si>
  <si>
    <t>Toque en cualquier lugar sobre el mapa para añadir una tarea</t>
  </si>
  <si>
    <t>app-total-images</t>
  </si>
  <si>
    <t>https://drive.google.com/file/d/1R5r2WyizVTmKwIhNUefhkCqWMAom_Jry/view?usp=sharing</t>
  </si>
  <si>
    <t>Total images</t>
  </si>
  <si>
    <t>Total de imágenes</t>
  </si>
  <si>
    <t>app-defect-remediation</t>
  </si>
  <si>
    <t>Therm V2 / Defects</t>
  </si>
  <si>
    <t>https://drive.google.com/file/d/1feJwwwt-OJNmuNb2grlHbkKrh-9mXcg4/view?usp=sharing</t>
  </si>
  <si>
    <t>Defect Remediation</t>
  </si>
  <si>
    <t>Remediación de Defectos</t>
  </si>
  <si>
    <t>app-name</t>
  </si>
  <si>
    <t>Name</t>
  </si>
  <si>
    <t>Título</t>
  </si>
  <si>
    <t>app-inverter</t>
  </si>
  <si>
    <t>Inverter</t>
  </si>
  <si>
    <t>Inversor</t>
  </si>
  <si>
    <t>app-defect-type</t>
  </si>
  <si>
    <t>Defect Type</t>
  </si>
  <si>
    <t>Tipo de defecto</t>
  </si>
  <si>
    <t>app-assignee</t>
  </si>
  <si>
    <t>Asignee</t>
  </si>
  <si>
    <t>Encargado</t>
  </si>
  <si>
    <t>app-status</t>
  </si>
  <si>
    <t>Status</t>
  </si>
  <si>
    <t>Estado</t>
  </si>
  <si>
    <t>app-priority</t>
  </si>
  <si>
    <t>Priority</t>
  </si>
  <si>
    <t>Prioridad</t>
  </si>
  <si>
    <t>Marca de tiempo</t>
  </si>
  <si>
    <t>app-tags</t>
  </si>
  <si>
    <t>Tags</t>
  </si>
  <si>
    <t>Etiquetas</t>
  </si>
  <si>
    <t>app-per-page</t>
  </si>
  <si>
    <t>per page</t>
  </si>
  <si>
    <t>por página</t>
  </si>
  <si>
    <t>app-apply</t>
  </si>
  <si>
    <t>https://drive.google.com/file/d/1WvSs6WUqju_hwiqtzZPAh1YH-UfQB-DN/view?usp=sharing</t>
  </si>
  <si>
    <t>Apply</t>
  </si>
  <si>
    <t>Aplicar</t>
  </si>
  <si>
    <t>app-defects-selected</t>
  </si>
  <si>
    <t>https://drive.google.com/file/d/1MEpeF13nvcJcedq7BwJI8u3H-_aHPGVE/view?usp=sharing</t>
  </si>
  <si>
    <t>Defects Selected</t>
  </si>
  <si>
    <t>Defectos seleccionados</t>
  </si>
  <si>
    <t>app-actions</t>
  </si>
  <si>
    <t>Actions</t>
  </si>
  <si>
    <t>Acciones</t>
  </si>
  <si>
    <t>app-task-templates</t>
  </si>
  <si>
    <t>https://drive.google.com/file/d/1WlVk9Clq_tnYqhGr3PvBHYnHQqFWWsRa/view?usp=sharing</t>
  </si>
  <si>
    <t>Task Templates</t>
  </si>
  <si>
    <t>Plantillas de Tareas</t>
  </si>
  <si>
    <t>app-no-of-defects</t>
  </si>
  <si>
    <t>Therm V2 / Reports</t>
  </si>
  <si>
    <t>https://drive.google.com/file/d/12AR5xP4yJo-Xv9z-zBLGy0VyWkcFSi4r/view?usp=sharing</t>
  </si>
  <si>
    <t>No. of Defects</t>
  </si>
  <si>
    <t>Número de Defectos</t>
  </si>
  <si>
    <t>app-inverters</t>
  </si>
  <si>
    <t>Inverters</t>
  </si>
  <si>
    <t>Inversores</t>
  </si>
  <si>
    <t>app-no-defects-found</t>
  </si>
  <si>
    <t>https://drive.google.com/file/d/1zxsul5UzY5gXxHNuUsYCR6ekd6FBXu5y/view?usp=sharing</t>
  </si>
  <si>
    <t>NO DEFECTS FOUND</t>
  </si>
  <si>
    <t>NO SE ENCONTRARON DEFECTOS</t>
  </si>
  <si>
    <t>app-features</t>
  </si>
  <si>
    <t>Terra</t>
  </si>
  <si>
    <t>Terra Map Viewer</t>
  </si>
  <si>
    <t>https://drive.google.com/file/d/1mUtXHtVwAeC0wWLp38eq-tk0pZ7QV-Mm/view?usp=sharing</t>
  </si>
  <si>
    <t>Features</t>
  </si>
  <si>
    <t>Características</t>
  </si>
  <si>
    <t>app-toggle-labels</t>
  </si>
  <si>
    <t>https://drive.google.com/file/d/10MUugtg3TeAwPsVBVF6a3mUPq7SwnypR/view?usp=sharing</t>
  </si>
  <si>
    <t>Toggle Labels</t>
  </si>
  <si>
    <t>Alternar Etiquetas</t>
  </si>
  <si>
    <t>https://drive.google.com/file/d/1uaPCSsYRhdc2nWA0yWV2vvCue7eVPEKf/view?usp=sharing</t>
  </si>
  <si>
    <t>app-tasks</t>
  </si>
  <si>
    <t>https://drive.google.com/file/d/1xiZ9dh4aCUl2CBP7AKeE_N_LYEl_zfpb/view?usp=sharing</t>
  </si>
  <si>
    <t>Tasks</t>
  </si>
  <si>
    <t>app-forms</t>
  </si>
  <si>
    <t>https://drive.google.com/file/d/1_qMBPjQRFzS2RKpVSinWIcL7a9NHwx_e/view?usp=sharing</t>
  </si>
  <si>
    <t>app-value</t>
  </si>
  <si>
    <t>Value</t>
  </si>
  <si>
    <t>Valor</t>
  </si>
  <si>
    <t>Terra Map Viewer / Tasks</t>
  </si>
  <si>
    <t>https://drive.google.com/file/d/10wM1LPddqhmGoqnK5d_Oy2wpLXhoS1bM/view?usp=sharing</t>
  </si>
  <si>
    <t>Crear Ticket</t>
  </si>
  <si>
    <t>Crear Tarea</t>
  </si>
  <si>
    <t>https://drive.google.com/file/d/1tGktUum7xf_RAsYSRgLRB9CRpklRF1bP/view?usp=sharing</t>
  </si>
  <si>
    <t>app-create-tasks-from-template</t>
  </si>
  <si>
    <t>https://drive.google.com/file/d/1Sj3HlJV-b9aCbUVJXUOnTEPwftFG6sMR/view?usp=sharing</t>
  </si>
  <si>
    <t>Create tasks from template</t>
  </si>
  <si>
    <t>Crear tareas desde plantilla</t>
  </si>
  <si>
    <t>app-tasks-bulk-actions</t>
  </si>
  <si>
    <t>https://drive.google.com/file/d/15TjyDtemB_i1orlOpi7ASuS-aoJR3jr8/view?usp=sharing</t>
  </si>
  <si>
    <t>Tasks bulk actions</t>
  </si>
  <si>
    <t>Acciones por volumen para tareas</t>
  </si>
  <si>
    <t>app-no-tickets-selected</t>
  </si>
  <si>
    <t>https://drive.google.com/file/d/182V8WY3T3AVcHMS2CRQTPiNGaY5Ihhdn/view?usp=sharing</t>
  </si>
  <si>
    <t>No tickets (tasks) selected!</t>
  </si>
  <si>
    <t>¡No hay tareas seleccionadas!</t>
  </si>
  <si>
    <t>app-no-forms-selected</t>
  </si>
  <si>
    <t>https://drive.google.com/file/d/18bWe8-RQnyoamMjdVacHapo-POMBIYks/view?usp=sharing</t>
  </si>
  <si>
    <t>No forms selected!</t>
  </si>
  <si>
    <t xml:space="preserve">¡No hay formularios seleccionados!
</t>
  </si>
  <si>
    <t>app-show-details</t>
  </si>
  <si>
    <t>https://drive.google.com/file/d/1U2IF22r_P2u7U_PT0ECISg96Glq2Jr_a/view?usp=sharing</t>
  </si>
  <si>
    <t>Show details</t>
  </si>
  <si>
    <t>Mostrar detalles</t>
  </si>
  <si>
    <t>app-rows-per-page</t>
  </si>
  <si>
    <t>https://drive.google.com/file/d/1yIaGxYqgQjyT81Gj6v-PH1Z9a7GX73QP/view?usp=sharing</t>
  </si>
  <si>
    <t>Rows per page</t>
  </si>
  <si>
    <t>Filas por página</t>
  </si>
  <si>
    <t>app-prev</t>
  </si>
  <si>
    <t>Prev</t>
  </si>
  <si>
    <t>app-search-this-table</t>
  </si>
  <si>
    <t>https://drive.google.com/file/d/1_ntjLE5_Yj4Gq2Fb3tSVxm-SGY57Ff7k/view?usp=sharing</t>
  </si>
  <si>
    <t>Search this table</t>
  </si>
  <si>
    <t>Buscar en esta tabla</t>
  </si>
  <si>
    <t>app-index</t>
  </si>
  <si>
    <t>Index</t>
  </si>
  <si>
    <t>Índice</t>
  </si>
  <si>
    <t>app-serial-num</t>
  </si>
  <si>
    <t>Serial Num</t>
  </si>
  <si>
    <t>Número de Serial</t>
  </si>
  <si>
    <t>https://drive.google.com/file/d/11OOW5dJGk1ixmowu8t3XHmv-cuz6sh4_/view?usp=sharing</t>
  </si>
  <si>
    <t>None</t>
  </si>
  <si>
    <t>Ninguno</t>
  </si>
  <si>
    <t>https://drive.google.com/file/d/1dIYt7PFtK7J-r-y6OJRV6Zo2gXwlmADi/view?usp=sharing</t>
  </si>
  <si>
    <t>Assignee</t>
  </si>
  <si>
    <t>Due Date</t>
  </si>
  <si>
    <t>Debida</t>
  </si>
  <si>
    <t>https://drive.google.com/file/d/1hj5lpb-_Rdm5zGyBiHObDq4HeN71pnVJ/view?usp=sharing</t>
  </si>
  <si>
    <t>Open</t>
  </si>
  <si>
    <t>Abiertas</t>
  </si>
  <si>
    <t>Submitted</t>
  </si>
  <si>
    <t>Entregados</t>
  </si>
  <si>
    <t>Published</t>
  </si>
  <si>
    <t>Publicados</t>
  </si>
  <si>
    <t>Draft</t>
  </si>
  <si>
    <t>Borradores</t>
  </si>
  <si>
    <t>Terra Map Viewer / Forms</t>
  </si>
  <si>
    <t>https://drive.google.com/file/d/1De9r6edTkCINrAVOuZ7_q3MOItD9Whqj/view?usp=sharing</t>
  </si>
  <si>
    <t>app-no-forms</t>
  </si>
  <si>
    <t>No Forms</t>
  </si>
  <si>
    <t>No hay formularios</t>
  </si>
  <si>
    <t>app-looks-like-you-haven't-published-any-forms-yet</t>
  </si>
  <si>
    <t>https://drive.google.com/file/d/1Z9LzZDOdjxccA8HCXayAS63nUq-d2yRC/view?usp=sharing</t>
  </si>
  <si>
    <t>Looks like you haven't published any forms yet</t>
  </si>
  <si>
    <t>Parece que no ha publicado ningún formulario aún</t>
  </si>
  <si>
    <t>app-new-form</t>
  </si>
  <si>
    <t>https://drive.google.com/file/d/19d0-PHZyLkCR1J7zxDIcwuEdyKqYiq9Z/view?usp=sharing</t>
  </si>
  <si>
    <t>New Form</t>
  </si>
  <si>
    <t>Nuevo Formulario</t>
  </si>
  <si>
    <t>app-due-date</t>
  </si>
  <si>
    <t>https://drive.google.com/file/d/1kILYZIso8jhEbUcNzi8g8Ob8hkbBZlCa/view?usp=sharing</t>
  </si>
  <si>
    <t>app-showing</t>
  </si>
  <si>
    <t>https://drive.google.com/file/d/1kdm-1kndBVrQnArUtYYKMxpKbbzdp-gW/view?usp=sharing</t>
  </si>
  <si>
    <t>Showing</t>
  </si>
  <si>
    <t>Mostrando</t>
  </si>
  <si>
    <t>app-export-csv</t>
  </si>
  <si>
    <t>Export CSV</t>
  </si>
  <si>
    <t>Exportar CSV</t>
  </si>
  <si>
    <t>app-export-as-pdf</t>
  </si>
  <si>
    <t>Export as PDF</t>
  </si>
  <si>
    <t>Exportar como PDF</t>
  </si>
  <si>
    <t>app-copy-link</t>
  </si>
  <si>
    <t>https://drive.google.com/file/d/1I_STZv8C9Ozn6j9O7BApbKpxicVgLs8M/view?usp=sharing</t>
  </si>
  <si>
    <t>Copy Link</t>
  </si>
  <si>
    <t>Copiar Enlace</t>
  </si>
  <si>
    <t>app-duplicate-forms</t>
  </si>
  <si>
    <t>https://drive.google.com/file/d/1ieXRqhPGkMEoTxPWaotSEnZp-ql-9QgA/view?usp=sharing</t>
  </si>
  <si>
    <t>Duplicate Form</t>
  </si>
  <si>
    <t>Duplicar Formulario</t>
  </si>
  <si>
    <t>app-form-name</t>
  </si>
  <si>
    <t>https://drive.google.com/file/d/1azLkuTIIydrbeec1HjMZyGWEYgjpAdug/view?usp=sharing</t>
  </si>
  <si>
    <t>Form Name</t>
  </si>
  <si>
    <t>Título del Formulario</t>
  </si>
  <si>
    <t xml:space="preserve"> </t>
  </si>
  <si>
    <t>app-duplicate</t>
  </si>
  <si>
    <t>Duplicate</t>
  </si>
  <si>
    <t>Duplicar</t>
  </si>
  <si>
    <t>app-form-duplicated-successfully</t>
  </si>
  <si>
    <t>https://drive.google.com/file/d/1mDVKzrwb5_U54jfAdvIPlhUyV_fRXPAY/view?usp=sharing</t>
  </si>
  <si>
    <t>Form Duplicated successfully</t>
  </si>
  <si>
    <t>Formulario duplicado exitosamente</t>
  </si>
  <si>
    <t>app-share</t>
  </si>
  <si>
    <t>https://drive.google.com/file/d/1TxNhE3te0pt-OwNgpVqhgMDvkaAiEjZ5/view?usp=sharing</t>
  </si>
  <si>
    <t>Share</t>
  </si>
  <si>
    <t>Compartir</t>
  </si>
  <si>
    <t>app-add-users-/-teams</t>
  </si>
  <si>
    <t>https://drive.google.com/file/d/1OafYrPoIja-B3U683L7GRLIiHB-xNCp9/view?usp=sharing</t>
  </si>
  <si>
    <t>app-browse</t>
  </si>
  <si>
    <t>Añadir Usuarios / Equipos</t>
  </si>
  <si>
    <t>app-users</t>
  </si>
  <si>
    <t>Users</t>
  </si>
  <si>
    <t>Usuarios</t>
  </si>
  <si>
    <t>users-added</t>
  </si>
  <si>
    <t>0 Users Added</t>
  </si>
  <si>
    <t>0 Usuarios Añadidos</t>
  </si>
  <si>
    <t>app-submit/view-sibmission</t>
  </si>
  <si>
    <t>https://drive.google.com/file/d/1OwXFfddxQ9YsvB5IgaUF2A27fy1Gf7f2/view?usp=sharing</t>
  </si>
  <si>
    <t>Submit/View Submission</t>
  </si>
  <si>
    <t>Entregar/Ver Entrega</t>
  </si>
  <si>
    <t>app-teams</t>
  </si>
  <si>
    <t>https://drive.google.com/file/d/1vTintRiqQ69EHhqkgzl-JM4EYqyL0a10/view?usp=sharing</t>
  </si>
  <si>
    <t>Teams</t>
  </si>
  <si>
    <t>Equipos</t>
  </si>
  <si>
    <t>app-teams-added</t>
  </si>
  <si>
    <t>0 Teams Added</t>
  </si>
  <si>
    <t>0 Equipos Añadidos</t>
  </si>
  <si>
    <t>app-save</t>
  </si>
  <si>
    <t>https://drive.google.com/file/d/1VtYemhxWuuzGiA0ebvaGB3FXS6h1pRva/view?usp=sharing</t>
  </si>
  <si>
    <t>https://drive.google.com/file/d/1HRqw6cNEOgIRBu7pB9jl2XjQ0AGBqXtg/view?usp=sharing</t>
  </si>
  <si>
    <t>Schedule</t>
  </si>
  <si>
    <t>Calendario</t>
  </si>
  <si>
    <t>app-weekly</t>
  </si>
  <si>
    <t>https://drive.google.com/file/d/1VwPLt7s7E7G786Y3Gq4Z8dSScFmB_upG/view?usp=sharing</t>
  </si>
  <si>
    <t>Weekly</t>
  </si>
  <si>
    <t>Semanal</t>
  </si>
  <si>
    <t>app-repeat-forever</t>
  </si>
  <si>
    <t>Repeat forever</t>
  </si>
  <si>
    <t>Repetir por siempre</t>
  </si>
  <si>
    <t>app-repeat</t>
  </si>
  <si>
    <t>Repeat</t>
  </si>
  <si>
    <t>Repetir</t>
  </si>
  <si>
    <t>app-times</t>
  </si>
  <si>
    <t>Times</t>
  </si>
  <si>
    <t>Veces</t>
  </si>
  <si>
    <t>app-repeat-until</t>
  </si>
  <si>
    <t>https://drive.google.com/file/d/1-aZhMf01oVCM8jDSF2uy-DSNCrCI1S7Y/view?usp=sharing</t>
  </si>
  <si>
    <t>Repeat until</t>
  </si>
  <si>
    <t>Repetir hasta</t>
  </si>
  <si>
    <t>app-skip-missed-task</t>
  </si>
  <si>
    <t>Skip missed ticket</t>
  </si>
  <si>
    <t>Omitir tickets incumplidos</t>
  </si>
  <si>
    <t>app-mo</t>
  </si>
  <si>
    <t>https://drive.google.com/file/d/1faL6TK92zaICULJM8ayLSaOlRNd9Qzgq/view?usp=sharing</t>
  </si>
  <si>
    <t>Mo</t>
  </si>
  <si>
    <t>Lu</t>
  </si>
  <si>
    <t>app-tu</t>
  </si>
  <si>
    <t>Tu</t>
  </si>
  <si>
    <t>Ma</t>
  </si>
  <si>
    <t>app-wd</t>
  </si>
  <si>
    <t>Wd</t>
  </si>
  <si>
    <t>Mi</t>
  </si>
  <si>
    <t>app-th</t>
  </si>
  <si>
    <t>Th</t>
  </si>
  <si>
    <t>Ju</t>
  </si>
  <si>
    <t>app-fr</t>
  </si>
  <si>
    <t>Fr</t>
  </si>
  <si>
    <t>Vi</t>
  </si>
  <si>
    <t>app-sa</t>
  </si>
  <si>
    <t>Sa</t>
  </si>
  <si>
    <t>Sá</t>
  </si>
  <si>
    <t>app-su</t>
  </si>
  <si>
    <t>Su</t>
  </si>
  <si>
    <t>Do</t>
  </si>
  <si>
    <t>app-daily</t>
  </si>
  <si>
    <t>https://drive.google.com/file/d/1cXo_L-RTVhFIE5W2zVWJY-fWCcZrnWBb/view?usp=sharing</t>
  </si>
  <si>
    <t>Daily</t>
  </si>
  <si>
    <t>Diario</t>
  </si>
  <si>
    <t>app-hourly</t>
  </si>
  <si>
    <t>https://drive.google.com/file/d/1WtTzqOj7PqQpNa2c7D2fvsAb-KUGbVi7/view?usp=sharing</t>
  </si>
  <si>
    <t>Hourly</t>
  </si>
  <si>
    <t>A cada hora</t>
  </si>
  <si>
    <t>app-hour</t>
  </si>
  <si>
    <t>Hour</t>
  </si>
  <si>
    <t>Hora</t>
  </si>
  <si>
    <t>app-each</t>
  </si>
  <si>
    <t>https://drive.google.com/file/d/1s2wzJ9s2iNUEbaNZGG-LN661-gEX8I0a/view?usp=sharing</t>
  </si>
  <si>
    <t>Each</t>
  </si>
  <si>
    <t>Cada</t>
  </si>
  <si>
    <t>app-on-the</t>
  </si>
  <si>
    <t>https://drive.google.com/file/d/1ySpvVshVitmRuTO48n8xTZ35Vt5Seyas/view?usp=sharing</t>
  </si>
  <si>
    <t>On the</t>
  </si>
  <si>
    <t>En el</t>
  </si>
  <si>
    <t>app-monthly</t>
  </si>
  <si>
    <t>https://drive.google.com/file/d/1AA5ppxKet5z1lV3oYK7Bzp00hFxqQUfM/view?usp=sharing</t>
  </si>
  <si>
    <t>Monthly</t>
  </si>
  <si>
    <t>Mensual</t>
  </si>
  <si>
    <t>app-1st</t>
  </si>
  <si>
    <t>https://drive.google.com/file/d/1S00ZSD3pgI7Up6sXFvvM2XZIJWellj1Q/view?usp=sharing</t>
  </si>
  <si>
    <t>1st</t>
  </si>
  <si>
    <t>1ero</t>
  </si>
  <si>
    <t>app-2nd</t>
  </si>
  <si>
    <t>2nd</t>
  </si>
  <si>
    <t>2do</t>
  </si>
  <si>
    <t>app-3rd</t>
  </si>
  <si>
    <t>3rd</t>
  </si>
  <si>
    <t>3ero</t>
  </si>
  <si>
    <t>app-4th</t>
  </si>
  <si>
    <t>4th</t>
  </si>
  <si>
    <t>4to</t>
  </si>
  <si>
    <t>app-last</t>
  </si>
  <si>
    <t>Last</t>
  </si>
  <si>
    <t>Último</t>
  </si>
  <si>
    <t>app-monday</t>
  </si>
  <si>
    <t>https://drive.google.com/file/d/1OF7xerZitUSoKNyMCc1dk0roQsvuppkj/view?usp=sharing</t>
  </si>
  <si>
    <t>Monday</t>
  </si>
  <si>
    <t>Lunes</t>
  </si>
  <si>
    <t>app-tuesday</t>
  </si>
  <si>
    <t>Tuesday</t>
  </si>
  <si>
    <t>Martes</t>
  </si>
  <si>
    <t>app-wednesday</t>
  </si>
  <si>
    <t>Wednesday</t>
  </si>
  <si>
    <t>Miércoles</t>
  </si>
  <si>
    <t>app-thursday</t>
  </si>
  <si>
    <t>Thursday</t>
  </si>
  <si>
    <t>Jueves</t>
  </si>
  <si>
    <t>app-friday</t>
  </si>
  <si>
    <t>Friday</t>
  </si>
  <si>
    <t>Viernes</t>
  </si>
  <si>
    <t>app-saturday</t>
  </si>
  <si>
    <t>Saturday</t>
  </si>
  <si>
    <t>Sábado</t>
  </si>
  <si>
    <t>app-sunday</t>
  </si>
  <si>
    <t>Sunday</t>
  </si>
  <si>
    <t>Domingo</t>
  </si>
  <si>
    <t>app-skip-missed-forms</t>
  </si>
  <si>
    <t>https://drive.google.com/file/d/1n1i9CAGDPb1otbmJ6648uaEUrMzNBucW/view?usp=sharing</t>
  </si>
  <si>
    <t>Skip missed form</t>
  </si>
  <si>
    <t>Omitir formularios incumplidos</t>
  </si>
  <si>
    <t>app-yearly</t>
  </si>
  <si>
    <t>https://drive.google.com/file/d/1Z_Dgln9fQwyWZcpEbmaH1PdH7gCk2pbR/view?usp=sharing</t>
  </si>
  <si>
    <t>Yearly</t>
  </si>
  <si>
    <t>Anual</t>
  </si>
  <si>
    <t>app-jan</t>
  </si>
  <si>
    <t>Jan</t>
  </si>
  <si>
    <t>Ene</t>
  </si>
  <si>
    <t>app-feb</t>
  </si>
  <si>
    <t>Feb</t>
  </si>
  <si>
    <t>app-mar</t>
  </si>
  <si>
    <t>app-apr</t>
  </si>
  <si>
    <t>Apr</t>
  </si>
  <si>
    <t>Abr</t>
  </si>
  <si>
    <t>app-may</t>
  </si>
  <si>
    <t>https://drive.google.com/file/d/1b-ZdXBEHsCNvviwTLFTX24Z2oH481h9t/view?usp=sharing</t>
  </si>
  <si>
    <t>app-jun</t>
  </si>
  <si>
    <t>Jun</t>
  </si>
  <si>
    <t>app-jul</t>
  </si>
  <si>
    <t>Jul</t>
  </si>
  <si>
    <t>app-aug</t>
  </si>
  <si>
    <t>Aug</t>
  </si>
  <si>
    <t>Ago</t>
  </si>
  <si>
    <t>app-sept</t>
  </si>
  <si>
    <t>https://drive.google.com/file/d/1cRx56Rb6_dKa7RGdVcPr33-f4Xdpt1B4/view?usp=sharing</t>
  </si>
  <si>
    <t>Sept</t>
  </si>
  <si>
    <t>app-oct</t>
  </si>
  <si>
    <t>Oct</t>
  </si>
  <si>
    <t>app-nov</t>
  </si>
  <si>
    <t>Nov</t>
  </si>
  <si>
    <t>app-dec</t>
  </si>
  <si>
    <t>Dec</t>
  </si>
  <si>
    <t>Dic</t>
  </si>
  <si>
    <t>https://drive.google.com/file/d/1ZICWSINs6tPILChzNd2lBmdJTWqNVE80/view?usp=sharing</t>
  </si>
  <si>
    <t>Schedule on</t>
  </si>
  <si>
    <t>Programado para</t>
  </si>
  <si>
    <t>Every Week On Sunday For 1 Time</t>
  </si>
  <si>
    <t>Cada semana en domingo por 1 vez</t>
  </si>
  <si>
    <t>app-open</t>
  </si>
  <si>
    <t>https://drive.google.com/file/d/1sUIK3vQDPz9XjF7BASKxDep9Xsir8Lh8/view?usp=sharing</t>
  </si>
  <si>
    <t>app-drafts</t>
  </si>
  <si>
    <t>https://drive.google.com/file/d/11nxA3oRSl7V5iwSooHc2-EvXU9UIVqym/view?usp=sharing</t>
  </si>
  <si>
    <t>Drafts</t>
  </si>
  <si>
    <t>https://drive.google.com/file/d/1s_JfKYOasvs-_yN1_eK9lOkr_XZ006QY/view?usp=sharing</t>
  </si>
  <si>
    <t>app-of</t>
  </si>
  <si>
    <t>of</t>
  </si>
  <si>
    <t>app-submitted-successfully</t>
  </si>
  <si>
    <t>https://drive.google.com/file/d/1UJ1d4Npm--M0L0AU6-JzMKFc2GwC_5EP/view?usp=sharing</t>
  </si>
  <si>
    <t>Submitted Successfully</t>
  </si>
  <si>
    <t>Entregado Exitosamente</t>
  </si>
  <si>
    <t>https://drive.google.com/file/d/1UTsC0LUXyF7xSKBx67X4XytOorPEe2uq/view?usp=sharing</t>
  </si>
  <si>
    <t>https://drive.google.com/file/d/1C3dbjClmGd9Hs6DfBrKUpWl39ZWXQztw/view?usp=sharing</t>
  </si>
  <si>
    <t>app-schedule</t>
  </si>
  <si>
    <t>https://drive.google.com/file/d/1fSeRGpRnkhxykD5P5QmHxxQH8seyu7tc/view?usp=sharing</t>
  </si>
  <si>
    <t>app-are-you-sure-you-want-to-delete-the-form</t>
  </si>
  <si>
    <t>https://drive.google.com/file/d/1yvsx2JTI3X-AcqDvPli0MBYyK267XPaz/view?usp=sharing</t>
  </si>
  <si>
    <t>Are you sure you want to delete the Form?</t>
  </si>
  <si>
    <t>¿Está seguro que desea eliminar el Formulario?</t>
  </si>
  <si>
    <t>app-area</t>
  </si>
  <si>
    <t xml:space="preserve">Terra Map Viewer </t>
  </si>
  <si>
    <t>https://drive.google.com/file/d/19nLixDJlrrzt_loQVqFcUEQSajUKQ7bV/view?usp=sharing</t>
  </si>
  <si>
    <t>Area</t>
  </si>
  <si>
    <t>Área</t>
  </si>
  <si>
    <t>https://drive.google.com/file/d/1ZupSojBfnih-0idPFn1EiW2vYairhtHn/view?usp=sharing</t>
  </si>
  <si>
    <t>in 2 days</t>
  </si>
  <si>
    <t>en 2 días</t>
  </si>
  <si>
    <t xml:space="preserve">app-task-template-suggestion-text
</t>
  </si>
  <si>
    <t>https://drive.google.com/file/d/1Z6pZrmsi95zOSNT5FvirP86bMcsFAo-U/view?usp=sharing</t>
  </si>
  <si>
    <t>Create a list of tasks to keep track of changes. You could also create templates for later.</t>
  </si>
  <si>
    <t>Cree una lista de tareas para tener un seguimiento de los cambios realizados. Usted puede incluso crear plantillas para su uso posterior.</t>
  </si>
  <si>
    <t xml:space="preserve">
Terra Map Viewer / Tasks</t>
  </si>
  <si>
    <t>https://drive.google.com/file/d/1st4r-6AoeGjWCEH86BeuBM4QaRuKjCxf/view?usp=sharing</t>
  </si>
  <si>
    <t>Terra Map Viewer / Tasks / Checklist</t>
  </si>
  <si>
    <t>https://drive.google.com/file/d/1nTjI7nbmHZlceuF9Clggncvy_8RGtq2d/view?usp=sharing</t>
  </si>
  <si>
    <t>https://drive.google.com/file/d/1SEffh_XeTLBUPvGL3sHvjhzyol6t6hpt/view?usp=sharing</t>
  </si>
  <si>
    <t>https://drive.google.com/file/d/1Ly7S8mSxKxXmQSuEhuXPGrWVsabp-hc8/view?usp=sharing</t>
  </si>
  <si>
    <t>https://drive.google.com/file/d/1pesYvQrOsGiL9RwxqRRoWs2rEM4hWTnp/view?usp=sharing</t>
  </si>
  <si>
    <t>https://drive.google.com/file/d/1JZhBXHFCFdncEAzj6DrGiK25q7zzi7yA/view?usp=sharing</t>
  </si>
  <si>
    <t>Terra Map Viewer / Tasks / Checklist / Assign all to</t>
  </si>
  <si>
    <t>https://drive.google.com/file/d/1q07UJWICIcRKSu9PUUo325Ep2mn4Msp0/view?usp=sharing</t>
  </si>
  <si>
    <t>Terra Map Viewer / Tasks / Checklist / Save as template</t>
  </si>
  <si>
    <t>https://drive.google.com/file/d/1z6aVrwv5x2aCljwrYO71IvdlRoCE6yul/view?usp=sharing</t>
  </si>
  <si>
    <t xml:space="preserve">Terra Map Viewer / Tasks / Checklist </t>
  </si>
  <si>
    <t>https://drive.google.com/file/d/16qACv2pMzVZNUJRQ4HA_E3MMc2Cy1kx9/view?usp=sharing</t>
  </si>
  <si>
    <t>https://drive.google.com/file/d/1A81qB56CX1e5KhIpIS1DXly2JTzPiCL2/view?usp=sharing</t>
  </si>
  <si>
    <t>https://drive.google.com/file/d/1jfgYcvuSKOmY_hFCU_Z5r5ugD-QGQflA/view?usp=sharing</t>
  </si>
  <si>
    <t>https://drive.google.com/file/d/1InOFQqKPM4hTeBxu8kdY_TPKWDTwU2d-/view?usp=sharing</t>
  </si>
  <si>
    <t>app-assign-all-to</t>
  </si>
  <si>
    <t xml:space="preserve">Terra Map Viewer / Tasks / Forms </t>
  </si>
  <si>
    <t>https://drive.google.com/file/d/1vGyTx4vCbn2WoHzaw0irwDneg43zGRk0/view?usp=sharing</t>
  </si>
  <si>
    <t>app-attach-forms-to-gather-data-of-any-sort-to-gain-better-insight.</t>
  </si>
  <si>
    <t xml:space="preserve">https://drive.google.com/file/d/1P9BH5-bV0srnOeIztUP_ZZhL6str59-c/view?usp=sharing
</t>
  </si>
  <si>
    <t>Attach forms to gather data of any sort to gain better insight</t>
  </si>
  <si>
    <t>Adjunte formularios para recolectar datos de cualquier índole y así obtener un mejor conocimiento</t>
  </si>
  <si>
    <t>app-seach-&amp;-select-forms</t>
  </si>
  <si>
    <t>Search &amp; Select Forms</t>
  </si>
  <si>
    <t>Buscar y Seleccionar Formularios</t>
  </si>
  <si>
    <t>app-add-form</t>
  </si>
  <si>
    <t>https://drive.google.com/file/d/1x9Y51JiQ5XxfiIA7NVZY7x1fEWX-6iEY/view?usp=sharing</t>
  </si>
  <si>
    <t>Add Form</t>
  </si>
  <si>
    <t>Añadir Formulario</t>
  </si>
  <si>
    <t>app-there-are-no-drafts-to-display-yet.</t>
  </si>
  <si>
    <t>https://drive.google.com/file/d/1zd_HlUK48k-I77ulzeS31DLUAyebviMU/view?usp=sharing</t>
  </si>
  <si>
    <t>There are no drafts to display yet</t>
  </si>
  <si>
    <t>No hay borradores para mostrar aún</t>
  </si>
  <si>
    <t>app-reports</t>
  </si>
  <si>
    <t>https://drive.google.com/file/d/1xQ5M4Z7suqUxqIi7a57OOewtAjU91Dww/view?usp=sharing</t>
  </si>
  <si>
    <t>Reports</t>
  </si>
  <si>
    <t>Reportes</t>
  </si>
  <si>
    <t>app-form-yet-to-be-published</t>
  </si>
  <si>
    <t>Form yet to be published</t>
  </si>
  <si>
    <t>Formulario aún por ser publicado</t>
  </si>
  <si>
    <t>app-submitted-form-by-any-users-can-be-viewed-here,-there-are-no-submissions-yet</t>
  </si>
  <si>
    <t>https://drive.google.com/file/d/1uvl9ZXVJGmR-sWeq39T81GAFkuLsALoa/view?usp=sharing</t>
  </si>
  <si>
    <t>Submitted form by any users can be viewed here, there are no submissions yet</t>
  </si>
  <si>
    <t>Los formularios entregados por cualquier usuario puede ser vistos aquí, no hay entregas disponibles todavía</t>
  </si>
  <si>
    <t>app-try-publishing-the-form-first</t>
  </si>
  <si>
    <t>Try publishing the form first</t>
  </si>
  <si>
    <t>Intente primero publicar el formulario</t>
  </si>
  <si>
    <t>app-selected</t>
  </si>
  <si>
    <t>Terra Map Viewer / Tasks / Attachments</t>
  </si>
  <si>
    <t>https://drive.google.com/file/d/1fGOyGZRFA-WHaeCzcZmF_NL859FQ95Pq/view?usp=sharing</t>
  </si>
  <si>
    <t>Selected</t>
  </si>
  <si>
    <t>Seleccionado</t>
  </si>
  <si>
    <t>app-files-uploaded</t>
  </si>
  <si>
    <t>https://drive.google.com/file/d/1Sr26_pRsbd01hIa8I5i8rgjyfatYlf1J/view?usp=sharing</t>
  </si>
  <si>
    <t>Files Uploaded</t>
  </si>
  <si>
    <t>Archivos Cargados</t>
  </si>
  <si>
    <t>https://drive.google.com/file/d/1pu7roHef5Y7fsAVD6bo4Mr4ovoaiq9IB/view?usp=sharing</t>
  </si>
  <si>
    <t>https://drive.google.com/file/d/16slTGuzrorTAkejm4PEoJUO6pe4_mGmV/view?usp=sharing</t>
  </si>
  <si>
    <t>app-added-multiple-attachments</t>
  </si>
  <si>
    <t>Terra Map Viewer / Tasks / Activity</t>
  </si>
  <si>
    <t>https://drive.google.com/file/d/1yCMDZuH_CNsvoolROASgWbW0jEYXpQyC/view?usp=sharing</t>
  </si>
  <si>
    <t>Added multiple attachments</t>
  </si>
  <si>
    <t>Añadió múltiples archivos adjuntos</t>
  </si>
  <si>
    <t>app-attachments-added</t>
  </si>
  <si>
    <t>Attachments added</t>
  </si>
  <si>
    <t>Archivos adjuntos añadidos</t>
  </si>
  <si>
    <t>app-unassigned-task-from</t>
  </si>
  <si>
    <t>Unassigned ticket (task) from</t>
  </si>
  <si>
    <t>Desasignó tarea de</t>
  </si>
  <si>
    <t>app-assigned-ticket-task-to</t>
  </si>
  <si>
    <t>Assigned ticket (task) to</t>
  </si>
  <si>
    <t>Asignó tarea a</t>
  </si>
  <si>
    <t>app-changed-due-date</t>
  </si>
  <si>
    <t>Changed due date</t>
  </si>
  <si>
    <t>https://drive.google.com/file/d/1EcR_Ba_jrF4o2ZcpxMB_UJ-pe87JWany/view?usp=sharing</t>
  </si>
  <si>
    <t>https://drive.google.com/file/d/1I_W5jsITl0z_Rgd3fZMMjw7Ll0zdrnFA/view?usp=sharing</t>
  </si>
  <si>
    <t>En progreso</t>
  </si>
  <si>
    <t>app-reply</t>
  </si>
  <si>
    <t>https://drive.google.com/file/d/15y3gN85XUwL_tbbvrOiVxYAzFW9ATtab/view?usp=sharing</t>
  </si>
  <si>
    <t>app-collapse</t>
  </si>
  <si>
    <t>Pin to this conversation</t>
  </si>
  <si>
    <t>https://drive.google.com/file/d/16OElEtDgj-lmbn6NCnfWWr08pJAh2RUo/view?usp=sharing</t>
  </si>
  <si>
    <t>Fijar esta conversación</t>
  </si>
  <si>
    <t>app-this-comment-was-deleted</t>
  </si>
  <si>
    <t>https://drive.google.com/file/d/14S-DnnUTdXUp3J-zL8N8ULHFGc3l8slt/view?usp=sharing</t>
  </si>
  <si>
    <t>https://drive.google.com/file/d/1Ws70rnorR5Jc_IgqGgJVK7ywONmUEZ5k/view?usp=sharing</t>
  </si>
  <si>
    <t>app-unable-to-connect-to-servers</t>
  </si>
  <si>
    <t>https://drive.google.com/file/d/1wzrWLY0p9R6RlaiaKkNBPbjRWBUbqY3J/view?usp=sharing</t>
  </si>
  <si>
    <t>Unable to connect to servers</t>
  </si>
  <si>
    <t>No es posible conectar con los servidores</t>
  </si>
  <si>
    <t>app-please-check-if-you-are-online-and-retry</t>
  </si>
  <si>
    <t>Please check if you are online and retry</t>
  </si>
  <si>
    <t>Por favor compruebe que esté en línea y reinténtelo</t>
  </si>
  <si>
    <t>Retry</t>
  </si>
  <si>
    <t>Reintentar</t>
  </si>
  <si>
    <t>Terra Map Viewer / Tasks /Schedule</t>
  </si>
  <si>
    <t>https://drive.google.com/file/d/1cgskaf3DdDUx2w6sqDGpa4leBoXEex5U/view?usp=sharing</t>
  </si>
  <si>
    <t>https://drive.google.com/file/d/1nzcDA8Qf0tB6t21exH26ehP6bxhSz3ko/view?usp=sharing</t>
  </si>
  <si>
    <t>https://drive.google.com/file/d/1Tn-oWJucCE4hnOa_tfh1-luMoha6lJ6v/view?usp=sharing</t>
  </si>
  <si>
    <t>https://drive.google.com/file/d/1OEYxkAOmLkUqM40800AvkvHfrgvNpUcL/view?usp=sharing</t>
  </si>
  <si>
    <t>https://drive.google.com/file/d/1TH3TaHphtyzTntTpHJVISs7IX79WnWgq/view?usp=sharing</t>
  </si>
  <si>
    <t>https://drive.google.com/file/d/1Akk8kL4OItC3DiKC-qBWGCtm2KltfY_F/view?usp=sharing</t>
  </si>
  <si>
    <t>https://drive.google.com/file/d/1eW1rlORrv30grzyi-mSOimzt09yWbW_H/view?usp=sharing</t>
  </si>
  <si>
    <t>https://drive.google.com/file/d/1-XIjYSygotK62pXziuWmroGq9DPoIUOU/view?usp=sharing</t>
  </si>
  <si>
    <t>https://drive.google.com/file/d/1X4NG8UB1UdGb9-pYPEygtdBQQ1T9sS72/view?usp=sharing</t>
  </si>
  <si>
    <r>
      <rPr>
        <color rgb="FF1155CC"/>
        <u/>
      </rPr>
      <t>https://drive.google.com/file/d/1nW2nT8knGenJ6ycYbGqExf8LOwJs_KUT/view?usp=sharin</t>
    </r>
    <r>
      <rPr>
        <color rgb="FF1155CC"/>
        <u/>
      </rPr>
      <t>g</t>
    </r>
  </si>
  <si>
    <t>https://drive.google.com/file/d/1VgvN3R9Sb8-ClaDQ08n32ZIYtqOilDKm/view?usp=sharing</t>
  </si>
  <si>
    <t>https://drive.google.com/file/d/17QVldGkKAVY_xaUGDHQD2F1gATstwJ83/view?usp=sharing</t>
  </si>
  <si>
    <t>https://drive.google.com/file/d/1zMP49aGUkkV0fbGZxV9YqzEtD_v4-3s3/view?usp=sharing</t>
  </si>
  <si>
    <t>https://drive.google.com/file/d/15eIMPZD4MjD5wXNKiS43dGC9eJ2mHl-v/view?usp=sharing</t>
  </si>
  <si>
    <t>app-year</t>
  </si>
  <si>
    <t>https://drive.google.com/file/d/1bmYVS8AtF31SgYhzxhe_ZeKuYmBZyFFv/view?usp=sharing</t>
  </si>
  <si>
    <t>Year</t>
  </si>
  <si>
    <t>Año</t>
  </si>
  <si>
    <t>app-next-occurrence</t>
  </si>
  <si>
    <t>https://drive.google.com/file/d/1qDs6t6Nj_X-XL-GS_SN0OgAp5INPzQoW/view?usp=sharing</t>
  </si>
  <si>
    <t>Next ocurrence</t>
  </si>
  <si>
    <t>Siguiente acontecimiento</t>
  </si>
  <si>
    <t>in 4 days</t>
  </si>
  <si>
    <t>en 4 días</t>
  </si>
  <si>
    <t>app-closed</t>
  </si>
  <si>
    <t>Closed</t>
  </si>
  <si>
    <t>Cerrado</t>
  </si>
  <si>
    <t>app-remove-schedule</t>
  </si>
  <si>
    <t>Remove Schedule</t>
  </si>
  <si>
    <t>Quitar Calendario</t>
  </si>
  <si>
    <t>Every Week On Sunday</t>
  </si>
  <si>
    <t>Cada semana en domingo</t>
  </si>
  <si>
    <t>app-schedule-on</t>
  </si>
  <si>
    <t>https://drive.google.com/file/d/1ZBNzlT4noKUNXfMw5mJAJP1qUSQs18Lg/view?usp=sharing</t>
  </si>
  <si>
    <t>app-submissions</t>
  </si>
  <si>
    <t>Thermal</t>
  </si>
  <si>
    <t>Thermal Map Viewer / Forms</t>
  </si>
  <si>
    <t>https://drive.google.com/file/d/1ilJ29PVQD9pSRlo79cJeUPUG9gkRrk9Z/view?usp=sharing</t>
  </si>
  <si>
    <t>Submissions</t>
  </si>
  <si>
    <t>Entregas</t>
  </si>
  <si>
    <t>Thermal Map Viewer / Issue details</t>
  </si>
  <si>
    <t>https://drive.google.com/file/d/1G-PRZIJm6hYkhgm3xkx-pgImcl3Qe36h/view?usp=sharing</t>
  </si>
  <si>
    <t>Hotspot</t>
  </si>
  <si>
    <t>Punto caliente</t>
  </si>
  <si>
    <t>An area of elevated temperature affecting only a cell/portion of a module</t>
  </si>
  <si>
    <t>Un área de elevada temperatura afectando solo una célula/porción de un módulo</t>
  </si>
  <si>
    <t>https://drive.google.com/file/d/1MSi9_0MbZUvl-hFqpQvB0iFi2gjvTWGl/view?usp=sharing</t>
  </si>
  <si>
    <t>Bypass Diode Active</t>
  </si>
  <si>
    <t>Diodo de Bypass Activo</t>
  </si>
  <si>
    <t>Overheating of a single string of cells within a module</t>
  </si>
  <si>
    <t>Sobrecalentamiento de un string de células dentro de un módulo</t>
  </si>
  <si>
    <t>https://drive.google.com/file/d/19S1ZNZfp83IunDw643ThusV58cSqTNU_/view?usp=sharing</t>
  </si>
  <si>
    <t>Module Hot</t>
  </si>
  <si>
    <t>Módulo caliente</t>
  </si>
  <si>
    <t>Overheating of an entire module when compared to the neighboring modules</t>
  </si>
  <si>
    <t>Sobrecalentamiento de un módulo entero cuando es comparado con los módulos vecinos</t>
  </si>
  <si>
    <t>https://drive.google.com/file/d/1Jxb-NRaFI_YfEg7LSGTBRuhiguSXGsk9/view?usp=sharing</t>
  </si>
  <si>
    <t>Module Short Circuit</t>
  </si>
  <si>
    <t>Corto Circuito en Módulo</t>
  </si>
  <si>
    <t>A checkerboard type heat signature on a single module when multiple cells are affected</t>
  </si>
  <si>
    <t>Una lectura de calor de tipo damero sobre un sólo módulo cuando múltiples células son afectadas</t>
  </si>
  <si>
    <t>https://drive.google.com/file/d/1mYfMx9w1_btqRVT9c5fkskXzTMnL-mVr/view?usp=sharing</t>
  </si>
  <si>
    <t>String Hot</t>
  </si>
  <si>
    <t>String caliente</t>
  </si>
  <si>
    <t>Overheating of an entire string of modules when compared to neighboring strings</t>
  </si>
  <si>
    <t xml:space="preserve">Sobrecalentamiento de un string de módulos completo cuando es comparado con los strings vecinos </t>
  </si>
  <si>
    <t>https://drive.google.com/file/d/1aLHkzMAuSuxZzi8wDOsdjA5g9m-L4wzB/view?usp=sharing</t>
  </si>
  <si>
    <t>String Reverse Polarity</t>
  </si>
  <si>
    <t>Polaridad inversa en string</t>
  </si>
  <si>
    <t>A checkerboard type heat signature on a string of modules</t>
  </si>
  <si>
    <t>Una lectura de calor de tipo damero sobre un string de módulos</t>
  </si>
  <si>
    <t>app-unpublish</t>
  </si>
  <si>
    <t>Thermal Map Viewer</t>
  </si>
  <si>
    <t>https://drive.google.com/file/d/1tOta_Oj_H7Wb2ef3Hv_cX9QggM-GO-RV/view?usp=sharing</t>
  </si>
  <si>
    <t>Unpublish</t>
  </si>
  <si>
    <t>Anular publicación</t>
  </si>
  <si>
    <t>https://drive.google.com/file/d/1DdDVqpubyz1-t84fZpIYj2yWJn5rlCXo/view?usp=sharing</t>
  </si>
  <si>
    <t>app-high</t>
  </si>
  <si>
    <t>High</t>
  </si>
  <si>
    <t>Alta</t>
  </si>
  <si>
    <t>app-see-more</t>
  </si>
  <si>
    <t>See more</t>
  </si>
  <si>
    <t>Ver más</t>
  </si>
  <si>
    <t>app-not-verified</t>
  </si>
  <si>
    <t>Not verified</t>
  </si>
  <si>
    <t>No verificado</t>
  </si>
  <si>
    <t>Thermal Map Viewer / Tasks</t>
  </si>
  <si>
    <t>https://drive.google.com/file/d/1JQHOXCPRZs3Pb5paLuzDL2Qfs93EkXko/view?usp=sharing</t>
  </si>
  <si>
    <t>Scan date</t>
  </si>
  <si>
    <t>Temperature</t>
  </si>
  <si>
    <t>Temperatura</t>
  </si>
  <si>
    <t>Defect type</t>
  </si>
  <si>
    <t>String Number</t>
  </si>
  <si>
    <t>Identificación de string</t>
  </si>
  <si>
    <t>app-total-raw-images</t>
  </si>
  <si>
    <t>https://drive.google.com/file/d/1A0DcDcVm6SwfX5WD8hxHz1B5L7q2mKCp/view?usp=sharing</t>
  </si>
  <si>
    <t>Total Raw Images</t>
  </si>
  <si>
    <t>Total de imágenes Raw</t>
  </si>
  <si>
    <t>app-check-markers</t>
  </si>
  <si>
    <t>check markers</t>
  </si>
  <si>
    <t>marcadores de verificación</t>
  </si>
  <si>
    <t>https://drive.google.com/file/d/1J35o3zTXfWzn4fP0719XLIcMzKKHimu1/view?usp=sharing</t>
  </si>
  <si>
    <t>Tasks Overview</t>
  </si>
  <si>
    <t>https://drive.google.com/file/d/1MaY-HwZ_wti6JIWfz6GhrYDK33EKIFy6/view?usp=sharing</t>
  </si>
  <si>
    <t>0 mins ago</t>
  </si>
  <si>
    <t>hace 0 minutos</t>
  </si>
  <si>
    <t>https://drive.google.com/file/d/1sarNuou0VTHdbk_QV4QvxnE4YrgX5FRd/view?usp=sharing</t>
  </si>
  <si>
    <t># de tickets</t>
  </si>
  <si>
    <t># de tareas</t>
  </si>
  <si>
    <t>TICKETS</t>
  </si>
  <si>
    <t>TAREAS</t>
  </si>
  <si>
    <t>Tickets</t>
  </si>
  <si>
    <t>app-configure</t>
  </si>
  <si>
    <t>Tasks Overview / Asignee Dashboard</t>
  </si>
  <si>
    <t>https://drive.google.com/file/d/1rhWK_Aec1uf_f1_TdCeteomTNisruv1O/view?usp=sharing</t>
  </si>
  <si>
    <t>Configure</t>
  </si>
  <si>
    <t>Configurar</t>
  </si>
  <si>
    <t>https://drive.google.com/file/d/1h21FIvzTIoQp3Co2yfaas2AzC0EYoXJ5/view?usp=sharing</t>
  </si>
  <si>
    <t>https://drive.google.com/file/d/1tGCo3sc5hb_9DvAh3l9DC0P0vxxdu_E8/view?usp=sharing</t>
  </si>
  <si>
    <t>31st May 2021</t>
  </si>
  <si>
    <t>31 Mayo 2021</t>
  </si>
  <si>
    <t>Tasks Overview / Priority Dashboard</t>
  </si>
  <si>
    <t>https://drive.google.com/file/d/1ExhsWZwy_cDrF0bpY8vCcI6ZR1AnwRlg/view?usp=sharing</t>
  </si>
  <si>
    <t>app-all</t>
  </si>
  <si>
    <t>All</t>
  </si>
  <si>
    <t>Todo</t>
  </si>
  <si>
    <t>Tasks - Tasks List displaying</t>
  </si>
  <si>
    <t>https://drive.google.com/file/d/1W9QsvM-rEIxq3EollrKBBPqSmLsG5CjT/view?usp=sharing</t>
  </si>
  <si>
    <t>entries</t>
  </si>
  <si>
    <t>entradas</t>
  </si>
  <si>
    <t>app-ticket-name</t>
  </si>
  <si>
    <t>https://drive.google.com/file/d/18G986WR1zuQ0TqI_-t-wYkwb1L9RytV2/view?usp=sharing</t>
  </si>
  <si>
    <t>Título del ticket</t>
  </si>
  <si>
    <t>Título de la tarea</t>
  </si>
  <si>
    <t>Tasks Overview / Upcoming Dashboard</t>
  </si>
  <si>
    <t>https://drive.google.com/file/d/1Blg-zz6f8AGuOqzRASY1jdUP27L8WHDc/view?usp=sharing</t>
  </si>
  <si>
    <t>Showing Upcoming</t>
  </si>
  <si>
    <t>Mostrando Próximos</t>
  </si>
  <si>
    <t>https://drive.google.com/file/d/1Q4RIUp9y86sBK6lYojBMXTQ3k7QaGz1o/view?usp=sharing</t>
  </si>
  <si>
    <t>every week on Sunday</t>
  </si>
  <si>
    <t>Cada semana en Domingo</t>
  </si>
  <si>
    <t>Tasks Overview / Overdue Dashboard</t>
  </si>
  <si>
    <t>https://drive.google.com/file/d/1JwdPDIwxgrfa1j6D4VWe6a-zSqP_mVJE/view?usp=sharing</t>
  </si>
  <si>
    <t>Showing Overdue</t>
  </si>
  <si>
    <t>Mostrando Atrasados</t>
  </si>
  <si>
    <t>app-new-ticket</t>
  </si>
  <si>
    <t>Tasks Dashboard</t>
  </si>
  <si>
    <t>https://drive.google.com/file/d/1I--gSp3vusaQP6ZdxxHVYtBoktbZDXjC/view?usp=sharing</t>
  </si>
  <si>
    <t>Nuevo Ticket</t>
  </si>
  <si>
    <t>Nueva Tarea</t>
  </si>
  <si>
    <t>Tasks Dashboard / Assigning Teams to a Task</t>
  </si>
  <si>
    <t>https://drive.google.com/file/d/1G18Iw7erHL-LqTqiA-9sOjwgO064SQLP/view?usp=sharing</t>
  </si>
  <si>
    <t>app-in</t>
  </si>
  <si>
    <t>Tasks / Schedule</t>
  </si>
  <si>
    <t>https://drive.google.com/file/d/1QNOOiWcGFrpyKGPvvGOLDaA64p54GbGr/view?usp=sharing</t>
  </si>
  <si>
    <t>in</t>
  </si>
  <si>
    <t>en</t>
  </si>
  <si>
    <t>app-days</t>
  </si>
  <si>
    <t>days</t>
  </si>
  <si>
    <t>días</t>
  </si>
  <si>
    <t>Abr 30, 2021</t>
  </si>
  <si>
    <t>app-delete-schedule-confirmation</t>
  </si>
  <si>
    <t>Tasks / Schedule / Delete a Schedule</t>
  </si>
  <si>
    <t>https://drive.google.com/file/d/1OCah2NtyAUcfh_Z_ttdDny34ApkWvQdb/view?usp=sharing</t>
  </si>
  <si>
    <t>Are you sure you want to delete the Schedule?</t>
  </si>
  <si>
    <t>¿Está seguro que desea eliminar el Calendario?</t>
  </si>
  <si>
    <t>app-select</t>
  </si>
  <si>
    <t>https://drive.google.com/file/d/1FwftKTBj8M7sp6sxnHIOn9cxjm8CKjGv/view?usp=sharing</t>
  </si>
  <si>
    <t>Select</t>
  </si>
  <si>
    <t>Seleccionar</t>
  </si>
  <si>
    <t>app-tomorrow</t>
  </si>
  <si>
    <t>https://drive.google.com/file/d/1QPeXtk94vKf7gyYgTt9IcfBpsbA3UbBi/view?usp=sharing</t>
  </si>
  <si>
    <t>Tomorrow</t>
  </si>
  <si>
    <t>Mañana</t>
  </si>
  <si>
    <t>app-yesterday</t>
  </si>
  <si>
    <t>Yesterday</t>
  </si>
  <si>
    <t>Ayer</t>
  </si>
  <si>
    <t>app-report-added-successfully</t>
  </si>
  <si>
    <t>https://drive.google.com/file/d/1MUVij8g2uLxsc7QkQU45XjfTU4qC1piW/view?usp=sharing</t>
  </si>
  <si>
    <t>Report added successfully</t>
  </si>
  <si>
    <t>Reporte añadido exitosamente</t>
  </si>
  <si>
    <t>app-downloading-files</t>
  </si>
  <si>
    <t>Vault</t>
  </si>
  <si>
    <t>Everything</t>
  </si>
  <si>
    <t>https://drive.google.com/file/d/1wJdCetXbsALPydWwHt3SCVuHGGrbC2KH/view?usp=sharing</t>
  </si>
  <si>
    <t>Downloading files</t>
  </si>
  <si>
    <t>Descargando archivos</t>
  </si>
  <si>
    <t>https://drive.google.com/file/d/1Ul6u14wobQ2oGT_O9kfDhIvk4w9aQ_ra/view?usp=sharing</t>
  </si>
  <si>
    <t>Delete Folder</t>
  </si>
  <si>
    <t>Eliminar Carpeta</t>
  </si>
  <si>
    <t>Do you want to delete this folder?</t>
  </si>
  <si>
    <t>¿Desea eliminar esta carpeta?</t>
  </si>
  <si>
    <t>https://drive.google.com/file/d/1jCmiPn_JO3ODFT1uAqY3SblCoWWMbWB_/view?usp=sharing</t>
  </si>
  <si>
    <t>Delete File</t>
  </si>
  <si>
    <t>Eliminar Archivo</t>
  </si>
  <si>
    <t>app-do-you-want-to-delete-this</t>
  </si>
  <si>
    <t>Do you want to delete this f</t>
  </si>
  <si>
    <t xml:space="preserve">¿Desea eliminar este </t>
  </si>
  <si>
    <t>app-asset-not-associated</t>
  </si>
  <si>
    <t>https://drive.google.com/file/d/1VAH6uA_zyo3SbOrrwyoZIQq-7uMDJYx3/view?usp=sharing</t>
  </si>
  <si>
    <t>*Asset not associated</t>
  </si>
  <si>
    <t>*Activo no asociado</t>
  </si>
  <si>
    <t>browse</t>
  </si>
  <si>
    <t>Navega</t>
  </si>
  <si>
    <t>app-new-project</t>
  </si>
  <si>
    <t>Management</t>
  </si>
  <si>
    <t>Groups</t>
  </si>
  <si>
    <t>https://drive.google.com/file/d/1kydspFzhHP4CHRat_5_7ui3lIIX0yyJ5/view?usp=sharing</t>
  </si>
  <si>
    <t>New Project</t>
  </si>
  <si>
    <t>Nuevo Proyecto</t>
  </si>
  <si>
    <t>app-create-project-for</t>
  </si>
  <si>
    <t>https://drive.google.com/file/d/1vGPy9CmPDQbpmD25hIoEulUGeKxt12pa/view?usp=sharing</t>
  </si>
  <si>
    <t>Create Project for</t>
  </si>
  <si>
    <t>Crear Proyecto para</t>
  </si>
  <si>
    <t>app-search-container-name</t>
  </si>
  <si>
    <t>Specific user / containers</t>
  </si>
  <si>
    <t>https://drive.google.com/file/d/1BS2fltvzKoTJfCBTi9FdoNpNIxRRrkmR/view?usp=sharing</t>
  </si>
  <si>
    <t>Search Container Name</t>
  </si>
  <si>
    <t>Buscar Nombre de Contenedor</t>
  </si>
  <si>
    <t>app-reflied</t>
  </si>
  <si>
    <t>Missions</t>
  </si>
  <si>
    <t>https://drive.google.com/file/d/1dK-FI_kRg06d5jfTuz_BkBG9aODE4znO/view?usp=sharing</t>
  </si>
  <si>
    <t>Reflied</t>
  </si>
  <si>
    <t>Reprogramados</t>
  </si>
  <si>
    <t>app-create-mission-for</t>
  </si>
  <si>
    <t>Create Mission</t>
  </si>
  <si>
    <t>https://drive.google.com/file/d/1XDKsKhWNGI0fQgL-ZWlHUppIpmrknyZ-/view?usp=sharing</t>
  </si>
  <si>
    <t>Create Mission for</t>
  </si>
  <si>
    <t>Crear Misión para</t>
  </si>
  <si>
    <t>Submissions / Show</t>
  </si>
  <si>
    <t>https://drive.google.com/file/d/1gMr4BiUQhH8ClpWr3fcVzJ8xQsZ9wEBj/view?usp=sharing</t>
  </si>
  <si>
    <t>Todos</t>
  </si>
  <si>
    <t>app-no-due-date</t>
  </si>
  <si>
    <t>https://drive.google.com/file/d/1hDS1EbDL72goIIZxgIMQAFJYUb7ZF047/view?usp=sharing</t>
  </si>
  <si>
    <t>*No duedate</t>
  </si>
  <si>
    <t>*Sin fecha de vencimiento</t>
  </si>
  <si>
    <t>app-duplicate-form</t>
  </si>
  <si>
    <t>https://drive.google.com/file/d/1pMRJmEzYeefv9zN67uKbZEJemsD3O53U/view?usp=sharing</t>
  </si>
  <si>
    <t>https://drive.google.com/file/d/1gXM5RlIKsAMObf_Hfm4i_Vq5yiJAVGD_/view?usp=sharing</t>
  </si>
  <si>
    <t>New</t>
  </si>
  <si>
    <t>Nuevo</t>
  </si>
  <si>
    <t>https://drive.google.com/file/d/1fGoo7dogh1QBcH073NytVIlmn1MESYTz/view?usp=sharing</t>
  </si>
  <si>
    <t>app-link</t>
  </si>
  <si>
    <t>https://drive.google.com/file/d/1piFvTL4kLjKzA_9Poq8jbTT1qNb222oq/view?usp=sharing</t>
  </si>
  <si>
    <t>Link</t>
  </si>
  <si>
    <t>Enlace</t>
  </si>
  <si>
    <t>https://drive.google.com/file/d/1oCeFKlaYa1gEqIk8fi8mpbqL3aGLSE0_/view?usp=sharing</t>
  </si>
  <si>
    <t>app-public</t>
  </si>
  <si>
    <t>Public</t>
  </si>
  <si>
    <t>https://drive.google.com/file/d/1vP2k51YMveS6X_tJYcZ3ncDCegSmUkXn/view?usp=sharing</t>
  </si>
  <si>
    <t>Público</t>
  </si>
  <si>
    <t>app-home</t>
  </si>
  <si>
    <t>PWA</t>
  </si>
  <si>
    <t>https://drive.google.com/file/d/1ot_CyDenfl2wVhRiTal8gfNgOcp96nnP/view?usp=sharing</t>
  </si>
  <si>
    <t>Inicio</t>
  </si>
  <si>
    <t>app-search-assets</t>
  </si>
  <si>
    <t>Search Asset</t>
  </si>
  <si>
    <t>Buscar Activo</t>
  </si>
  <si>
    <t>app-text-is-offline-warning</t>
  </si>
  <si>
    <t>https://drive.google.com/file/d/1yUpYcYHiwvUI9Jvlk1VQhICRAUSv7DIN/view?usp=sharing</t>
  </si>
  <si>
    <t>App went offline, click again to go online</t>
  </si>
  <si>
    <t>La aplicación está fuera de línea, haga click nuevamente para conectarse</t>
  </si>
  <si>
    <t>app-text-sync-data</t>
  </si>
  <si>
    <t>https://drive.google.com/file/d/12nqkd8Y9UKeQbiZYjvaxvl6wbs3MKSye/view?usp=sharing</t>
  </si>
  <si>
    <t>App went online, Syncing offline data</t>
  </si>
  <si>
    <t>La aplicación está en línea, sincronizando los datos guardados durante la desconexión</t>
  </si>
  <si>
    <t>app-settings</t>
  </si>
  <si>
    <t>Settings</t>
  </si>
  <si>
    <t>https://drive.google.com/file/d/1EvWMQ0gCuu_5MoiZadWFgw5pGtz4Xmgc/view?usp=sharing</t>
  </si>
  <si>
    <t>Configuración</t>
  </si>
  <si>
    <t>app-profile</t>
  </si>
  <si>
    <t>https://drive.google.com/file/d/1Wacz1r6EwAZqhsMlKmBLkG2byKKrIROG/view?usp=sharing</t>
  </si>
  <si>
    <t>Profile</t>
  </si>
  <si>
    <t>Perfil</t>
  </si>
  <si>
    <t>app-change-password</t>
  </si>
  <si>
    <t>Change Password</t>
  </si>
  <si>
    <t>Cambiar Contraseña</t>
  </si>
  <si>
    <t>app-clear-offline-data</t>
  </si>
  <si>
    <t>Clear offline data</t>
  </si>
  <si>
    <t>Limpiar datos fuera de línea</t>
  </si>
  <si>
    <t>app-enter-a-phone-number</t>
  </si>
  <si>
    <t>Enter a phone number</t>
  </si>
  <si>
    <t>Ingrese un número telefónico</t>
  </si>
  <si>
    <t>app-update-profile</t>
  </si>
  <si>
    <t>Update Profile</t>
  </si>
  <si>
    <t>Actualizar Perfil</t>
  </si>
  <si>
    <t>app-views</t>
  </si>
  <si>
    <t>Views</t>
  </si>
  <si>
    <t>https://drive.google.com/file/d/1V8Xuq-p1fn6B5LV4iucPyAexiZX2cwXl/view?usp=sharing</t>
  </si>
  <si>
    <t>Vistas</t>
  </si>
  <si>
    <t>https://drive.google.com/file/d/1PP58q4jcs8_szh-nbR-fFJopfE1dsjf4/view?usp=sharing</t>
  </si>
  <si>
    <t>Views / Terra and Thermal / Filters / Tasks</t>
  </si>
  <si>
    <t>https://drive.google.com/file/d/10-f0FIPH5KupGy2d4dabJ_p4d0Hskx6m/view?usp=sharing</t>
  </si>
  <si>
    <t>app-select-priority</t>
  </si>
  <si>
    <t>Select priority</t>
  </si>
  <si>
    <t>Seleccionar prioridad</t>
  </si>
  <si>
    <t>Duedate</t>
  </si>
  <si>
    <t>app-select-tags</t>
  </si>
  <si>
    <t>Select Tags</t>
  </si>
  <si>
    <t>Seleccionar etiquetas</t>
  </si>
  <si>
    <t>app-select-status</t>
  </si>
  <si>
    <t>Select Status</t>
  </si>
  <si>
    <t>Seleccionar estado</t>
  </si>
  <si>
    <t>updated in library</t>
  </si>
  <si>
    <t>https://drive.google.com/file/d/1RUcHgvJ7tQMCk8t-1Mv2Mq8KuTd02wpL/view?usp=sharing</t>
  </si>
  <si>
    <t>app-feature-types</t>
  </si>
  <si>
    <t>https://drive.google.com/file/d/1nYHGpLSh8rXcnxYahST-VlVBS0pg--ZO/view?usp=sharing</t>
  </si>
  <si>
    <t>Views / Terra and Thermal</t>
  </si>
  <si>
    <t>https://drive.google.com/file/d/1GLU-o6YfLhtTAvIAC_SllQroNPBVgx3f/view?usp=sharing</t>
  </si>
  <si>
    <t>app-enter-values</t>
  </si>
  <si>
    <t>Views / Terra and Thermal / Filters</t>
  </si>
  <si>
    <t>https://drive.google.com/file/d/1DkPKxAsVcdvWyRu8gPDGy8iToeyl8cBX/view?usp=sharing</t>
  </si>
  <si>
    <t>Enter Values</t>
  </si>
  <si>
    <t>Ingresar Valores</t>
  </si>
  <si>
    <t>Browser popup</t>
  </si>
  <si>
    <t>Views / Terra and Thermal / Camera icon</t>
  </si>
  <si>
    <t>https://drive.google.com/file/d/162iDZ4EjYu7VCj4WJkempV2umhNfkEBa/view?usp=sharing</t>
  </si>
  <si>
    <t>Please allow access to your camera</t>
  </si>
  <si>
    <t>Por favor permita acceso a su cámara</t>
  </si>
  <si>
    <t>In order to take pictures or record video with your camera, please allow camera access for this site.</t>
  </si>
  <si>
    <t>Para poder tomar fotos o grabar videos con su cámara, por favor permita acceso a su cámara para este sitio web.</t>
  </si>
  <si>
    <t>https://drive.google.com/file/d/190ZdgWrXAAeA6CUrXzC8AjSeffYUjqRH/view?usp=sharing</t>
  </si>
  <si>
    <t>app-search-tasks</t>
  </si>
  <si>
    <t>https://drive.google.com/file/d/1ButPNqdWaGV3CDVgt1afTL0Yr7PZKUCU/view?usp=sharing</t>
  </si>
  <si>
    <t>Buscar Ticket</t>
  </si>
  <si>
    <t>Buscar Tarea</t>
  </si>
  <si>
    <t>Tasks / Filters</t>
  </si>
  <si>
    <t>https://drive.google.com/file/d/1AahFKh_yqfvTEBH8dppj18-62FVvviWa/view?usp=sharing</t>
  </si>
  <si>
    <t>Seleccionar Etiquetas</t>
  </si>
  <si>
    <t>app-tasks-details</t>
  </si>
  <si>
    <t>Tasks / Details</t>
  </si>
  <si>
    <t>https://drive.google.com/file/d/16Lkhyj5B_mPXJgDcMOueqrOhY4TLHE5G/view?usp=sharing</t>
  </si>
  <si>
    <t>Task Details</t>
  </si>
  <si>
    <t>Detalles de la Tarea</t>
  </si>
  <si>
    <t>app-quick-actions</t>
  </si>
  <si>
    <t>Quick Actions</t>
  </si>
  <si>
    <t>Acciones Rápidas</t>
  </si>
  <si>
    <t>app-resolve-checklist</t>
  </si>
  <si>
    <t>Resolve Checklist</t>
  </si>
  <si>
    <t>Resolver Lista de Verificación</t>
  </si>
  <si>
    <t>app-followers</t>
  </si>
  <si>
    <t>Followers</t>
  </si>
  <si>
    <t>Seguidores</t>
  </si>
  <si>
    <t>app-add-attachment</t>
  </si>
  <si>
    <t>Add Attachment</t>
  </si>
  <si>
    <t>Añadir Archivo Adjunto</t>
  </si>
  <si>
    <t>app-no-comments</t>
  </si>
  <si>
    <t>Tasks / Details / Comments</t>
  </si>
  <si>
    <t>https://drive.google.com/file/d/1B-ysBF5pVJ6tMruKXD8fz8pkdwqZzqeb/view?usp=sharing</t>
  </si>
  <si>
    <t>No Comments</t>
  </si>
  <si>
    <t>No hay comentarios</t>
  </si>
  <si>
    <t>app-type-something-to-comment</t>
  </si>
  <si>
    <t>https://drive.google.com/file/d/1usT1gXHupAnqmLgZscKu0K8TA-IA9vwI/view?usp=sharing</t>
  </si>
  <si>
    <t>Type something to comment</t>
  </si>
  <si>
    <t>Escriba algo para comentar</t>
  </si>
  <si>
    <t>app-threads</t>
  </si>
  <si>
    <t>Tasks / Details / Comments / Show</t>
  </si>
  <si>
    <t>https://drive.google.com/file/d/14VcUxoUqEBopd8gSpr5geMBtVx6nwS3E/view?usp=sharing</t>
  </si>
  <si>
    <t>Threads</t>
  </si>
  <si>
    <t>Hilos</t>
  </si>
  <si>
    <t>app-commented-by</t>
  </si>
  <si>
    <t>Tasks / Details / Comments / Filters</t>
  </si>
  <si>
    <t>https://drive.google.com/file/d/1KD1yxMbNIJ67aW0FpstF0LbIBs173hJP/view?usp=sharing</t>
  </si>
  <si>
    <t>Commented by</t>
  </si>
  <si>
    <t>Comentado por</t>
  </si>
  <si>
    <t>app-mentions</t>
  </si>
  <si>
    <t>Mentions</t>
  </si>
  <si>
    <t>Menciones</t>
  </si>
  <si>
    <t>app-create-a-list-of-tasks-to-keep-track-of-changes-you-could-also-create-templates-for-later</t>
  </si>
  <si>
    <t>Tasks / Details / Checklists</t>
  </si>
  <si>
    <t>app-create-checklist</t>
  </si>
  <si>
    <t>Create Checklist</t>
  </si>
  <si>
    <t>Crear Lista de verificación</t>
  </si>
  <si>
    <t>app-favorite</t>
  </si>
  <si>
    <t>Tasks / Details / Attachments</t>
  </si>
  <si>
    <t>https://drive.google.com/file/d/1W_vWlAsKEfGaW7mlvS56ovb28UxM74qT/view?usp=sharing</t>
  </si>
  <si>
    <t>Favorite</t>
  </si>
  <si>
    <t>Favorito</t>
  </si>
  <si>
    <t>app-ticket</t>
  </si>
  <si>
    <t>Ticket</t>
  </si>
  <si>
    <t>Tarea</t>
  </si>
  <si>
    <t>app-no-attachments</t>
  </si>
  <si>
    <t>No Attachments</t>
  </si>
  <si>
    <t>No hay Archivos Adjuntos</t>
  </si>
  <si>
    <t>app-drag-and-drop-to-add-attachments-to-preview,-bookmark-and-create-templates-for-later-use</t>
  </si>
  <si>
    <t>Drag and drop to add attachments to preview, bookmark and create templates for later use</t>
  </si>
  <si>
    <t>Arrastre y suelte archivos adjuntos para previsualizar, marcar como favoritos y crear plantillas para su uso posterior</t>
  </si>
  <si>
    <t>app-add-attachments</t>
  </si>
  <si>
    <t>Add Attachments</t>
  </si>
  <si>
    <t>Añadir Archivos Adjuntos</t>
  </si>
  <si>
    <t>https://drive.google.com/file/d/1J-eDVM6hk1OXMSFLUOk8NRMN-6PdUKiN/view?usp=sharing</t>
  </si>
  <si>
    <t>Files uploaded</t>
  </si>
  <si>
    <t>Archivos cargados</t>
  </si>
  <si>
    <t>app-please-choose-an-option</t>
  </si>
  <si>
    <t>Tasks / Details / Options</t>
  </si>
  <si>
    <t>https://drive.google.com/file/d/18beW0Zew312aAoCcWHim-gCFnDqPLX-p/view?usp=sharing</t>
  </si>
  <si>
    <t>Please choose an option</t>
  </si>
  <si>
    <t>Por favor escoja una opción</t>
  </si>
  <si>
    <t>https://drive.google.com/file/d/1nWJlYg6CGPYXHxhH2B9URDLHjszN_Dxg/view?usp=sharing</t>
  </si>
  <si>
    <t>app-submitted</t>
  </si>
  <si>
    <t>Entregadas</t>
  </si>
  <si>
    <t>Forms / Filters</t>
  </si>
  <si>
    <t>https://drive.google.com/file/d/1qgWZfJ_ztKlb3zP_xhTA9sVw1BLrPMW5/view?usp=sharing</t>
  </si>
  <si>
    <t>Favorites</t>
  </si>
  <si>
    <t>Favoritos</t>
  </si>
  <si>
    <t>KeyName</t>
  </si>
  <si>
    <t>viewed the file</t>
  </si>
  <si>
    <t>vio el archivo</t>
  </si>
  <si>
    <t>shared a file</t>
  </si>
  <si>
    <t>compartió el archivo</t>
  </si>
  <si>
    <t>downloaded shared file</t>
  </si>
  <si>
    <t>descargó el archivo compartido</t>
  </si>
  <si>
    <t>updated the file</t>
  </si>
  <si>
    <t>actualizó el archivo</t>
  </si>
  <si>
    <t>created a new file</t>
  </si>
  <si>
    <t>creó un nuevo archivo</t>
  </si>
  <si>
    <t>created a folder</t>
  </si>
  <si>
    <t>creó una carpeta</t>
  </si>
  <si>
    <t>updated the folder</t>
  </si>
  <si>
    <t>actualizó la carpeta</t>
  </si>
  <si>
    <t>deleted the folder</t>
  </si>
  <si>
    <t>eliminó la capeta</t>
  </si>
  <si>
    <t>deleted a child folder</t>
  </si>
  <si>
    <t>eliminó una carpeta hija</t>
  </si>
  <si>
    <t>uploaded files</t>
  </si>
  <si>
    <t>cargó archivos</t>
  </si>
  <si>
    <t>deleted a version</t>
  </si>
  <si>
    <t>eliminó una versión</t>
  </si>
  <si>
    <t>changed the default version to</t>
  </si>
  <si>
    <t>cambió versión por defecto a</t>
  </si>
  <si>
    <t>moved the folder to</t>
  </si>
  <si>
    <t>movió la carpeta a</t>
  </si>
  <si>
    <t>moved a folder here</t>
  </si>
  <si>
    <t>movió una carpeta aquí</t>
  </si>
  <si>
    <t>removed</t>
  </si>
  <si>
    <t>eliminó</t>
  </si>
  <si>
    <t>added</t>
  </si>
  <si>
    <t>añadió</t>
  </si>
  <si>
    <t>mark as active</t>
  </si>
  <si>
    <t>marcar como activo</t>
  </si>
  <si>
    <t>Last 30 days</t>
  </si>
  <si>
    <t>Últimos 30 días</t>
  </si>
  <si>
    <t>Create a list of tasks to keep track of changes You could also create templates for later</t>
  </si>
  <si>
    <t>app-add-users-to-this-task</t>
  </si>
  <si>
    <t>Add users to this task</t>
  </si>
  <si>
    <t>Añadir usuarios a esta tarea</t>
  </si>
  <si>
    <t>app-are-you-sure-you-want-to-delete-the-task?</t>
  </si>
  <si>
    <t>Are you sure you want to delete the Task?</t>
  </si>
  <si>
    <t>¿Está seguro que desea eliminar la Tarea?</t>
  </si>
  <si>
    <t>app-assigned-task-to</t>
  </si>
  <si>
    <t>Assigned task to</t>
  </si>
  <si>
    <t>Asignó Tarea a</t>
  </si>
  <si>
    <t>app-configure-the-default-values-for-the-items-created-under-the-asset-here.-by-default,-any-task/vault-item-created-for-the-asset-will-use-the-pre-defined-values-set-unless-overridden.-please-note-that-the-changes-are-applied-only-to-the-new-items-created.</t>
  </si>
  <si>
    <t>Configure the default values for the items created under the asset here. By default, any task/vault item created for the asset will use the pre-defined values set unless overridden. Please note that the changes are applied only to the new items created.</t>
  </si>
  <si>
    <t>Configure aquí los valores por defecto para los elementos creados en el activo. Por defecto, cualquier elemento de tarea/vault creado para el activo usará los valores pre-definidos y/o establecidos a menos que los mismos sean anulados. Por favor nótese que los cambios son aplicados únicamente a los nuevos elementos creados.</t>
  </si>
  <si>
    <t>app-count-of-tasks</t>
  </si>
  <si>
    <t># of tasks</t>
  </si>
  <si>
    <t># de Tareas</t>
  </si>
  <si>
    <t>app-create-modify-tasks</t>
  </si>
  <si>
    <t>Create/Modify tasks</t>
  </si>
  <si>
    <t>Crear/Modificar Tareas</t>
  </si>
  <si>
    <t>app-create-new-task</t>
  </si>
  <si>
    <t>Create New Task</t>
  </si>
  <si>
    <t>Crear Nueva Tarea</t>
  </si>
  <si>
    <t>app-create-task</t>
  </si>
  <si>
    <t>Create Task</t>
  </si>
  <si>
    <t>app-create-update-or-delete-tasks</t>
  </si>
  <si>
    <t>Create, update or delete tasks.</t>
  </si>
  <si>
    <t>Crear, actualizar o eliminar Tareas</t>
  </si>
  <si>
    <t>app-display-tasks</t>
  </si>
  <si>
    <t>Display Tasks</t>
  </si>
  <si>
    <t>Mostrar Tareas</t>
  </si>
  <si>
    <t>app-duplicate-task</t>
  </si>
  <si>
    <t>Duplicate Task</t>
  </si>
  <si>
    <t>Duplicar Tarea</t>
  </si>
  <si>
    <t>app-follow-tasks</t>
  </si>
  <si>
    <t>Follow Tasks</t>
  </si>
  <si>
    <t>Seguir Tareas</t>
  </si>
  <si>
    <t>app-new-task</t>
  </si>
  <si>
    <t>New Task</t>
  </si>
  <si>
    <t>app-new-task-name</t>
  </si>
  <si>
    <t>New Task Name</t>
  </si>
  <si>
    <t>Nuevo Título de la Tarea</t>
  </si>
  <si>
    <t>app-no-changes-made-to-this-task-since-its-creation</t>
  </si>
  <si>
    <t>No changes made to this task since its creation</t>
  </si>
  <si>
    <t>No se han hecho cambios en esta tarea desde su creación</t>
  </si>
  <si>
    <t>app-no-recurrence-schedule-added-to-the-task</t>
  </si>
  <si>
    <t>No recurrence schedule added to the task</t>
  </si>
  <si>
    <t>No hay calendario de recurrencia añadido a la Tarea</t>
  </si>
  <si>
    <t>app-no-tasks</t>
  </si>
  <si>
    <t>No Tasks</t>
  </si>
  <si>
    <t>No hay Tareas</t>
  </si>
  <si>
    <t>app-no-tasks-found-with-the-selected-filters</t>
  </si>
  <si>
    <t>No tasks found with the selected filters!</t>
  </si>
  <si>
    <t>¡No se encontraron tareas con los filtros seleccionados!</t>
  </si>
  <si>
    <t>app-permission-create-modify-tasks</t>
  </si>
  <si>
    <t>app-pin-task</t>
  </si>
  <si>
    <t>Pin Task</t>
  </si>
  <si>
    <t>Fijar Tarea</t>
  </si>
  <si>
    <t>app-search-task</t>
  </si>
  <si>
    <t>Search Task</t>
  </si>
  <si>
    <t>Skip missed task</t>
  </si>
  <si>
    <t>Omitir tareas incumplidas</t>
  </si>
  <si>
    <t>app-text-delete-multple-task-confirmation</t>
  </si>
  <si>
    <t>Are you sure you want to delete multiple tasks?</t>
  </si>
  <si>
    <t>¿Está seguro que desea eliminar este grupo de Tareas?</t>
  </si>
  <si>
    <t>app-task</t>
  </si>
  <si>
    <t>Task</t>
  </si>
  <si>
    <t>app-task-name</t>
  </si>
  <si>
    <t>Task name</t>
  </si>
  <si>
    <t>Título de la Tarea</t>
  </si>
  <si>
    <t>app-task-status</t>
  </si>
  <si>
    <t>Task Status</t>
  </si>
  <si>
    <t>Estado de la Tarea</t>
  </si>
  <si>
    <t>app-task-summary</t>
  </si>
  <si>
    <t>Task Summary</t>
  </si>
  <si>
    <t>Lista de Tareas</t>
  </si>
  <si>
    <t>app-tasks-chart</t>
  </si>
  <si>
    <t>Tasks Chart</t>
  </si>
  <si>
    <t>Gráfica de Tareas</t>
  </si>
  <si>
    <t>app-tasks-progress</t>
  </si>
  <si>
    <t>Tasks Progress</t>
  </si>
  <si>
    <t>Progreso de las Tareas</t>
  </si>
  <si>
    <t>app-top-tasks</t>
  </si>
  <si>
    <t>Top Tasks</t>
  </si>
  <si>
    <t>Tareas Principales</t>
  </si>
  <si>
    <t>app-unpin-task</t>
  </si>
  <si>
    <t>Unpin Task</t>
  </si>
  <si>
    <t>Desfijar Tarea</t>
  </si>
  <si>
    <t>app-view-task</t>
  </si>
  <si>
    <t>View Task</t>
  </si>
  <si>
    <t>Ver Tarea</t>
  </si>
  <si>
    <t>app-when-checked,-if-a-task-is-missed-because-the-status-of-the-task-was-not-updated-before-due-date,-that-task-will-be-skipped.-this-means,-only-tasks-in-the-future-are-possible.</t>
  </si>
  <si>
    <t>When checked, if a task is missed because the status of the task was not updated before due date, that task will be skipped. This means, only tasks in the future are possible.</t>
  </si>
  <si>
    <t>Cuando se escoge esta opción, si una tarea es incumplida debido a que su estado no fue actualizado antes de la fecha de vencimiento, dicha tarea será omitida. Esto significa que sólo las tareas en tiempo futuro son posibles.</t>
  </si>
  <si>
    <t>app.tasks.checklists.title</t>
  </si>
  <si>
    <t>Checklists</t>
  </si>
  <si>
    <t>Listas de Verificación</t>
  </si>
  <si>
    <t>app.tasks.subtitle</t>
  </si>
  <si>
    <t>Manage Assets with ease!</t>
  </si>
  <si>
    <t>¡Gestione fácilmente sus activos!</t>
  </si>
  <si>
    <t>app.tasks.templates.title</t>
  </si>
  <si>
    <t>Templates</t>
  </si>
  <si>
    <t>Plantillas</t>
  </si>
  <si>
    <t>app.tasks.title</t>
  </si>
  <si>
    <t>This task does not have any attachments!</t>
  </si>
  <si>
    <t>¡Esta tarea no tiene archivos adjuntos para descargar!</t>
  </si>
  <si>
    <t>Take Up</t>
  </si>
  <si>
    <t>Aceptar Tarea</t>
  </si>
  <si>
    <t>Give Up</t>
  </si>
  <si>
    <t>Abandonar Tarea</t>
  </si>
  <si>
    <t>https://drive.google.com/file/d/1U7rgh_kDpDlOpztyYB_o1vdcfpqud98E/view?usp=sharing</t>
  </si>
  <si>
    <t>Japanese</t>
  </si>
  <si>
    <t>https://drive.google.com/file/d/1qvsmVXtjrU57VAwimdwi59VgNCnBODJk/view?usp=sharing</t>
  </si>
  <si>
    <t>Sign in to SenseHawk</t>
  </si>
  <si>
    <t>Inicie Sesión en SenseHawk</t>
  </si>
  <si>
    <t>Username</t>
  </si>
  <si>
    <t>Usuario</t>
  </si>
  <si>
    <t>Password</t>
  </si>
  <si>
    <t>Contraseña</t>
  </si>
  <si>
    <t>Remember me</t>
  </si>
  <si>
    <t>Recuerda mis datos</t>
  </si>
  <si>
    <t>Sign In</t>
  </si>
  <si>
    <t>Iniciar Sesión</t>
  </si>
  <si>
    <t>Need help signing in?</t>
  </si>
  <si>
    <t>¿Necesita ayuda para iniciar sesión?</t>
  </si>
  <si>
    <t>https://drive.google.com/file/d/1NM5El6Spo9Y-eZzg7doYD2YSKn578dqP/view?usp=sharing</t>
  </si>
  <si>
    <t>Forgot Password?</t>
  </si>
  <si>
    <t>¿Olvidó su contraseña?</t>
  </si>
  <si>
    <t>Help</t>
  </si>
  <si>
    <t>https://drive.google.com/file/d/19t25jdNfC2GdXLinE3hWvqhcOKPNsFoN/view?usp=sharing</t>
  </si>
  <si>
    <t>Reset Password</t>
  </si>
  <si>
    <t>Resetear Contraseña</t>
  </si>
  <si>
    <t>Email or Username</t>
  </si>
  <si>
    <t>Correo Electrónico o Usuario</t>
  </si>
  <si>
    <t>Reset Via Email</t>
  </si>
  <si>
    <t>Resetear por Correo</t>
  </si>
  <si>
    <t>Back to Sign In</t>
  </si>
  <si>
    <t>Regresar a Inicio de Sesión</t>
  </si>
  <si>
    <t>https://drive.google.com/file/d/1e7fEuP6LIBog64wYH9Q3bG7Su8DKYa_n/view?usp=sharing</t>
  </si>
  <si>
    <t>Sign-In Help</t>
  </si>
  <si>
    <t>Ayuda Para Iniciar Sesión</t>
  </si>
  <si>
    <t>More Help</t>
  </si>
  <si>
    <t>Más Ayuda</t>
  </si>
  <si>
    <t>Request Help</t>
  </si>
  <si>
    <t>Pedir Ayuda</t>
  </si>
  <si>
    <t>Send Feedback</t>
  </si>
  <si>
    <t>Enviar comentarios</t>
  </si>
  <si>
    <t>Report a bug</t>
  </si>
  <si>
    <t>Reportar un error</t>
  </si>
  <si>
    <t>Okta is an on-demand service that allows you to easily sign-in to all the applications your organization uses through a single login.</t>
  </si>
  <si>
    <t>Okta es un servicio bajo demanda que le permite iniciar sesión fácilmente a todas las aplicaciones que su organizacion utilice a través de un solo inicio de sesión.</t>
  </si>
  <si>
    <t>Once you sign in, your Okta home page displays all your applications in one location. Simply, click the application's corresponding icon and each application opens in a new browser window or tab and you are automatically logged-in</t>
  </si>
  <si>
    <t xml:space="preserve">Una vez que inicie sesión, su página de inicio Okta le presentará todas las aplicaciones en un solo lugar. Simplemente, haga clic en el ícono correspondiente de cada aplicación y la aplicación se abrirá en una ventana o pestaña nueva de su navegdor y su sesión estará iniciada automáticamente. </t>
  </si>
  <si>
    <t>Table of Contents</t>
  </si>
  <si>
    <t>Tabla de Contenido</t>
  </si>
  <si>
    <t>Frequently Asked Questions</t>
  </si>
  <si>
    <t>Preguntas Frecuentes</t>
  </si>
  <si>
    <t>What should I do if I forget my username or password?</t>
  </si>
  <si>
    <t>¿Qué debo hacer si se me olvidó mi usuario o contraseña?</t>
  </si>
  <si>
    <t>https://drive.google.com/file/d/1ORYFx3WkCBYNJFc-EOizFFezF0rknIVP/view?usp=sharing</t>
  </si>
  <si>
    <t>How Tos</t>
  </si>
  <si>
    <t>¿Cómo?</t>
  </si>
  <si>
    <t>Sign-in to your Organization</t>
  </si>
  <si>
    <t>Inicie sesión en su organización</t>
  </si>
  <si>
    <t>Report a Security Issue</t>
  </si>
  <si>
    <t>Reporte un problema de seguridad</t>
  </si>
  <si>
    <t>Q:What should I do if I forget my username or password?</t>
  </si>
  <si>
    <t>P: ¿Qué debo hacer si se me olvidó mi usuario o contraseña?</t>
  </si>
  <si>
    <t>A:Click I can't access my account on your organization's sign-in page, enter the primary or secondary email address you listed in your user account settings, and click Send Email. Look in your inbox for the system generated email and follow the prompts.</t>
  </si>
  <si>
    <t xml:space="preserve">R: Haga clic en "no puedo accesar a mi cuenta en la pagina de inicio de su organizacion", escriba el correo electrónico primario o secundario que agregó en la configuración de la cuenta de su usuario. Despues, haga click a enviar correo. Busque en la bandeja de entrada de su correo electrónico el correo generado automaticamente por el sistema y siga las indicaciones. </t>
  </si>
  <si>
    <r>
      <rPr>
        <rFont val="Arial"/>
        <color rgb="FF000000"/>
      </rPr>
      <t xml:space="preserve">Open a web browser and enter your organization's Okta address. For example: </t>
    </r>
    <r>
      <rPr>
        <rFont val="Arial"/>
        <color rgb="FF000000"/>
      </rPr>
      <t>http://mycompany.okta.com</t>
    </r>
    <r>
      <rPr>
        <rFont val="Arial"/>
        <color rgb="FF1155CC"/>
        <u/>
      </rPr>
      <t xml:space="preserve"> </t>
    </r>
  </si>
  <si>
    <t xml:space="preserve">Abra un navegador y escriba la direccion Okta de su organizacion. Por ejemplo: http://mycompany.okta.com </t>
  </si>
  <si>
    <t>Enter your username and password, and then select Sign-in. Enter your alias in the username field. For example, if your username is jsmith@mycompany.com, just enter jsmith.</t>
  </si>
  <si>
    <t xml:space="preserve">Ingrese su usuario y contraseña, después seleccione Iniciar Sesión. Ingrese su alias en el usuario. Por ejemplo, si su usuario es jsmith@mycompany.com, solo ingrese jsmith. </t>
  </si>
  <si>
    <t>After you enter your username, your security image is displayed automatically if you have previously completed a successful logon in the browser you are using. This feature requires browser cookies.</t>
  </si>
  <si>
    <t>Después de ingresar su usuario, la imagen de seguridad será presentada automáticamente si previamente ha completado exitosamente el inicio de sesión en el navegador que está utilizando. Esta característica requiere cookies del navegador.</t>
  </si>
  <si>
    <t>Caution: If you have successfully signed in on the current browser before and have not cleared cookies, do not enter your password if your security image does not display when you enter your username.</t>
  </si>
  <si>
    <t xml:space="preserve">Precaución: Si ha iniciado sesión exitosamente en el navegador actual anteriormente y no ha eliminado los cookies, no ingrese la clave si la imagen de seguridad no es presentada cuando ingrese su usuario. </t>
  </si>
  <si>
    <t>If your security image does not appear, close the browser and confirm that you are using the correct address to sign in for your organization. Then, open a new browser window, type the address in manually, and enter your username again. If your security image is still not displayed, report the issue using the Send Feedback link.</t>
  </si>
  <si>
    <t>Si la imagen de seguridad no aparece, cierre el navegador y confirme que está usando el correo electrónico correcto para iniciar sesión para su organizacion. Despues, abra una nueva ventana en el navegador, escriba la dirección manualmente e ingrese su usuario nuevamente. Si su imagen de seguridad todavía no aparece, reporte el problema usando el enlace de Enviar Comentarios.</t>
  </si>
  <si>
    <t>If you see the error message Sign in failed! your username and password do not match those specified for your profile, or you do not have access permission. Please contact your system administrator.</t>
  </si>
  <si>
    <t xml:space="preserve">Si aparece el mensaje de error de Inicio de sesión fallida, su usuario o contraseña no coinciden para ese perfil, o no tiene permiso para acceder a el. Por favor contacte a su administrador del sistema. </t>
  </si>
  <si>
    <t>Reportar un problema de seguridad</t>
  </si>
  <si>
    <t>Under More Help, click the Send Feedback link.</t>
  </si>
  <si>
    <t xml:space="preserve">Bajo Más Ayuda, haga clic en el enlace de Enviar Comentarios </t>
  </si>
  <si>
    <t>Enter your email address, and from the What do you need help with? drop-down, select Report a potential security issue.</t>
  </si>
  <si>
    <t>Ingrese su correo electrónico y del menú desplegable de ¿En qué podríamos ayudarle?, seleccione Reportar un potencial problema de seguridad.</t>
  </si>
  <si>
    <t>Enter a message, and click Send Message.</t>
  </si>
  <si>
    <t>Ingrese su mensaje y haga clic en Enviar Mensaje</t>
  </si>
  <si>
    <t>https://drive.google.com/file/d/1o57H4g_-cM9JeHigxm3FoAZIVOnLBKc1/view?usp=sharing</t>
  </si>
  <si>
    <t>Privacy</t>
  </si>
  <si>
    <t>Privacidad</t>
  </si>
  <si>
    <t>Status Site</t>
  </si>
  <si>
    <t>Estado del Sitio</t>
  </si>
  <si>
    <t xml:space="preserve">Download Okta Plugin </t>
  </si>
  <si>
    <t>Descargar Complemento Okta</t>
  </si>
  <si>
    <t>Feedback</t>
  </si>
  <si>
    <t>Comentarios</t>
  </si>
  <si>
    <t>Mobile Version</t>
  </si>
  <si>
    <t>Versión Móvil</t>
  </si>
  <si>
    <t>Help &amp; Feedback</t>
  </si>
  <si>
    <t>Ayuda y Comentarios</t>
  </si>
  <si>
    <t>https://drive.google.com/file/d/1IOQqMTB_gplAkRAfowEeqMalqobHTWOW/view?usp=sharing</t>
  </si>
  <si>
    <t>Send Message</t>
  </si>
  <si>
    <t>Enviar Mensaje</t>
  </si>
  <si>
    <t>Enter the email we should use to contact you:</t>
  </si>
  <si>
    <t>Ingrese el correo al cual le gustaría que le contactáramos</t>
  </si>
  <si>
    <t>What do you need help with?</t>
  </si>
  <si>
    <t>¿En qué podemos ayudarle?</t>
  </si>
  <si>
    <t>Request help with using the system</t>
  </si>
  <si>
    <t>Solicita ayuda para usar el sistema</t>
  </si>
  <si>
    <t>https://drive.google.com/file/d/1turI_f5JutgUhnP5Iy1CMsbKpLAkxQur/view?usp=sharing</t>
  </si>
  <si>
    <t>Cannot log in</t>
  </si>
  <si>
    <t>No puedo iniciar sesión</t>
  </si>
  <si>
    <t>Report potential security issue</t>
  </si>
  <si>
    <t>Reportar un potencial problema de seguridad</t>
  </si>
  <si>
    <t>Request access to application</t>
  </si>
  <si>
    <t>Solicitar acceso a la aplicación</t>
  </si>
  <si>
    <t>Send feedback about the system</t>
  </si>
  <si>
    <t>Enviar comentarios sobre el sistema</t>
  </si>
  <si>
    <t>Report a bug in the system</t>
  </si>
  <si>
    <t>Reportar un error en el sistema</t>
  </si>
  <si>
    <t>Message</t>
  </si>
  <si>
    <t>Mensaje</t>
  </si>
  <si>
    <t>Close</t>
  </si>
  <si>
    <t>Cerrar</t>
  </si>
  <si>
    <t>https://drive.google.com/file/d/1YxIB0YYFfh2yvEVL0AMDweVO0vIgPOc4/view?usp=sharing</t>
  </si>
  <si>
    <t>Manage data with ease!</t>
  </si>
  <si>
    <t>¡Gestione fácilmente sus datos!</t>
  </si>
  <si>
    <t>https://drive.google.com/file/d/126N9ldDgVMNhZIpCvjDgKVFgZzCrDie6/view?usp=sharing</t>
  </si>
  <si>
    <t>app-created-by</t>
  </si>
  <si>
    <t>https://drive.google.com/file/d/16KCInPLOZqYwmgfJYtUCo9L1brk3h1ml/view?usp=sharing</t>
  </si>
  <si>
    <t>Created By</t>
  </si>
  <si>
    <t>Creado Por</t>
  </si>
  <si>
    <t>Fecha de Vencimiento</t>
  </si>
  <si>
    <t>app-noone-has-shared-forms-with-you</t>
  </si>
  <si>
    <t>No one has shared any forms with you yet</t>
  </si>
  <si>
    <t>Nadie ha compartido algún formulario con usted hasta ahora</t>
  </si>
  <si>
    <t>app-forms-text-ready-for-submissions-display</t>
  </si>
  <si>
    <t>Forms shared by others that are ready for your submission will be displayed here</t>
  </si>
  <si>
    <t>Los formularios compartidos por otros que estén listos para ser entregados serán mostrados aquí</t>
  </si>
  <si>
    <t>https://drive.google.com/file/d/18nr2lxcenTROxDY9OAEALeMGfpkD8Sby/view?usp=sharing</t>
  </si>
  <si>
    <t>Select due date range</t>
  </si>
  <si>
    <t>Seleccionar rango de fecha de vencimiento</t>
  </si>
  <si>
    <t>https://drive.google.com/file/d/18R2VT3yFihlaWuAOiy8QHa8xeKGbL8_L/view?usp=sharing</t>
  </si>
  <si>
    <t>Overdue</t>
  </si>
  <si>
    <t>Atrasado</t>
  </si>
  <si>
    <t>https://drive.google.com/file/d/1BNkrv6h8DNFZriZ3wetOwnoJElRONo6W/view?usp=sharing</t>
  </si>
  <si>
    <t>Today</t>
  </si>
  <si>
    <t>Hoy</t>
  </si>
  <si>
    <t>Upcoming</t>
  </si>
  <si>
    <t>Próximo</t>
  </si>
  <si>
    <t>https://drive.google.com/file/d/1AlpRHJqEpRo1Zg33EwX_-ZLmWoIvmoVA/view?usp=sharing</t>
  </si>
  <si>
    <t>Unscheduled</t>
  </si>
  <si>
    <t>Sin Programar</t>
  </si>
  <si>
    <t>https://drive.google.com/file/d/1N1fN6rvL2IKwmv2y7LFmbWXidMuEAXSx/view?usp=sharing</t>
  </si>
  <si>
    <t>Submitted By</t>
  </si>
  <si>
    <t>Entregado Por</t>
  </si>
  <si>
    <t>Submitted On</t>
  </si>
  <si>
    <t>Entregado el</t>
  </si>
  <si>
    <t>https://drive.google.com/file/d/1Hc155TYDKpguTK-2CLmzu67AMglDBMol/view?usp=sharing</t>
  </si>
  <si>
    <t>Uh-oh, looks like you haven't submitted any forms</t>
  </si>
  <si>
    <t>¡Oh-oh, parece que no ha entregado ningún formulario!</t>
  </si>
  <si>
    <t>All the forms that you submit will be displayed here</t>
  </si>
  <si>
    <t>Todos los formularios que usted entregue serán mostrados aquí</t>
  </si>
  <si>
    <t>https://drive.google.com/file/d/1FRXBSowc44neg42OOlf0y64J7hFeKUrO/view?usp=sharing</t>
  </si>
  <si>
    <t>You are yet to publish forms</t>
  </si>
  <si>
    <t>Aún no ha publicado algún formulario</t>
  </si>
  <si>
    <t>Please come back once you have published a form</t>
  </si>
  <si>
    <t>Por favor vuelva una vez haya publicado un formulario</t>
  </si>
  <si>
    <t>https://drive.google.com/file/d/1hwvuK-lewUYcgTm83OjY1N0zRmNFq9Tn/view?usp=sharing</t>
  </si>
  <si>
    <t>Untitled Form</t>
  </si>
  <si>
    <t>Formulario sin título</t>
  </si>
  <si>
    <t>All changes saved</t>
  </si>
  <si>
    <t>Todos los cambios guardados</t>
  </si>
  <si>
    <t>Add Logo</t>
  </si>
  <si>
    <t>Añadir Logo</t>
  </si>
  <si>
    <t>Loading</t>
  </si>
  <si>
    <t>Cargando</t>
  </si>
  <si>
    <t>https://drive.google.com/file/d/1pAf3PfVwCGXDUS_Ce0i2R7n7ENuVTgUf/view?usp=sharing</t>
  </si>
  <si>
    <t>Description about the form here</t>
  </si>
  <si>
    <t>Escriba aquí la descripción del formulario</t>
  </si>
  <si>
    <t>Add Section</t>
  </si>
  <si>
    <t>Añadir Sección</t>
  </si>
  <si>
    <t>https://drive.google.com/file/d/1LID-BYBrOD1K9dcV4dDB_XKNIrrEG0U-/view?usp=sharing</t>
  </si>
  <si>
    <t>Section 1</t>
  </si>
  <si>
    <t>Sección 1</t>
  </si>
  <si>
    <t>Untitled Section</t>
  </si>
  <si>
    <t>Sección sin título</t>
  </si>
  <si>
    <t>Remove</t>
  </si>
  <si>
    <t>https://drive.google.com/file/d/1jJSBte9800PqMU8n8rA0TOSobm_pCiV2/view?usp=sharing</t>
  </si>
  <si>
    <t>Select Fields or Templates</t>
  </si>
  <si>
    <t>Seleccionar Campos o Plantillas</t>
  </si>
  <si>
    <t>Text Field</t>
  </si>
  <si>
    <t>Campo de Texto</t>
  </si>
  <si>
    <t>https://drive.google.com/file/d/12G56C79xctld7hVxOYlGv_YvfUKM72Rn/view?usp=sharing</t>
  </si>
  <si>
    <t>Untitled</t>
  </si>
  <si>
    <t>Sin título</t>
  </si>
  <si>
    <t>Placeholder text here</t>
  </si>
  <si>
    <t>Texto del marcador de posición aquí</t>
  </si>
  <si>
    <t>Max. Characters allowed</t>
  </si>
  <si>
    <t>Máx. de caracteres permitidos</t>
  </si>
  <si>
    <t>https://drive.google.com/file/d/1aM8hqmCf5XMnXXPGVcYVIrIu5_aEyGxW/view?usp=sharing</t>
  </si>
  <si>
    <t>Optional</t>
  </si>
  <si>
    <t>Opcional</t>
  </si>
  <si>
    <t>https://drive.google.com/file/d/1j0_5lHzEeuWjgolSTHUtgOAGdVSzw8zS/view?usp=sharing</t>
  </si>
  <si>
    <t>Mandatory</t>
  </si>
  <si>
    <t>Obligatorio</t>
  </si>
  <si>
    <t>https://drive.google.com/file/d/1ePsB7EGSbKL-QoTZvNiHuNHyVKyAaXm9/view?usp=sharing</t>
  </si>
  <si>
    <t>https://drive.google.com/file/d/1LiquEKII-VwMr21fIQMZo2yRQsBN8ecA/view?usp=sharing</t>
  </si>
  <si>
    <t>Include Subtitle</t>
  </si>
  <si>
    <t>Incluir Subtítulo</t>
  </si>
  <si>
    <t>https://drive.google.com/file/d/1HXeWL5Vj6Ds_g7_Psu3-AFS279sDr_Ry/view?usp=sharing</t>
  </si>
  <si>
    <t>Subtitle</t>
  </si>
  <si>
    <t>Subtítulo</t>
  </si>
  <si>
    <t>Hide Subtitle</t>
  </si>
  <si>
    <t>Ocultar Subtítulo</t>
  </si>
  <si>
    <t>https://drive.google.com/file/d/1NGbFxN0DnxTYM8z7GHJ9Wwra4CnJVj-A/view?usp=sharing</t>
  </si>
  <si>
    <t>Rich Text Field</t>
  </si>
  <si>
    <t>Campo de Texto Enriquecido</t>
  </si>
  <si>
    <t>https://drive.google.com/file/d/1zL8tHfR7yVTynquxsqp5Uch9UAoKQbLj/view?usp=sharing</t>
  </si>
  <si>
    <t>Template Name</t>
  </si>
  <si>
    <t>Nombre de la Plantilla</t>
  </si>
  <si>
    <t>https://drive.google.com/file/d/1XrViBnvCAlktyOEyGIMHq6wUVWkFewmL/view?usp=sharing</t>
  </si>
  <si>
    <t>Checkbox</t>
  </si>
  <si>
    <t>Casilla de Chequeo</t>
  </si>
  <si>
    <t>Option-1</t>
  </si>
  <si>
    <t>Opción-1</t>
  </si>
  <si>
    <t>Add New Checkbox</t>
  </si>
  <si>
    <t>Añadir Nueva Casilla de Chequeo</t>
  </si>
  <si>
    <t>https://drive.google.com/file/d/1N5iHu-SrbjdZsbIR43RXxzoXmrLBq8wV/view?usp=sharing</t>
  </si>
  <si>
    <t>Dropdown</t>
  </si>
  <si>
    <t>Desplegable</t>
  </si>
  <si>
    <t>Add option</t>
  </si>
  <si>
    <t>Añadir opción</t>
  </si>
  <si>
    <t>https://drive.google.com/file/d/1wVl4t2rejpAS4NyZIDq67FbA88IIHifY/view?usp=sharing</t>
  </si>
  <si>
    <t>Radio</t>
  </si>
  <si>
    <t>https://drive.google.com/file/d/1rlwEaUV0u3RJeU9NmMQ2Inoy81OdmhfY/view?usp=sharing</t>
  </si>
  <si>
    <t>Number</t>
  </si>
  <si>
    <t>Número</t>
  </si>
  <si>
    <t>Placeholder Number here</t>
  </si>
  <si>
    <t>Número del marcador de posición aquí</t>
  </si>
  <si>
    <t>Min Value allowed</t>
  </si>
  <si>
    <t>Valor mínimo permitido</t>
  </si>
  <si>
    <t>Max Value allowed</t>
  </si>
  <si>
    <t>Valor máximo permitido</t>
  </si>
  <si>
    <t>https://drive.google.com/file/d/1OcLy6UmneTRib77dpSwc6a5KLQwblBfO/view?usp=sharing</t>
  </si>
  <si>
    <t>Date &amp; Time</t>
  </si>
  <si>
    <t>Fecha y Hora</t>
  </si>
  <si>
    <t>DD/MM/YYYY</t>
  </si>
  <si>
    <t>DD/MM/AAAA</t>
  </si>
  <si>
    <t>https://drive.google.com/file/d/1ndNtj1lBwJNOeBMB8sAUN3kDEt646fj9/view?usp=sharing</t>
  </si>
  <si>
    <t>https://drive.google.com/file/d/1R5DUz1jTT5v2iziZ-MvvSjBVkzYLVe0H/view?usp=sharing</t>
  </si>
  <si>
    <t>https://drive.google.com/file/d/1KJ665-zZeSt6ptLTPI8A15Tu7x-2p6GG/view?usp=sharing</t>
  </si>
  <si>
    <t>https://drive.google.com/file/d/1QEAdSkblTecgRxeNoWLLc54IqRHfKUE_/view?usp=sharing</t>
  </si>
  <si>
    <t>Email</t>
  </si>
  <si>
    <t>Correo Electrónico</t>
  </si>
  <si>
    <t>https://drive.google.com/file/d/1TUBePd7apx8vIxGEDt9eNdzpGulNCtlD/view?usp=sharing</t>
  </si>
  <si>
    <t>Money</t>
  </si>
  <si>
    <t>Dinero</t>
  </si>
  <si>
    <t>https://drive.google.com/file/d/173LLyn5QC-yG6vgEYAGrKIbDAYZqBVL7/view?usp=sharing</t>
  </si>
  <si>
    <t>Phone number</t>
  </si>
  <si>
    <t>Número telefónico</t>
  </si>
  <si>
    <t>Mobile number</t>
  </si>
  <si>
    <t>Número telefónico Móvil</t>
  </si>
  <si>
    <t>https://drive.google.com/file/d/17VnXoAYhNESrXdwYA1n95w-BovTT45Mo/view?usp=sharing</t>
  </si>
  <si>
    <t>Website</t>
  </si>
  <si>
    <t>Sitio Web</t>
  </si>
  <si>
    <t>https://drive.google.com/file/d/18p-CVtjEAEAvBRstTscSq45LcrFVYG6H/view?usp=sharing</t>
  </si>
  <si>
    <t>File Upload</t>
  </si>
  <si>
    <t>Carga de Archivos</t>
  </si>
  <si>
    <t>Drag &amp; Drop File Here</t>
  </si>
  <si>
    <t>Arrastre y suelte su Archivo aquí</t>
  </si>
  <si>
    <t>Drag and drop to add attachments here</t>
  </si>
  <si>
    <t>Arrastre y suelte archivos adjuntos aquí</t>
  </si>
  <si>
    <t>Upload File</t>
  </si>
  <si>
    <t>Cargar Archivo</t>
  </si>
  <si>
    <t>https://drive.google.com/file/d/1ZgwEhfFWt35QSgDNUoRO4Lv_OUq2zEKo/view?usp=sharing</t>
  </si>
  <si>
    <t>Choose from Templates</t>
  </si>
  <si>
    <t>Seleccionar desde Plantillas</t>
  </si>
  <si>
    <t>https://drive.google.com/file/d/1GqLgCqg436JT2AB45_raf6kvzfh3ZeG3/view?usp=sharing</t>
  </si>
  <si>
    <t>Templates yet to be created</t>
  </si>
  <si>
    <t>Aún no se han creado plantillas</t>
  </si>
  <si>
    <t>Start by saving templates</t>
  </si>
  <si>
    <t>Comience por guardar plantillas</t>
  </si>
  <si>
    <t>https://drive.google.com/file/d/1SrBKWTwtBtfAEyffGhannYiImnD5-d60/view?usp=sharing</t>
  </si>
  <si>
    <t>Basic</t>
  </si>
  <si>
    <t>Básico</t>
  </si>
  <si>
    <t>https://drive.google.com/file/d/1SQDUOPtnT2xAfJEty7negclHkvRR8csU/view?usp=sharing</t>
  </si>
  <si>
    <t>Checklist</t>
  </si>
  <si>
    <t>Lista de Verificación</t>
  </si>
  <si>
    <t>https://drive.google.com/file/d/1JpWcxDn2Is1BpvC7_bBQpY51SYVIhjgK/view?usp=sharing</t>
  </si>
  <si>
    <t>https://drive.google.com/file/d/1dJaz5HJtUR8szCQO1okM6Ka5b2Sm09Oq/view?usp=sharing</t>
  </si>
  <si>
    <t>https://drive.google.com/file/d/1TKO4q8pdU12bxzT6lcjWDYQ3C9_k6Z2K/view?usp=sharing</t>
  </si>
  <si>
    <t>Table</t>
  </si>
  <si>
    <t>Tabla</t>
  </si>
  <si>
    <t>https://drive.google.com/file/d/1_s2Hn0X0EfRADwNrqSGN4BfSU9BJ_Zeo/view?usp=sharing</t>
  </si>
  <si>
    <t>Add New</t>
  </si>
  <si>
    <t>Añadir Nueva</t>
  </si>
  <si>
    <t>https://drive.google.com/file/d/1xvtApsfUOYbiO7V2zKJ2FDouqdiHK0c3/view?usp=sharing</t>
  </si>
  <si>
    <t>Attachments</t>
  </si>
  <si>
    <t>Archivos Adjuntos</t>
  </si>
  <si>
    <t>https://drive.google.com/file/d/14LQ39XkHhbLiFg8eMiaT9_wWfQySdeWL/view?usp=sharing</t>
  </si>
  <si>
    <t>Signature</t>
  </si>
  <si>
    <t>Firma</t>
  </si>
  <si>
    <t>https://drive.google.com/file/d/1pvvwhcCz876qGwtFcGvAdQQMHGD8wgxI/view?usp=sharing</t>
  </si>
  <si>
    <t>Add Signature</t>
  </si>
  <si>
    <t>Añadir Firma</t>
  </si>
  <si>
    <t>Option to add signature for the form</t>
  </si>
  <si>
    <t>Opción para añadir firma para el formulario</t>
  </si>
  <si>
    <t>https://drive.google.com/file/d/1eeya1yK6ts9oL_Jo3zPqfkO84AnFuYLz/view?usp=sharing</t>
  </si>
  <si>
    <t>https://drive.google.com/file/d/1QsQDPxsafX7h4u6YY-qO_3RvvkizyuOu/view?usp=sharing</t>
  </si>
  <si>
    <t>https://drive.google.com/file/d/14cMEEEw8Gg1ZJrIqc-80T8p-rvFKJx8d/view?usp=sharing</t>
  </si>
  <si>
    <t>There are currently no submissions for you to see yet</t>
  </si>
  <si>
    <t>Actualmente no hay entregas para su visualización</t>
  </si>
  <si>
    <t>You can view all submissions made against your form here</t>
  </si>
  <si>
    <t>Usted puede ver aquí todas las entregas hechas en base a su formulario</t>
  </si>
  <si>
    <t>https://drive.google.com/file/d/13Z9Z82sibkGHFOyGKvLJFdzGpWqGcJOK/view?usp=sharing</t>
  </si>
  <si>
    <t>Add Users / Teams</t>
  </si>
  <si>
    <t>https://drive.google.com/file/d/11pcfu25cbNxK76YakHPs0wDihAb2npoW/view?usp=sharing</t>
  </si>
  <si>
    <t>Submit</t>
  </si>
  <si>
    <t>Entregar</t>
  </si>
  <si>
    <t>Entregar/Ver Entregar</t>
  </si>
  <si>
    <t>Admin</t>
  </si>
  <si>
    <t>Administrar</t>
  </si>
  <si>
    <t>https://drive.google.com/file/d/1losbbqujmcjGIM-O9LvsNTVM58OIbFrc/view?usp=sharing</t>
  </si>
  <si>
    <t>Search Teams</t>
  </si>
  <si>
    <t>Buscar Equipos</t>
  </si>
  <si>
    <t>Show less</t>
  </si>
  <si>
    <t>https://drive.google.com/file/d/12BIaSpfdXpz5QhEHq21RlpST8JntjZZH/view?usp=sharing</t>
  </si>
  <si>
    <t>Show all</t>
  </si>
  <si>
    <t>Mostrar todo</t>
  </si>
  <si>
    <t>https://drive.google.com/file/d/1PtdfjOjqG8LdEKFoTxe5KJ_ySqwn4CKx/view?usp=sharing</t>
  </si>
  <si>
    <t>https://drive.google.com/file/d/1apDv4ZLSSCzxLknvmgiL-dVRpptdXkVc/view?usp=sharing</t>
  </si>
  <si>
    <t>New Schedule</t>
  </si>
  <si>
    <t>Nuevo Calendario</t>
  </si>
  <si>
    <t>Frequency</t>
  </si>
  <si>
    <t>Frecuencia</t>
  </si>
  <si>
    <t>Every</t>
  </si>
  <si>
    <t>Week</t>
  </si>
  <si>
    <t>Semana</t>
  </si>
  <si>
    <t>https://drive.google.com/file/d/1cIleAnu_XvAB-7gBhLy73Npc7VoszYJg/view?usp=sharing</t>
  </si>
  <si>
    <t>https://drive.google.com/file/d/1kQL8z3p6kAT3ac6TYpLRmP2frTCyjIBC/view?usp=sharing</t>
  </si>
  <si>
    <t>https://drive.google.com/file/d/1cKWRKdzpyVjaOfkRth70zjPMM8qfYIXR/view?usp=sharing</t>
  </si>
  <si>
    <t>Skip missed forms</t>
  </si>
  <si>
    <t>https://drive.google.com/file/d/1T_OZibLpanp2kb9wdxs5pVeQsRx0uM1n/view?usp=sharing</t>
  </si>
  <si>
    <t>Day</t>
  </si>
  <si>
    <t>Día</t>
  </si>
  <si>
    <t>https://drive.google.com/file/d/1Wh8hvGznjc_ROscvFPsKuCcvbn_umsA2/view?usp=sharing</t>
  </si>
  <si>
    <t>Month</t>
  </si>
  <si>
    <t>Mes</t>
  </si>
  <si>
    <t>https://drive.google.com/file/d/14Y3JszdeMaV6kWAZ3QDhQ5snVSLwy_c8/view?usp=sharing</t>
  </si>
  <si>
    <t>https://drive.google.com/file/d/1IXLUSngKIfUWp9lAFkrgDWxZwJJNQgs_/view?usp=sharing</t>
  </si>
  <si>
    <t>https://drive.google.com/file/d/15NeZyJC11gzWQuPq-3z6BoTm7ktxv_p9/view?usp=sharing</t>
  </si>
  <si>
    <t>https://drive.google.com/file/d/1lPdR-VTY4ANd8MPH27H6Yj9_Jop0AUKy/view?usp=sharing</t>
  </si>
  <si>
    <t>When checked, if a form is missed because the status of the form was not updated before due date, that form will be skipped. This means, only forms in the future are possible.</t>
  </si>
  <si>
    <t xml:space="preserve">Cuando se escoge esta opción, si un formulario es incumplido debido a que su estado no fue actualizado antes de la fecha de vencimiento, dicho formulario será omitido. Esto significa que sólo formularios en tiempo futuro son posibles.
</t>
  </si>
  <si>
    <t>https://drive.google.com/file/d/1h3xU0TLwGzQ-fc0lRtMRWOBheGQ_0TuS/view?usp=sharing</t>
  </si>
  <si>
    <t>Preview</t>
  </si>
  <si>
    <t>Previsualizar</t>
  </si>
  <si>
    <t>https://drive.google.com/file/d/1lDRj-zWjgn-9RR98c5UTpQiRKmIECECm/view?usp=sharing</t>
  </si>
  <si>
    <t>You can upload up to 5 files</t>
  </si>
  <si>
    <t>Usted puede cargar hasta 5 archivos</t>
  </si>
  <si>
    <t>Upload Files</t>
  </si>
  <si>
    <t>Cargar Archivos</t>
  </si>
  <si>
    <t>https://drive.google.com/file/d/1Rbuorfn_FViH1Qm3rUkgu1992WdLLoAs/view?usp=sharing</t>
  </si>
  <si>
    <t>Enter Signature</t>
  </si>
  <si>
    <t>Introduzca Firma</t>
  </si>
  <si>
    <t>https://drive.google.com/file/d/1oni2d1AVLt37771l_7fhq59cqS-wqUU3/view?usp=sharing</t>
  </si>
  <si>
    <t>Publish</t>
  </si>
  <si>
    <t>Publicar</t>
  </si>
  <si>
    <t>https://drive.google.com/file/d/19a1xQAvHN7SPsebhHXBM-IPwTygzAIRe/view?usp=sharing</t>
  </si>
  <si>
    <t>Publicado</t>
  </si>
  <si>
    <t>https://drive.google.com/file/d/1afSnT34r4CrA1261yTmSwWU9qHlkRsTM/view?usp=sharing</t>
  </si>
  <si>
    <t>Preview Form</t>
  </si>
  <si>
    <t>Previsualizar Formulario</t>
  </si>
  <si>
    <t>https://drive.google.com/file/d/1HEUoaFijic56dKaUhMu34gZsOcFnSaXv/view?usp=sharing</t>
  </si>
  <si>
    <t>Rename</t>
  </si>
  <si>
    <t>Renombrar</t>
  </si>
  <si>
    <t>https://drive.google.com/file/d/1aguIkdRJlZ04A5NGxY_y3Ce-vpJiyUlm/view?usp=sharing</t>
  </si>
  <si>
    <t>0 Submissions</t>
  </si>
  <si>
    <t xml:space="preserve">0 Entregas </t>
  </si>
  <si>
    <t>app-asset-map</t>
  </si>
  <si>
    <t>https://drive.google.com/file/d/1g7_1D2pvuhaeWHyjhBQbotbfgUhwq_En/view?usp=sharing</t>
  </si>
  <si>
    <t>Asset Map</t>
  </si>
  <si>
    <t>Mapa de Activos</t>
  </si>
  <si>
    <t>app-terra</t>
  </si>
  <si>
    <t>https://drive.google.com/file/d/1hQ5XqAvIUXbV_X7P3MIu5yHE5eVBPjhs/view?usp=sharing</t>
  </si>
  <si>
    <t>app-not-found</t>
  </si>
  <si>
    <t>https://drive.google.com/file/d/15x4dmjF5qyZ6PeHFnKADxOJOvvdoqRul/view?usp=sharing</t>
  </si>
  <si>
    <t>*Not Found</t>
  </si>
  <si>
    <t>*No encontrado</t>
  </si>
  <si>
    <t>https://drive.google.com/file/d/17PxJE3PA-NWyYug-B04KrGVgJ0jl2SO_/view?usp=sharing</t>
  </si>
  <si>
    <t>Creador Por</t>
  </si>
  <si>
    <t>https://drive.google.com/file/d/1KmGrEJ2Z1Qde4hFLYKEInVqgvqgCwIHv/view?usp=sharing</t>
  </si>
  <si>
    <t>app-modified-on</t>
  </si>
  <si>
    <t>https://drive.google.com/file/d/108Uttnt-E4SLedwCLxjlV4l5KFITjII9/view?usp=sharing</t>
  </si>
  <si>
    <t>Modified On:</t>
  </si>
  <si>
    <t>Última Modificación</t>
  </si>
  <si>
    <t>app-thermal</t>
  </si>
  <si>
    <t>https://drive.google.com/file/d/1IipJqRLWuUtYRoZvtObq20tX2pdwGZiD/view?usp=sharing</t>
  </si>
  <si>
    <t>https://drive.google.com/file/d/123oj2IyrhWCrP2bY43sovV34uPzJpsQR/view?usp=sharing</t>
  </si>
  <si>
    <t>*No Description</t>
  </si>
  <si>
    <t>*Sin Descripción</t>
  </si>
  <si>
    <t>https://drive.google.com/file/d/1BpTVSC9WwG3sp3RUll6JABgB-WCU-ZLL/view?usp=sharing</t>
  </si>
  <si>
    <t>app-affected-kw</t>
  </si>
  <si>
    <t>https://drive.google.com/file/d/1q-e84UU4ou1CYbXXhHq4P3l6Fo-icZU1/view?usp=sharing</t>
  </si>
  <si>
    <t>Affected KW</t>
  </si>
  <si>
    <t>kW afectados</t>
  </si>
  <si>
    <t>app-total-dc-capacity</t>
  </si>
  <si>
    <t>https://drive.google.com/file/d/15f8xE3MCsQOv4xgKXibBCoy0A1aCxVfF/view?usp=sharing</t>
  </si>
  <si>
    <t>Total DC Capacity</t>
  </si>
  <si>
    <t>Potencia pico (kWp)</t>
  </si>
  <si>
    <t>app-issues-count</t>
  </si>
  <si>
    <t>https://drive.google.com/file/d/1UllBT1ge6KNuaorSXz-xFro7nVEkhXlJ/view?usp=sharing</t>
  </si>
  <si>
    <t># Issues</t>
  </si>
  <si>
    <t>Número de fallos</t>
  </si>
  <si>
    <t>app-view-all</t>
  </si>
  <si>
    <t>https://drive.google.com/file/d/1bBbsGZDxp38breSLRNP3c4Es-GTcmOLK/view?usp=sharing</t>
  </si>
  <si>
    <t>View All</t>
  </si>
  <si>
    <t>Ver Todos</t>
  </si>
  <si>
    <t>app-ticket-summary</t>
  </si>
  <si>
    <t>https://drive.google.com/file/d/1UKddKtm0ZPS9CUN1hdQC54ZBbjj9pGhm/view?usp=sharing</t>
  </si>
  <si>
    <t>Ticket Summary</t>
  </si>
  <si>
    <t>Lista de Tickets</t>
  </si>
  <si>
    <t>app-tickets-chart</t>
  </si>
  <si>
    <t>https://drive.google.com/file/d/1zBBiFYVSBQD036XBg5gbSP6faN5HKtsp/view?usp=sharing</t>
  </si>
  <si>
    <t>Tickets Chart</t>
  </si>
  <si>
    <t>Gráfica de Tickets</t>
  </si>
  <si>
    <r>
      <rPr>
        <color rgb="FF1155CC"/>
        <u/>
      </rPr>
      <t>https://drive.google.com/file/d/1vSuB1zg90WN-gqlrgAm6itYU-NhmZfzW/view?usp=sharing</t>
    </r>
    <r>
      <rPr/>
      <t xml:space="preserve"> 
</t>
    </r>
    <r>
      <rPr>
        <color rgb="FF1155CC"/>
        <u/>
      </rPr>
      <t>https://drive.google.com/file/d/1OTxxBPwrMebRvQ271O5NPNBVpOOTGLZV/view?usp=sharing</t>
    </r>
    <r>
      <rPr/>
      <t xml:space="preserve"> </t>
    </r>
  </si>
  <si>
    <t>app-assigned</t>
  </si>
  <si>
    <r>
      <rPr>
        <color rgb="FF1155CC"/>
        <u/>
      </rPr>
      <t>https://drive.google.com/file/d/1y8GOADzVn36BSWNdss8NTLlbhRccOeyM/view?usp=sharing</t>
    </r>
    <r>
      <rPr/>
      <t xml:space="preserve"> 
</t>
    </r>
    <r>
      <rPr>
        <color rgb="FF1155CC"/>
        <u/>
      </rPr>
      <t>https://drive.google.com/file/d/1k4wlfdOB-Uv_N1stQQxYqM7KBSn4gvf8/view?usp=sharing</t>
    </r>
    <r>
      <rPr/>
      <t xml:space="preserve"> </t>
    </r>
  </si>
  <si>
    <t>Assigned</t>
  </si>
  <si>
    <t>Asignados</t>
  </si>
  <si>
    <t>app-watching</t>
  </si>
  <si>
    <r>
      <rPr>
        <color rgb="FF1155CC"/>
        <u/>
      </rPr>
      <t>https://drive.google.com/file/d/1RyTW3Q1kE_rsBrNXf5ZvUI1_Kfi5NMoM/view?usp=sharing</t>
    </r>
    <r>
      <rPr/>
      <t xml:space="preserve"> 
</t>
    </r>
    <r>
      <rPr>
        <color rgb="FF1155CC"/>
        <u/>
      </rPr>
      <t>https://drive.google.com/file/d/1cmWvs4YOu24gCI216M5sKEBoq7HSkBzQ/view?usp=sharing</t>
    </r>
    <r>
      <rPr/>
      <t xml:space="preserve"> </t>
    </r>
  </si>
  <si>
    <t>Watching</t>
  </si>
  <si>
    <t>Observando</t>
  </si>
  <si>
    <t>app-ticket-status</t>
  </si>
  <si>
    <t>https://drive.google.com/file/d/1v0zG2qEss3T2smf4DWUy97bZ9RjyfjOw/view?usp=sharing</t>
  </si>
  <si>
    <t>Ticket Status</t>
  </si>
  <si>
    <t>Estado de Tickets</t>
  </si>
  <si>
    <t>https://drive.google.com/file/d/1QFZ3WR6Zpy_M9uTlRXBbP3WCwItzW3Le/view?usp=sharing</t>
  </si>
  <si>
    <t>https://drive.google.com/file/d/1_Z6RHBlPWuuWuL1R9iW3mxf2XQK44cW7/view?usp=sharing</t>
  </si>
  <si>
    <t>https://drive.google.com/file/d/1JBmVST2MFUyn1grawpGGBBvhIIbqoRHj/view?usp=sharing</t>
  </si>
  <si>
    <t>https://drive.google.com/file/d/1AeLzzLxYTUEnT6al88CMRId8Fpe0ARvi/view?usp=sharing</t>
  </si>
  <si>
    <t xml:space="preserve">Pending
</t>
  </si>
  <si>
    <t xml:space="preserve">Pendiente
</t>
  </si>
  <si>
    <t>https://drive.google.com/file/d/1rKPilsqH86pO9tcdYQgqHJSHHifDdrHr/view?usp=sharing</t>
  </si>
  <si>
    <t>https://drive.google.com/file/d/1ldU8iQHgknhBoihOrLI3Gv4GHJrtgBew/view?usp=sharing</t>
  </si>
  <si>
    <t>https://drive.google.com/file/d/1A_dHyO4VNfxKMeAj5DrbLxXf6RE1hbkD/view?usp=sharing</t>
  </si>
  <si>
    <t>https://drive.google.com/file/d/1SrUOAwyZXxJTmRzLYxfqVlPuAhifJ2yK/view?usp=sharing</t>
  </si>
  <si>
    <t>app-top-tickets</t>
  </si>
  <si>
    <t>https://drive.google.com/file/d/1qPcPIQgS9Qn5rUPoLrjJ1Hvo0jtcFRz1/view?usp=sharing</t>
  </si>
  <si>
    <t>Top Tickets</t>
  </si>
  <si>
    <t>Tickets Principales</t>
  </si>
  <si>
    <t>https://drive.google.com/file/d/1wyFm80WE6VcJ-k69FSUEb30EsUcCj1Bq/view?usp=sharing</t>
  </si>
  <si>
    <t>Ticket Name</t>
  </si>
  <si>
    <t>Título del Ticket</t>
  </si>
  <si>
    <t>https://drive.google.com/file/d/1oct-lYIYxvDzncO0X_INs0uRLTGafQvX/view?usp=sharing</t>
  </si>
  <si>
    <t>https://drive.google.com/file/d/1iBEGCEq_WV4i9tiJdHxbuTjmsUFaqM3p/view?usp=sharing</t>
  </si>
  <si>
    <t>https://drive.google.com/file/d/1a6Q2fTxqPfQ20nopB8mvmtEb8qYaoGzc/view?usp=sharing</t>
  </si>
  <si>
    <t>https://drive.google.com/file/d/1_B675L_UfzIVC72Dz-ocGTjJt7Bn2Huq/view?usp=sharing</t>
  </si>
  <si>
    <t xml:space="preserve"> Due Date</t>
  </si>
  <si>
    <t>app-no-due-date-set</t>
  </si>
  <si>
    <t>https://drive.google.com/file/d/1XET6MUkCWpnzw-lTxc2lqFAOKIHiB4KD/view?usp=sharing</t>
  </si>
  <si>
    <t xml:space="preserve">*No Due Date Set
</t>
  </si>
  <si>
    <t>*Sin Fecha de Vencimiento Establecida</t>
  </si>
  <si>
    <t>app-assigned-to-the-user</t>
  </si>
  <si>
    <t>https://drive.google.com/file/d/17RhyQ_X2qxDq9zBQH-9pTZKem_8ZEDyE/view?usp=sharing</t>
  </si>
  <si>
    <t>Assigned to the user</t>
  </si>
  <si>
    <t>Asignado al usuario</t>
  </si>
  <si>
    <t>https://drive.google.com/file/d/1ltsBqYbjWHlEF6AZttdY4UnIUPnSzTcX/view?usp=sharing</t>
  </si>
  <si>
    <t>https://drive.google.com/file/d/1G9N_g9gGKHOyXtdY6pGc0_CE53p90yWy/view?usp=sharing</t>
  </si>
  <si>
    <t>https://drive.google.com/file/d/18vbea4tEpmA7JvGtJcnLtvPlQiZSbYaW/view?usp=sharing</t>
  </si>
  <si>
    <t>https://drive.google.com/file/d/1-SqCCJxToZ0dox7NySWO4XzbpSeejKY1/view?usp=sharing</t>
  </si>
  <si>
    <t xml:space="preserve">Prioridad </t>
  </si>
  <si>
    <t>app-critical</t>
  </si>
  <si>
    <t>https://drive.google.com/file/d/1gtB1LzxjIue3veazld8i6xqo8xk_axta/view?usp=sharing</t>
  </si>
  <si>
    <t>Critical</t>
  </si>
  <si>
    <t>Crítica</t>
  </si>
  <si>
    <t>https://drive.google.com/file/d/1ZkeY9q7l8k3M3GNi_Gt9dmSuzFb2yHm9/view?usp=sharing</t>
  </si>
  <si>
    <t xml:space="preserve">High </t>
  </si>
  <si>
    <t>https://drive.google.com/file/d/16iK-yA3yFr946d3y3c8rTlTBOv2WHsF8/view?usp=sharing</t>
  </si>
  <si>
    <t>https://drive.google.com/file/d/1r6qniGtpt6-Z_iQoxlr1WZZKfWCCVCYX/view?usp=sharing</t>
  </si>
  <si>
    <t>app-progress</t>
  </si>
  <si>
    <t>https://drive.google.com/file/d/1TB7M2ZYEvMGNk2wqQvegExvWmfQ0Krxp/view?usp=sharing</t>
  </si>
  <si>
    <t>Progress</t>
  </si>
  <si>
    <t>Progreso</t>
  </si>
  <si>
    <t>app-bookmark</t>
  </si>
  <si>
    <t>https://drive.google.com/file/d/1n7wQ5kWCqrKoHHnaTnIOOFGuRohlLlzY/view?usp=sharing</t>
  </si>
  <si>
    <t>Bookmark</t>
  </si>
  <si>
    <t>app-update-status</t>
  </si>
  <si>
    <t>https://drive.google.com/file/d/1QotFvSQqkl5K_8x0CRPVr_9ktgddNDPC/view?usp=sharing
https://drive.google.com/file/d/1UG-vNQWh9Ick9GyDETObVo4AmYypQUsw/view?usp=sharing</t>
  </si>
  <si>
    <t>Update Status</t>
  </si>
  <si>
    <t>Actualizar Estado</t>
  </si>
  <si>
    <t>app-add-priority</t>
  </si>
  <si>
    <t>https://drive.google.com/file/d/1asc0CXaZJSxwKY8_cA4G3FZMgmNX_3VI/view?usp=sharing</t>
  </si>
  <si>
    <t>Add Priority</t>
  </si>
  <si>
    <t>Añadir Prioridad</t>
  </si>
  <si>
    <t>app-set-a-due-date</t>
  </si>
  <si>
    <t>https://drive.google.com/file/d/19BQjcL-X41WqcPKKs9UQPqtkEmEEJuw_/view?usp=sharing</t>
  </si>
  <si>
    <t>Set a Due Date</t>
  </si>
  <si>
    <t>Establecer Fecha de Vencimiento</t>
  </si>
  <si>
    <t>app-january</t>
  </si>
  <si>
    <t>https://drive.google.com/file/d/10T4faEn00X_fJiy4-mvXQY1Rz92tenPy/view?usp=sharing</t>
  </si>
  <si>
    <t>app-february</t>
  </si>
  <si>
    <t>app-march</t>
  </si>
  <si>
    <t>app-april</t>
  </si>
  <si>
    <t>app-june</t>
  </si>
  <si>
    <t>app-july</t>
  </si>
  <si>
    <t>app-august</t>
  </si>
  <si>
    <t>app-september</t>
  </si>
  <si>
    <t>app-october</t>
  </si>
  <si>
    <t>app-november</t>
  </si>
  <si>
    <t>app-december</t>
  </si>
  <si>
    <t>app-sun</t>
  </si>
  <si>
    <t>app-mon</t>
  </si>
  <si>
    <t>app-tue</t>
  </si>
  <si>
    <t>app-wed</t>
  </si>
  <si>
    <t>https://drive.google.com/file/d/1xE4LKTnRM1CGm5M0pbSRV5BvDBQPSyr_/view?usp=sharing</t>
  </si>
  <si>
    <t>app-thu</t>
  </si>
  <si>
    <t>app-fri</t>
  </si>
  <si>
    <t>app-sat</t>
  </si>
  <si>
    <t>app-assign-user</t>
  </si>
  <si>
    <t>https://drive.google.com/file/d/1IiNP5XAB9Iy6euTMKXIyjUCAbgOc5SMZ/view?usp=sharing</t>
  </si>
  <si>
    <t>Assign User</t>
  </si>
  <si>
    <t>Asignar Usuario</t>
  </si>
  <si>
    <t>app-search</t>
  </si>
  <si>
    <t>app-load-from-template</t>
  </si>
  <si>
    <t>https://drive.google.com/file/d/1dr0u2gFTC7fK7axKhBWOoQTmgsJUQowh/view?usp=sharing</t>
  </si>
  <si>
    <t>Load from Template</t>
  </si>
  <si>
    <t>Cargar desde Plantilla</t>
  </si>
  <si>
    <t>app-select-or-create-template</t>
  </si>
  <si>
    <t>Select Template or Create new Template</t>
  </si>
  <si>
    <t>Seleccionar Plantilla o Crear nueva Plantilla</t>
  </si>
  <si>
    <t>app-include-in-template</t>
  </si>
  <si>
    <t>Include in Template</t>
  </si>
  <si>
    <t>Incluir en Plantilla</t>
  </si>
  <si>
    <t>app-everything</t>
  </si>
  <si>
    <t>app-custom</t>
  </si>
  <si>
    <t>Custom</t>
  </si>
  <si>
    <t>Personalizado</t>
  </si>
  <si>
    <t>https://drive.google.com/file/d/1UI3wNoRCY6EDvarpEeCfEfFHyQL36ShY/view?usp=sharing</t>
  </si>
  <si>
    <t>app-attchements</t>
  </si>
  <si>
    <t>app-checklists</t>
  </si>
  <si>
    <t>https://drive.google.com/file/d/1i6UGoZZPe1A0VxhvW_g33SIuzn2JJNkK/view?usp=sharing</t>
  </si>
  <si>
    <t>app-watchers</t>
  </si>
  <si>
    <t>Watchers</t>
  </si>
  <si>
    <t>Observadores</t>
  </si>
  <si>
    <t>https://drive.google.com/file/d/1fvP8OE0PTdgpi5uDrRZ3r5PnMPCFTL2Y/view?usp=sharing</t>
  </si>
  <si>
    <t>https://drive.google.com/file/d/1PzKqqZ4vEHNEtF0K35YYQYiiiafe3ViM/view?usp=sharing</t>
  </si>
  <si>
    <t>https://drive.google.com/file/d/1MhJFFviJ1m-w2Q4Rr4qbaR-1j2IfSUyD/view?usp=sharing</t>
  </si>
  <si>
    <t>app-load-template</t>
  </si>
  <si>
    <t>Load Template</t>
  </si>
  <si>
    <t>Cargar Plantilla</t>
  </si>
  <si>
    <t>app-add-tags</t>
  </si>
  <si>
    <t>https://drive.google.com/file/d/1rAEC21sKIeow4pmmWRmfzhMDfLZRXgpP/view?usp=sharing</t>
  </si>
  <si>
    <t>Add Tags</t>
  </si>
  <si>
    <t>Añadir Etiquetas</t>
  </si>
  <si>
    <t>app-search-create-tags</t>
  </si>
  <si>
    <t>Search/ create tags</t>
  </si>
  <si>
    <t>Buscar/ crear etiquetas</t>
  </si>
  <si>
    <t>app-follow-tickets</t>
  </si>
  <si>
    <t>https://drive.google.com/file/d/1sBddaVOmTQWAa42MWHf5uVWey-hRYIIJ/view?usp=sharing</t>
  </si>
  <si>
    <t>Follow Tickets</t>
  </si>
  <si>
    <t>Seguir Tickets</t>
  </si>
  <si>
    <t>app-add-users</t>
  </si>
  <si>
    <t>https://drive.google.com/file/d/1wm5HWJBVsemLGt-ZJqdjsuno4tBXgIna/view?usp=sharing</t>
  </si>
  <si>
    <t>Add Users</t>
  </si>
  <si>
    <t>Añadir Usuarios</t>
  </si>
  <si>
    <t>app-search-user-name</t>
  </si>
  <si>
    <t>Search User Name</t>
  </si>
  <si>
    <t>Buscar Nombre de Usuario</t>
  </si>
  <si>
    <t>app-add-teams</t>
  </si>
  <si>
    <t>https://drive.google.com/file/d/1nXqvzP0NbbiEfl3r22dfj_5AUzfKtr6y/view?usp=sharing</t>
  </si>
  <si>
    <t>Add Teams</t>
  </si>
  <si>
    <t>Añadir Equipos</t>
  </si>
  <si>
    <t>app-search-teams</t>
  </si>
  <si>
    <t>https://drive.google.com/file/d/1nf6iPUbSiA_MakaYiyUyT82The9cQW0t/view?usp=sharing</t>
  </si>
  <si>
    <t>app-read</t>
  </si>
  <si>
    <t>Read</t>
  </si>
  <si>
    <t>Lectura</t>
  </si>
  <si>
    <t>app-write</t>
  </si>
  <si>
    <t>Write</t>
  </si>
  <si>
    <t>Escritura</t>
  </si>
  <si>
    <t>app-show-users</t>
  </si>
  <si>
    <t>Show Users</t>
  </si>
  <si>
    <t>Mostrar Usuarios</t>
  </si>
  <si>
    <t>https://drive.google.com/file/d/17vYJ71JA8jTEsVnQych7qXztmCGfhhZD/view?usp=sharing</t>
  </si>
  <si>
    <t>少なく表示</t>
  </si>
  <si>
    <t>app-show-all</t>
  </si>
  <si>
    <t>https://drive.google.com/file/d/1XfOo_YIetSZkQIXEE2nWlo2XkizpODuT/view?usp=sharing</t>
  </si>
  <si>
    <t>Mostrar todos</t>
  </si>
  <si>
    <t>全て表示</t>
  </si>
  <si>
    <t>app-add-bookmark</t>
  </si>
  <si>
    <t>https://drive.google.com/file/d/1Tdyv9Qne3m-iUWa1khu2kUyOWgIlNN9s/view?usp=sharing</t>
  </si>
  <si>
    <t>Add Bookmark</t>
  </si>
  <si>
    <t>Añadir a Favoritos</t>
  </si>
  <si>
    <t>app-archive-selected</t>
  </si>
  <si>
    <t>https://drive.google.com/file/d/1JrDunFsP2xJdrHDONUht6WHXgizFX2OF/view?usp=sharing</t>
  </si>
  <si>
    <t>Archive Selected</t>
  </si>
  <si>
    <t>Archivar Seleccionados</t>
  </si>
  <si>
    <t>app-delete-selected</t>
  </si>
  <si>
    <t>https://drive.google.com/file/d/1atzINl6S_B_CjIGpu1Hfr6MQLNg6fYmm/view?usp=sharing</t>
  </si>
  <si>
    <t>Delete Selected</t>
  </si>
  <si>
    <t>Eliminar Seleccionados</t>
  </si>
  <si>
    <t xml:space="preserve">app-delete </t>
  </si>
  <si>
    <t>https://drive.google.com/file/d/1AvwSlEHyz2sQQg29KUWCIDIExqYWB57b/view?usp=sharing</t>
  </si>
  <si>
    <t>app-text-delete-multple-ticket-confirmation</t>
  </si>
  <si>
    <t>https://drive.google.com/file/d/1C6WZ-Y0WrVMroUKpoGU9MWWo02_t6-OM/view?usp=sharing</t>
  </si>
  <si>
    <t>Are you sure you want to delete multiple tickets?</t>
  </si>
  <si>
    <t>¿Estás seguro que deseas eliminar este grupo de tickets?</t>
  </si>
  <si>
    <t>app-this-action-cannot-be-undone</t>
  </si>
  <si>
    <t>This action can not be undone</t>
  </si>
  <si>
    <t>Esta acción no se puede deshacer</t>
  </si>
  <si>
    <t>https://drive.google.com/file/d/11mBu__EbJtWGBBZpf8NgRFuvJDWk6t_S/view?usp=sharing</t>
  </si>
  <si>
    <t>app-new-ticket-name</t>
  </si>
  <si>
    <t>https://drive.google.com/file/d/1xw6Q57_OOR71dLeF9PnjP6SKP2lrLC0n/view?usp=sharing</t>
  </si>
  <si>
    <t>New Ticket Name</t>
  </si>
  <si>
    <t>Nuevo Título del Ticket</t>
  </si>
  <si>
    <t>app-what-do-you-want-to-copy</t>
  </si>
  <si>
    <t>What do you want to copy?</t>
  </si>
  <si>
    <t>¿Qué deseas copiar?</t>
  </si>
  <si>
    <t>https://drive.google.com/file/d/1mTlXsuMMtyUO_B710Oo00oVv2JvjflaP/view?usp=sharing</t>
  </si>
  <si>
    <t>app-recurrence</t>
  </si>
  <si>
    <t>https://drive.google.com/file/d/1X-YuKAW48jUSEZcYZ8Z-KnfGU1Nv3NUO/view?usp=sharing</t>
  </si>
  <si>
    <t>Recurrence</t>
  </si>
  <si>
    <t>Recurrencia</t>
  </si>
  <si>
    <t>https://drive.google.com/file/d/1Z4rxcWcoFdub3RoqcqLyp-WHAxzhaPF0/view?usp=sharing</t>
  </si>
  <si>
    <t>https://drive.google.com/file/d/1xlk4We3tE2kjPVQSgsvT5b7kplAkQRPx/view?usp=sharing</t>
  </si>
  <si>
    <t>app-assign-followers</t>
  </si>
  <si>
    <t>Assign Followers</t>
  </si>
  <si>
    <t>Asignar Seguidores</t>
  </si>
  <si>
    <t>app-duplicate-ticket</t>
  </si>
  <si>
    <t>https://drive.google.com/file/d/1ppOsihjF5psN3l8c_q9K67CKXUd3eQXq/view</t>
  </si>
  <si>
    <t>Duplicate Ticket</t>
  </si>
  <si>
    <t>Duplicar Ticket</t>
  </si>
  <si>
    <t>app-copy-url</t>
  </si>
  <si>
    <t>https://drive.google.com/file/d/1ykH-l9hLL2vBdPOdjqTr1Am6EgceYKvk/view?usp=sharing</t>
  </si>
  <si>
    <t>Copy URL</t>
  </si>
  <si>
    <t>Copiar URL</t>
  </si>
  <si>
    <t>app-copied-to-clipboard</t>
  </si>
  <si>
    <t>https://drive.google.com/file/d/1s0foudL2IdFflCDslYshmz1YqMRKWSUj/view?usp=sharing</t>
  </si>
  <si>
    <t>Copied to clipboard</t>
  </si>
  <si>
    <t>Copiado al portapapeles</t>
  </si>
  <si>
    <t>クリックボードにコピー</t>
  </si>
  <si>
    <t>app-archive</t>
  </si>
  <si>
    <t>https://drive.google.com/file/d/1Z6Zi6N4Wxyjl_LHoN5Uadu4G8NHn8r_W/view?usp=sharing</t>
  </si>
  <si>
    <t>Archive</t>
  </si>
  <si>
    <t>Archivar</t>
  </si>
  <si>
    <t>https://drive.google.com/file/d/132HebmtUsalE97QPfw_OFx0Umq-7H4gz/view?usp=sharing</t>
  </si>
  <si>
    <t>app-check-this-out</t>
  </si>
  <si>
    <t>https://drive.google.com/file/d/1fEXb78aYa6wYwMRy3KfMm88rGlf2sYOg/view?usp=sharing</t>
  </si>
  <si>
    <t>Check this out</t>
  </si>
  <si>
    <t>Antes revisa esto</t>
  </si>
  <si>
    <t>app-text-delete-ticket-confirmation</t>
  </si>
  <si>
    <t>Are you sure you want to delete the Ticket?</t>
  </si>
  <si>
    <t>¿Estás seguro que deseas eliminar este Ticket?</t>
  </si>
  <si>
    <t>app-pin-ticket</t>
  </si>
  <si>
    <t>https://drive.google.com/file/d/1ECb3ial1iIhFkw0UtSwOnR3TLqvTgeDl/view?usp=sharing</t>
  </si>
  <si>
    <t>Pin Ticket</t>
  </si>
  <si>
    <t>Fijar Ticket</t>
  </si>
  <si>
    <t>app-unpin-ticket</t>
  </si>
  <si>
    <t>https://drive.google.com/file/d/1X9-LrcRVtW6iWa5Fzj4MwSK6D1jwfQRU/view?usp=sharing</t>
  </si>
  <si>
    <t>Unpin Ticket</t>
  </si>
  <si>
    <t>Desfijar Ticket</t>
  </si>
  <si>
    <t>チケットのピンを外す</t>
  </si>
  <si>
    <t>app-download-attachments</t>
  </si>
  <si>
    <t>https://drive.google.com/file/d/1Zi1IfOtVaKUCVneRcwCTUMB8DncNy33H/view?usp=sharing</t>
  </si>
  <si>
    <t>Download Attachments</t>
  </si>
  <si>
    <t>Descargar Archivos Adjuntos</t>
  </si>
  <si>
    <t>app-text-no-attachments</t>
  </si>
  <si>
    <t>https://drive.google.com/file/d/12gSFvZvIyj4aiH4xbTrtSHWdkmrm08Cr/view?usp=sharing</t>
  </si>
  <si>
    <t>This ticket does not have any attachments!</t>
  </si>
  <si>
    <t>¡Este ticket no tiene archivos adjuntos para descargar!</t>
  </si>
  <si>
    <t>https://drive.google.com/file/d/1Iv9nmXuR1HgMyxL0S2fi9k3tljCfZOb_/view?usp=sharing</t>
  </si>
  <si>
    <t>app-completed</t>
  </si>
  <si>
    <t>https://drive.google.com/file/d/1qlTAOdotSFqAyyiaGQ6jIjzg5fZAM2WE/view?usp=sharing</t>
  </si>
  <si>
    <t>Completed!</t>
  </si>
  <si>
    <t>¡Completado!</t>
  </si>
  <si>
    <t>app-taken-up</t>
  </si>
  <si>
    <t>https://drive.google.com/file/d/1RXN81XjgInTt9GN4x-tfPjr0c3xQ-m4Z/view?usp=sharing</t>
  </si>
  <si>
    <t>Aceptar Ticket</t>
  </si>
  <si>
    <t>app-give-up</t>
  </si>
  <si>
    <t>https://drive.google.com/file/d/1fLo7HgIbwhoYL3_P_RXuGHWF73N135iC/view?usp=sharing</t>
  </si>
  <si>
    <t>Abandonar Ticket</t>
  </si>
  <si>
    <t>https://drive.google.com/file/d/14X9WcVz__rtTUrCRdRJNb9sqZpE4_JKQ/view?usp=sharing</t>
  </si>
  <si>
    <t>https://drive.google.com/file/d/13n458tc-gXW1b6mph7OY9PB3dJCf-BFH/view?usp=sharing</t>
  </si>
  <si>
    <t>app-share-with</t>
  </si>
  <si>
    <t>https://drive.google.com/file/d/1kaLNglUjtqgJRSVmI14TfthhWj9zkvrT/view?usp=sharing</t>
  </si>
  <si>
    <t>Share with</t>
  </si>
  <si>
    <t>Compartir con</t>
  </si>
  <si>
    <t>app-only-me</t>
  </si>
  <si>
    <t>Only Me</t>
  </si>
  <si>
    <t>Solo Conmigo</t>
  </si>
  <si>
    <t>app-all-members</t>
  </si>
  <si>
    <t>All Members</t>
  </si>
  <si>
    <t>Todos los Miembros</t>
  </si>
  <si>
    <t>app-select-people</t>
  </si>
  <si>
    <t>Select People</t>
  </si>
  <si>
    <t>Seleccionar Usuarios</t>
  </si>
  <si>
    <t>https://drive.google.com/file/d/1saMCLIClnhs2lb35qIallW-if5hJLDmf/view?usp=sharing</t>
  </si>
  <si>
    <t>https://drive.google.com/file/d/17GOKZgtFV0fGBCHm8NDNobJEaaEjeYSZ/view?usp=sharing</t>
  </si>
  <si>
    <t>app-attachments</t>
  </si>
  <si>
    <t>https://drive.google.com/file/d/1uXY5Klwgl2u-5nZ45MojYb8oaPZJZCMO/view?usp=sharing</t>
  </si>
  <si>
    <t>https://drive.google.com/file/d/1JxxIEXKcR5-2BuPT4Hp6niC2N9KWUB_K/view?usp=sharing</t>
  </si>
  <si>
    <t>https://drive.google.com/file/d/1bEbQq0Y0CrbztfbqXsxWDHLHJo2-J8Ld/view?usp=sharing</t>
  </si>
  <si>
    <t>https://drive.google.com/file/d/1Gmaj2af7UQ84IWL5x3bUJspA4lrxutD_/view?usp=sharing</t>
  </si>
  <si>
    <t>https://drive.google.com/file/d/1I4e-4H2NnE_JuQHkAbfvut6GeU2ca-Dq/view?usp=sharing</t>
  </si>
  <si>
    <t>https://drive.google.com/file/d/1UJYToHhtrnHNsnaUKNyrEcrxzie56NHf/view?usp=sharing</t>
  </si>
  <si>
    <t>https://drive.google.com/file/d/1uaTKOUfHL7XFN5xtUTK5V1pNulIQfPBL/view?usp=sharing</t>
  </si>
  <si>
    <t>Dashboard</t>
  </si>
  <si>
    <t>Panel de Control</t>
  </si>
  <si>
    <t>Terra / テラ</t>
  </si>
  <si>
    <t>Project Management</t>
  </si>
  <si>
    <t>Administración</t>
  </si>
  <si>
    <t>ユーザー</t>
  </si>
  <si>
    <t>Asset Dashboard</t>
  </si>
  <si>
    <t>Panel de Activos</t>
  </si>
  <si>
    <t>app-all-entities</t>
  </si>
  <si>
    <t>All Entities</t>
  </si>
  <si>
    <t>Todas las Entidades</t>
  </si>
  <si>
    <t>全ての案件</t>
  </si>
  <si>
    <t>app-solar</t>
  </si>
  <si>
    <t>Solar</t>
  </si>
  <si>
    <t>app-construction</t>
  </si>
  <si>
    <t>Construction</t>
  </si>
  <si>
    <t>Construcción</t>
  </si>
  <si>
    <t>app-entity</t>
  </si>
  <si>
    <t>Entity</t>
  </si>
  <si>
    <t>Entidad</t>
  </si>
  <si>
    <t>案件名</t>
  </si>
  <si>
    <t>Group By: All</t>
  </si>
  <si>
    <t>Agrupar por: Todos</t>
  </si>
  <si>
    <t>Sort by: None</t>
  </si>
  <si>
    <t>Ordenar por: Ninguno</t>
  </si>
  <si>
    <t>New Asset</t>
  </si>
  <si>
    <t>Nuevo Activo</t>
  </si>
  <si>
    <t>新規案件作成</t>
  </si>
  <si>
    <t>https://drive.google.com/file/d/1LsrhZCdGGFdTgT9v3Q1APAgm-FnA5SHR/view?usp=sharing</t>
  </si>
  <si>
    <t>Assets Dashboard</t>
  </si>
  <si>
    <t>Tablero de Activos</t>
  </si>
  <si>
    <t>No assets found</t>
  </si>
  <si>
    <t>No se encontraron activos</t>
  </si>
  <si>
    <t>案件が見つかりません</t>
  </si>
  <si>
    <t>Create New Asset</t>
  </si>
  <si>
    <t>Crear Nuevo Activo</t>
  </si>
  <si>
    <t>https://drive.google.com/file/d/1uXj-5zV-6raGkhtqKiqU4Q_SoIV5UwFM/view?usp=sharing</t>
  </si>
  <si>
    <t>Create Asset for</t>
  </si>
  <si>
    <t>Crear Activo para</t>
  </si>
  <si>
    <t>次の案件を作成</t>
  </si>
  <si>
    <t>Select Asset Type</t>
  </si>
  <si>
    <t>Seleccionar Tipo de Activo</t>
  </si>
  <si>
    <t>案件タイプを選択</t>
  </si>
  <si>
    <t>Select Entity</t>
  </si>
  <si>
    <t>Seleccionar Entidad</t>
  </si>
  <si>
    <t>案件を選択</t>
  </si>
  <si>
    <t>Select Owner</t>
  </si>
  <si>
    <t>Seleccionar Propietario</t>
  </si>
  <si>
    <t>https://drive.google.com/file/d/1KOt-s-Y3-hq-nj35ht8dHQbW4wgdIRnf/view?usp=sharing</t>
  </si>
  <si>
    <t>Enter Tags</t>
  </si>
  <si>
    <t>Ingresar Etiquetas</t>
  </si>
  <si>
    <t>app-search-organization</t>
  </si>
  <si>
    <t>https://drive.google.com/file/d/1t6dd_9WYztv-SHwnlHkYzK89MSwCAIeJ/view?usp=sharing</t>
  </si>
  <si>
    <t>Search Organization</t>
  </si>
  <si>
    <t>Buscar Organización</t>
  </si>
  <si>
    <t>https://drive.google.com/file/d/1egtwhLHieIryK9Uwzty-WRhvnJgHNbZO/view?usp=sharing</t>
  </si>
  <si>
    <t>app-type</t>
  </si>
  <si>
    <t>Type</t>
  </si>
  <si>
    <t>Tipo</t>
  </si>
  <si>
    <t>app-access-denied</t>
  </si>
  <si>
    <t>https://drive.google.com/file/d/1V2pRBbl_wEI6UgW0TyTdV2fHcNaUxZra/view?usp=sharing</t>
  </si>
  <si>
    <t>Access Denied</t>
  </si>
  <si>
    <t>Acceso denegado</t>
  </si>
  <si>
    <t>app-text-request-access</t>
  </si>
  <si>
    <t xml:space="preserve">Oops! You don't have enough permissions to access the feature/functionality. Your administrator  should be able to give you access to this feature if registered. Want this feature to enable for your organization? </t>
  </si>
  <si>
    <t>¡Oops! No tiene suficientes permisos para acceder a esa característica o función. El administrador debería poder darle acceso a esta característica si está registrada. ¿Quiere habilitar esa característica para su organización?</t>
  </si>
  <si>
    <t>app-request-access</t>
  </si>
  <si>
    <t>Request Access</t>
  </si>
  <si>
    <t>Solicitar Acceso</t>
  </si>
  <si>
    <t>アクセス申請</t>
  </si>
  <si>
    <t>app-core</t>
  </si>
  <si>
    <t>https://drive.google.com/file/d/1CEDO9z6pis80XKHARrtm39w9Ct-MrasV/view?usp=sharing</t>
  </si>
  <si>
    <t>Core</t>
  </si>
  <si>
    <t>app-missions</t>
  </si>
  <si>
    <t>Misiones</t>
  </si>
  <si>
    <t>app-processing</t>
  </si>
  <si>
    <t>Processing</t>
  </si>
  <si>
    <t>Procesamiento</t>
  </si>
  <si>
    <t>https://drive.google.com/file/d/1AvfkFDWDns83I_HjSkYzL2FIqef1byvi/view?usp=sharing</t>
  </si>
  <si>
    <t>app-no-pages-pinned</t>
  </si>
  <si>
    <t>No pages pinned</t>
  </si>
  <si>
    <t>Ninguna página está fijada</t>
  </si>
  <si>
    <t>app-text-pinned-help</t>
  </si>
  <si>
    <t>Access pages directly with a single click by using pins. Go to a page and click on the top right to access instantly.</t>
  </si>
  <si>
    <t xml:space="preserve">Acceda a páginas directamente con un simple clic utilizando pins. Vaya a la página y haga clic en la esquina superior derecha para acceder al instante. </t>
  </si>
  <si>
    <t>app-invite-users</t>
  </si>
  <si>
    <t>https://drive.google.com/file/d/1HtXJTghAQCQ0zcfVR927a0Zo_EE4lOvE/view?usp=sharing</t>
  </si>
  <si>
    <t>Invite Users</t>
  </si>
  <si>
    <t>Invite Usuarios</t>
  </si>
  <si>
    <t>app-invite-new-users</t>
  </si>
  <si>
    <t>Invite New Users</t>
  </si>
  <si>
    <t>Invite Usuarios Nuevos</t>
  </si>
  <si>
    <t>app-text-user-invite-info</t>
  </si>
  <si>
    <t>Users will receive an email to signup to your organization</t>
  </si>
  <si>
    <t>Los usuarios recibirán un correo para registrarse en su organización</t>
  </si>
  <si>
    <t>app-text-guest-invite-info</t>
  </si>
  <si>
    <t>Invite users from other organizations</t>
  </si>
  <si>
    <t>Invite usuarios de otras organizaciones</t>
  </si>
  <si>
    <t>app-text-guest-invite-help</t>
  </si>
  <si>
    <t xml:space="preserve">Users from other organizations will be added as a guest  in your organization, you can add them to resources/teams as usual. </t>
  </si>
  <si>
    <t xml:space="preserve">Usuarios de otras organizaciones se añadirán a su organización como invitados. Podrán ser agregados a los recursos y equipos como invitados usuales. </t>
  </si>
  <si>
    <t>https://drive.google.com/file/d/1TTcf8w1-dtRcB89J_qP-6TTTjP6pAAqg/view?usp=sharing</t>
  </si>
  <si>
    <t>Type email address and press enter</t>
  </si>
  <si>
    <t>Escriba la dirección de correo electrónico y presione enter</t>
  </si>
  <si>
    <t>メールアドレスを入力してenterを押してください</t>
  </si>
  <si>
    <t>Name (Optional)</t>
  </si>
  <si>
    <t>Nombre (Opcional)</t>
  </si>
  <si>
    <t>名前（オプション）</t>
  </si>
  <si>
    <t>Type Name</t>
  </si>
  <si>
    <t>Escriba el Nombre</t>
  </si>
  <si>
    <t>名前を入力してください</t>
  </si>
  <si>
    <t>Note</t>
  </si>
  <si>
    <t>Nota</t>
  </si>
  <si>
    <t>注記</t>
  </si>
  <si>
    <t>https://drive.google.com/file/d/1rHClOClG8tqu4-rzcMtMfTefZutuXePO/view?usp=sharing</t>
  </si>
  <si>
    <t>https://drive.google.com/file/d/1ujY_YECmt1uyPJB7kni-knyXHzjIbZOs/view?usp=sharing</t>
  </si>
  <si>
    <t>Users from other organizations will be added as a guest in your organization, you can add them to resources/teams as usual.</t>
  </si>
  <si>
    <t>Usuarios de otras organizaciones se añadirán a su organización como invitados. Podrán ser agregados a los recursos y equipos como invitados usuales.</t>
  </si>
  <si>
    <t>別の組織のユーザーはあなたの組織にゲストとして追加されます。通常どおりリソース／チームに追加可能です。</t>
  </si>
  <si>
    <t>Invite Guest Users</t>
  </si>
  <si>
    <t>ゲストユーザーを招待</t>
  </si>
  <si>
    <t>app-new-assets</t>
  </si>
  <si>
    <t>https://drive.google.com/file/d/1_ZecE_SyYUgexdQy3Zd7oyLNeJElL1rw/view?usp=sharing</t>
  </si>
  <si>
    <t>New Assets</t>
  </si>
  <si>
    <t>Nuevos Activos</t>
  </si>
  <si>
    <t>新規案件</t>
  </si>
  <si>
    <t>app-new-group</t>
  </si>
  <si>
    <t>New Group</t>
  </si>
  <si>
    <t>Nuevo Grupo</t>
  </si>
  <si>
    <t>app-new-container</t>
  </si>
  <si>
    <t>New container</t>
  </si>
  <si>
    <t>Nuevo Contenedor</t>
  </si>
  <si>
    <t>app-create-group-for</t>
  </si>
  <si>
    <t>https://drive.google.com/file/d/1SQkI2Vma4-0YNvE1uorPQtseLepgEYoK/view?usp=sharing</t>
  </si>
  <si>
    <t>Create Group for</t>
  </si>
  <si>
    <t>Crear Grupo para</t>
  </si>
  <si>
    <t>app-description</t>
  </si>
  <si>
    <t>Description</t>
  </si>
  <si>
    <t>Descripción</t>
  </si>
  <si>
    <t>app-select-asset</t>
  </si>
  <si>
    <t>Select Asset</t>
  </si>
  <si>
    <t>Seleccionar Activo</t>
  </si>
  <si>
    <t>https://drive.google.com/file/d/1OG21ocVyW_O3enW__bfQUaBVGMCNQ9rS/view?usp=sharing</t>
  </si>
  <si>
    <t>app-advanced-option</t>
  </si>
  <si>
    <t>https://drive.google.com/file/d/1L1ZVrv7BBG3A1t_Arb13FCjBcEpbd9Ck/view?usp=sharing</t>
  </si>
  <si>
    <t>Advanced Option</t>
  </si>
  <si>
    <t>Opciones Avanzadas</t>
  </si>
  <si>
    <t>app-save-changes</t>
  </si>
  <si>
    <t>Save Changes</t>
  </si>
  <si>
    <t>Guardar Cambios</t>
  </si>
  <si>
    <t>app-group-color-icon</t>
  </si>
  <si>
    <t>Group/Color Icon</t>
  </si>
  <si>
    <t>Color de Grupo / Ícono</t>
  </si>
  <si>
    <t>app-or</t>
  </si>
  <si>
    <t>Or</t>
  </si>
  <si>
    <t>O</t>
  </si>
  <si>
    <t>app-upload-icon</t>
  </si>
  <si>
    <t>Upload Icon</t>
  </si>
  <si>
    <t>Cargar Ícono</t>
  </si>
  <si>
    <t>https://drive.google.com/file/d/16tPWOI0kWOp9uFhATwMiNTt8RwkrSoGw/view?usp=sharing</t>
  </si>
  <si>
    <t>Create Container for</t>
  </si>
  <si>
    <t>Crear Contenedor para</t>
  </si>
  <si>
    <t>次のコンテナを作成</t>
  </si>
  <si>
    <t>https://drive.google.com/file/d/18KysRnBPsIBRo0PBMj_Kta3-4AxHTweq/view?usp=sharing</t>
  </si>
  <si>
    <t>app-enter-tags</t>
  </si>
  <si>
    <t>Half-Yearly</t>
  </si>
  <si>
    <t>Semestral</t>
  </si>
  <si>
    <t>Preventative</t>
  </si>
  <si>
    <t>Preventiva</t>
  </si>
  <si>
    <t>Evacuation Line</t>
  </si>
  <si>
    <t>Línea de Evacuación</t>
  </si>
  <si>
    <t>Check</t>
  </si>
  <si>
    <t>Verificar</t>
  </si>
  <si>
    <t>Topography</t>
  </si>
  <si>
    <t>Topografía</t>
  </si>
  <si>
    <t>Design</t>
  </si>
  <si>
    <t>Diseño</t>
  </si>
  <si>
    <t>Barcode</t>
  </si>
  <si>
    <t>Código de Barras</t>
  </si>
  <si>
    <t>Utility</t>
  </si>
  <si>
    <t>Parque FV</t>
  </si>
  <si>
    <t>Rooftop</t>
  </si>
  <si>
    <t>Tejado FV</t>
  </si>
  <si>
    <t>Corrective</t>
  </si>
  <si>
    <t>Correctivo</t>
  </si>
  <si>
    <t>Configuration</t>
  </si>
  <si>
    <t>Fortnightly</t>
  </si>
  <si>
    <t>Quincenal</t>
  </si>
  <si>
    <t>Site Selection</t>
  </si>
  <si>
    <t>Seleccionar emplazamiento</t>
  </si>
  <si>
    <t>Development</t>
  </si>
  <si>
    <t>Desarrollo</t>
  </si>
  <si>
    <t>General</t>
  </si>
  <si>
    <t>Finance</t>
  </si>
  <si>
    <t>Financiero</t>
  </si>
  <si>
    <t>RoW Obtained (ROW Right of way)</t>
  </si>
  <si>
    <t>Servidumbre disponible</t>
  </si>
  <si>
    <t>Quality</t>
  </si>
  <si>
    <t>Calidad</t>
  </si>
  <si>
    <t>Mechanical</t>
  </si>
  <si>
    <t>Mecánico</t>
  </si>
  <si>
    <t>Good for construction</t>
  </si>
  <si>
    <t>Válido para construcción</t>
  </si>
  <si>
    <t>Warranty</t>
  </si>
  <si>
    <t>Garantía</t>
  </si>
  <si>
    <t>Broken</t>
  </si>
  <si>
    <t>Averiado</t>
  </si>
  <si>
    <t>D&amp;E</t>
  </si>
  <si>
    <t>Ingeniería</t>
  </si>
  <si>
    <t>Quarterly</t>
  </si>
  <si>
    <t>Trimestral</t>
  </si>
  <si>
    <t xml:space="preserve">Miscellaneous </t>
  </si>
  <si>
    <t>Misceláneo</t>
  </si>
  <si>
    <t>Electrical</t>
  </si>
  <si>
    <t>Eléctrico</t>
  </si>
  <si>
    <t>Nevada</t>
  </si>
  <si>
    <t>Nieve</t>
  </si>
  <si>
    <t>Fixed Tilt</t>
  </si>
  <si>
    <t>Inclinación fija</t>
  </si>
  <si>
    <t>Gas Mains</t>
  </si>
  <si>
    <t>Gasoducto</t>
  </si>
  <si>
    <t>Structural</t>
  </si>
  <si>
    <t>Estructural</t>
  </si>
  <si>
    <t>Civil</t>
  </si>
  <si>
    <t>Manual</t>
  </si>
  <si>
    <t>Module</t>
  </si>
  <si>
    <t>Módulo</t>
  </si>
  <si>
    <t>Feasibility Study</t>
  </si>
  <si>
    <t>Estudio de Factibilidad</t>
  </si>
  <si>
    <t>Module Replacement</t>
  </si>
  <si>
    <t>Reemplazo de Módulo</t>
  </si>
  <si>
    <t>String Issue</t>
  </si>
  <si>
    <t>Fallo de string</t>
  </si>
  <si>
    <t>Tracker</t>
  </si>
  <si>
    <t>Field Inspection</t>
  </si>
  <si>
    <t>Inspección de Campo</t>
  </si>
  <si>
    <t>https://drive.google.com/file/d/1acY0OgKqHTGRiO0B3y9hngH0P4QxaF89/view?usp=sharing</t>
  </si>
  <si>
    <t>Hi Francisco</t>
  </si>
  <si>
    <t>Hola Francisco</t>
  </si>
  <si>
    <t>Ask us anyting, or share your feedback</t>
  </si>
  <si>
    <t>Pregúntenos lo que sea, o comparta sus comentarios</t>
  </si>
  <si>
    <t>Start a Conversation</t>
  </si>
  <si>
    <t>Inicie una conversación</t>
  </si>
  <si>
    <t>We'll be back online</t>
  </si>
  <si>
    <t>Estaremos de regreso online</t>
  </si>
  <si>
    <t>Send us a message</t>
  </si>
  <si>
    <t>Envíenos un mensaje</t>
  </si>
  <si>
    <t>See all your conversations</t>
  </si>
  <si>
    <t>Vea todas sus conversaciones</t>
  </si>
  <si>
    <t>Find your answer now</t>
  </si>
  <si>
    <t>Busque su respuesta ya</t>
  </si>
  <si>
    <t>https://drive.google.com/file/d/1UyN6KBcVxrnJTtw6Mi9m9jNxMaoJPcNI/view?usp=sharing</t>
  </si>
  <si>
    <t>Search our article</t>
  </si>
  <si>
    <t>Busque nuestros artículos</t>
  </si>
  <si>
    <t>We run on Intercom</t>
  </si>
  <si>
    <t>Utilizamos Intercom</t>
  </si>
  <si>
    <t>Have a feature request?</t>
  </si>
  <si>
    <t>¿Propone algún cambio?</t>
  </si>
  <si>
    <t>Give Feedback</t>
  </si>
  <si>
    <t>Añadir comentario</t>
  </si>
  <si>
    <t>https://drive.google.com/file/d/1mK2iXkrNkXQEsdHiZsFoTbGT973IeePR/view?usp=sharing</t>
  </si>
  <si>
    <t>Logout</t>
  </si>
  <si>
    <t>Cerrar sesión</t>
  </si>
  <si>
    <t>https://drive.google.com/file/d/1JFbE4fgWHmYgWNGbmuuIGgQwQS5Wt4Qa/view?usp=sharing</t>
  </si>
  <si>
    <t>app-my-profile</t>
  </si>
  <si>
    <t>My Profile</t>
  </si>
  <si>
    <t>Mi Perfil</t>
  </si>
  <si>
    <t>app-organization</t>
  </si>
  <si>
    <t>Organization</t>
  </si>
  <si>
    <t>Organización</t>
  </si>
  <si>
    <t>app-internal</t>
  </si>
  <si>
    <t>Internal</t>
  </si>
  <si>
    <t>Interno</t>
  </si>
  <si>
    <t>app-role</t>
  </si>
  <si>
    <t>Role</t>
  </si>
  <si>
    <t>Rol</t>
  </si>
  <si>
    <t>app-no-teams-assigned</t>
  </si>
  <si>
    <t>No teams assigned</t>
  </si>
  <si>
    <t>No hay equipos asignados</t>
  </si>
  <si>
    <t>app-api-key</t>
  </si>
  <si>
    <t>API Key</t>
  </si>
  <si>
    <t>Clave API</t>
  </si>
  <si>
    <t>app-type-password</t>
  </si>
  <si>
    <t>Type password and press Enter</t>
  </si>
  <si>
    <t>Escriba la contraseña y presione enter</t>
  </si>
  <si>
    <t>app-first-name</t>
  </si>
  <si>
    <t>First Name</t>
  </si>
  <si>
    <t>Nombre</t>
  </si>
  <si>
    <t>app-last-name</t>
  </si>
  <si>
    <t>Last Name</t>
  </si>
  <si>
    <t>Apellido</t>
  </si>
  <si>
    <t>app-email-address</t>
  </si>
  <si>
    <t>Email Address</t>
  </si>
  <si>
    <t>Correo electrónico</t>
  </si>
  <si>
    <t>app-phone-number</t>
  </si>
  <si>
    <t>Phone Number</t>
  </si>
  <si>
    <t>Número Telefónico</t>
  </si>
  <si>
    <t>https://drive.google.com/file/d/1Ri_RKsKvmCx5doYIFPo65pG6Yj6XT4QO/view?usp=sharing</t>
  </si>
  <si>
    <t>app-current-password</t>
  </si>
  <si>
    <t>Current Password</t>
  </si>
  <si>
    <t>Contraseña Actual</t>
  </si>
  <si>
    <t>app-new-password</t>
  </si>
  <si>
    <t>New Password</t>
  </si>
  <si>
    <t>Contraseña Nueva</t>
  </si>
  <si>
    <t>app-confirm-new-password</t>
  </si>
  <si>
    <t>Confirm New Password</t>
  </si>
  <si>
    <t>Confirme la Contraseña Nueva</t>
  </si>
  <si>
    <t>app-update-password</t>
  </si>
  <si>
    <t>Update Password</t>
  </si>
  <si>
    <t>Actualizar Contraseña</t>
  </si>
  <si>
    <t>app-my-login-history</t>
  </si>
  <si>
    <t>My Login History</t>
  </si>
  <si>
    <t>Mi Historial de Inicio de Sesión</t>
  </si>
  <si>
    <t>app-log-out-other-sessions</t>
  </si>
  <si>
    <t>Log out other sessions</t>
  </si>
  <si>
    <t>Cerrar otras sesiones</t>
  </si>
  <si>
    <t>22 hours ago</t>
  </si>
  <si>
    <t>Hace 22 horas</t>
  </si>
  <si>
    <t>app-this-device</t>
  </si>
  <si>
    <t>This Device</t>
  </si>
  <si>
    <t>Este dispositivo</t>
  </si>
  <si>
    <t>https://drive.google.com/file/d/1aNIFupOJxF5tgfNlCI28R3TwwPe0zgxE/view?usp=sharing</t>
  </si>
  <si>
    <t>Mobile Number</t>
  </si>
  <si>
    <t>Número Telefónico Móvil</t>
  </si>
  <si>
    <t>携帯電話番号</t>
  </si>
  <si>
    <t>app-view-details</t>
  </si>
  <si>
    <t>https://drive.google.com/file/d/1VRawg-a_pEukwalh67r__kpxQuVpNyK1/view?usp=sharing</t>
  </si>
  <si>
    <t>View Details</t>
  </si>
  <si>
    <t>Ver Detalles</t>
  </si>
  <si>
    <t>app-view-applications</t>
  </si>
  <si>
    <t>View Applications</t>
  </si>
  <si>
    <t>Ver Aplicaciones</t>
  </si>
  <si>
    <t>app-edit-asset</t>
  </si>
  <si>
    <t>Edit Asset</t>
  </si>
  <si>
    <t>Editar Activo</t>
  </si>
  <si>
    <t>案件を編集</t>
  </si>
  <si>
    <t>app-transfer-ownership</t>
  </si>
  <si>
    <t>Transfer Ownership</t>
  </si>
  <si>
    <t>Transferir Propiedad</t>
  </si>
  <si>
    <t>app-delete-asset</t>
  </si>
  <si>
    <t>Delete Asset</t>
  </si>
  <si>
    <t>Eliminar Activo</t>
  </si>
  <si>
    <t>案件を削除</t>
  </si>
  <si>
    <t>app-asset-disable</t>
  </si>
  <si>
    <t>Asset Disable</t>
  </si>
  <si>
    <t>Inhabilitar Activo</t>
  </si>
  <si>
    <t>案件を無効化</t>
  </si>
  <si>
    <t>app-edit-asset-for</t>
  </si>
  <si>
    <t>https://drive.google.com/file/d/1VK1fRjCTM-Rr_1_zdogs2bLg0vW6NIAS/view?usp=sharing</t>
  </si>
  <si>
    <t>Edit Asset for</t>
  </si>
  <si>
    <t>Editar Activo para</t>
  </si>
  <si>
    <t>app-name-of-asset</t>
  </si>
  <si>
    <t>Name of Asset</t>
  </si>
  <si>
    <t>Nombre de Activo</t>
  </si>
  <si>
    <t>https://drive.google.com/file/d/1PElu2m4w8sWkO2Z_iyrTQi7WApsy4kWY/view?usp=sharing</t>
  </si>
  <si>
    <t>Not Found</t>
  </si>
  <si>
    <t>No Encontrado</t>
  </si>
  <si>
    <t>app-asset-color-icon</t>
  </si>
  <si>
    <t>https://drive.google.com/file/d/1e3OdJ1n_EN2P9-98OIqN_34cyulq25Cl/view?usp=sharing</t>
  </si>
  <si>
    <t>Asset Color / Icon</t>
  </si>
  <si>
    <t>Color / Ícono de Activo</t>
  </si>
  <si>
    <t>案件の色 / アイコン</t>
  </si>
  <si>
    <t>app-upload-image</t>
  </si>
  <si>
    <t>Upload Image</t>
  </si>
  <si>
    <t>Cargar Imagen</t>
  </si>
  <si>
    <t>app-output-coordinate-system</t>
  </si>
  <si>
    <t>Output Coordinate System</t>
  </si>
  <si>
    <t>Sistema de coordenadas de salida</t>
  </si>
  <si>
    <t>app-tag</t>
  </si>
  <si>
    <t>Tag</t>
  </si>
  <si>
    <t>Etiqueta</t>
  </si>
  <si>
    <t>app-japanese</t>
  </si>
  <si>
    <t>https://drive.google.com/file/d/1vmvHI1Nes9bbhSQU7vISxTuGg7zitLbZ/view</t>
  </si>
  <si>
    <t>Japanese (JP)</t>
  </si>
  <si>
    <t>Japonés</t>
  </si>
  <si>
    <t>日本語（JP)</t>
  </si>
  <si>
    <t>https://drive.google.com/file/d/1iPGrcvSgifxrzzvI9IgeC2G61rmHsB97/view?usp=sharing</t>
  </si>
  <si>
    <t>Create Terra View for</t>
  </si>
  <si>
    <t>Crear Vista de Terra para</t>
  </si>
  <si>
    <t>次のテラビュー / Terra Viewを作成</t>
  </si>
  <si>
    <t>New Terra</t>
  </si>
  <si>
    <t>Nueva Vista de Terra</t>
  </si>
  <si>
    <t>新しいテラ / Terra</t>
  </si>
  <si>
    <t>Add Groups</t>
  </si>
  <si>
    <t>Añadir Grupos</t>
  </si>
  <si>
    <t>グループを追加</t>
  </si>
  <si>
    <t>Search Groups</t>
  </si>
  <si>
    <t>Buscar Grupos</t>
  </si>
  <si>
    <t>グループを検索</t>
  </si>
  <si>
    <t>Create Terra View</t>
  </si>
  <si>
    <t>Crear Vista de Terra</t>
  </si>
  <si>
    <t>テラビュー / Terra View を作成</t>
  </si>
  <si>
    <t>https://drive.google.com/file/d/1nRDWkGVtfpAHqzlB7nYWX-yVsZ-e6HNZ/view?usp=sharing</t>
  </si>
  <si>
    <t>https://drive.google.com/file/d/1Mq__W0At6ZJ7ZBKLJa08pkfF18Xua24-/view?usp=sharing</t>
  </si>
  <si>
    <t>Are you sure you want to delete the Terra?</t>
  </si>
  <si>
    <t>¿Está seguro que desea eliminar esta Vista de Terra?</t>
  </si>
  <si>
    <t>このテラ / Terra を削除しますか？</t>
  </si>
  <si>
    <t>app-recent</t>
  </si>
  <si>
    <t>https://drive.google.com/file/d/1FgGgO18LvLfz4sYElvDv4qDKE9KzyJJ2/view?usp=sharing</t>
  </si>
  <si>
    <t>Recent</t>
  </si>
  <si>
    <t>Reciente</t>
  </si>
  <si>
    <t>app-project-development</t>
  </si>
  <si>
    <t>Project Development</t>
  </si>
  <si>
    <t>Desarrollo de Proyecto</t>
  </si>
  <si>
    <t>app-construction-monitoring</t>
  </si>
  <si>
    <t>Construction Monitoring</t>
  </si>
  <si>
    <t>Avance de Construcción</t>
  </si>
  <si>
    <t>app-site-options</t>
  </si>
  <si>
    <t>Site Options</t>
  </si>
  <si>
    <t>Opciones</t>
  </si>
  <si>
    <t>app-design-layout</t>
  </si>
  <si>
    <t>Design Layout</t>
  </si>
  <si>
    <t xml:space="preserve">Plano implantación </t>
  </si>
  <si>
    <t>Creado por</t>
  </si>
  <si>
    <t>Modified On</t>
  </si>
  <si>
    <t>Modificado en</t>
  </si>
  <si>
    <t>3 days ago</t>
  </si>
  <si>
    <t>Hace 3 días</t>
  </si>
  <si>
    <t>https://drive.google.com/file/d/1Lf8vTNyCrEKNh_9QwKqzqyTRPvSCZviJ/view?usp=sharing</t>
  </si>
  <si>
    <t>app-leased-facilities</t>
  </si>
  <si>
    <t>Leased Facilities</t>
  </si>
  <si>
    <t>Instalaciones Arrendadas</t>
  </si>
  <si>
    <t>app-create-view</t>
  </si>
  <si>
    <t>Create View</t>
  </si>
  <si>
    <t>Crear Vista</t>
  </si>
  <si>
    <t>app-barcode-scanning</t>
  </si>
  <si>
    <t>https://drive.google.com/file/d/1r8uDkbmMYZ9cH3Ek2xveIHoq54zuRIlb/view?usp=sharing</t>
  </si>
  <si>
    <t>Barcode Scanning</t>
  </si>
  <si>
    <t>Escaneo de Código de Barras</t>
  </si>
  <si>
    <t>https://drive.google.com/file/d/1lyEi2Y_2VISf6NBkQrQKgOioas3v2EHi/view?usp=sharing</t>
  </si>
  <si>
    <t>Demarked site boundary and other key feature raster overlaid on the site ortho</t>
  </si>
  <si>
    <t>Capas vectoriales superpuestas sobre la capa raster con la ortofoto</t>
  </si>
  <si>
    <t>Grupos</t>
  </si>
  <si>
    <t>No Teams Assigned</t>
  </si>
  <si>
    <t>Raster</t>
  </si>
  <si>
    <t>Estudio de factibilidad</t>
  </si>
  <si>
    <t>Feature Types</t>
  </si>
  <si>
    <t>Tipos de características</t>
  </si>
  <si>
    <t>Create New</t>
  </si>
  <si>
    <t>Crear nuevo</t>
  </si>
  <si>
    <t>Go To Map</t>
  </si>
  <si>
    <t>Ir al mapa</t>
  </si>
  <si>
    <t>Assign Group</t>
  </si>
  <si>
    <t>Asignar Grupo</t>
  </si>
  <si>
    <t>Monitoring</t>
  </si>
  <si>
    <t>Avance de construcción</t>
  </si>
  <si>
    <t>220KV Transmission Line Tower</t>
  </si>
  <si>
    <t>Torre de Línea de Transmisión 220KV</t>
  </si>
  <si>
    <t>Tower - 1</t>
  </si>
  <si>
    <t>Torre - 1</t>
  </si>
  <si>
    <t>Temple</t>
  </si>
  <si>
    <t>Templo</t>
  </si>
  <si>
    <t>Existing Trans Line - 1</t>
  </si>
  <si>
    <t>Línea trans existente - 1</t>
  </si>
  <si>
    <t>Existing Trans Line - 2</t>
  </si>
  <si>
    <t>Línea trans existente - 2</t>
  </si>
  <si>
    <t>LT Pole</t>
  </si>
  <si>
    <t>Poste BT</t>
  </si>
  <si>
    <t>https://drive.google.com/file/d/1v8lRI__hG7anBkf6lQSOiUlj_50JUdpd/view?usp=sharing</t>
  </si>
  <si>
    <t>Owner</t>
  </si>
  <si>
    <t>Propietario</t>
  </si>
  <si>
    <t>New Feature Type</t>
  </si>
  <si>
    <t>Nuevo Tipo de Característica</t>
  </si>
  <si>
    <t>https://drive.google.com/file/d/1qeZj5v-6ZK3R5NW4S4tn0QQ_DhNtRF0D/view?usp=sharing</t>
  </si>
  <si>
    <t>Search Feature Type Groups</t>
  </si>
  <si>
    <t>Buscar Grupos de Tipos de Características</t>
  </si>
  <si>
    <t>Piles</t>
  </si>
  <si>
    <t>Pilares</t>
  </si>
  <si>
    <t>Others</t>
  </si>
  <si>
    <t>Otros</t>
  </si>
  <si>
    <t>Materials</t>
  </si>
  <si>
    <t>Materiales</t>
  </si>
  <si>
    <t>Progress View</t>
  </si>
  <si>
    <t>Vista de Progreso</t>
  </si>
  <si>
    <t>Racks</t>
  </si>
  <si>
    <t>Estructuras</t>
  </si>
  <si>
    <t>Tables</t>
  </si>
  <si>
    <t>Mesas</t>
  </si>
  <si>
    <t>Components</t>
  </si>
  <si>
    <t>Componentes</t>
  </si>
  <si>
    <t>Inventory</t>
  </si>
  <si>
    <t>Inventario</t>
  </si>
  <si>
    <t>Layout</t>
  </si>
  <si>
    <t>Implantación</t>
  </si>
  <si>
    <t>https://drive.google.com/file/d/1cROXNtDxlv9yBKLseITZ8Jk7Qngxa8LW/view?usp=sharing</t>
  </si>
  <si>
    <t>Edit Container for asset</t>
  </si>
  <si>
    <t>Editar contenedor para el activo</t>
  </si>
  <si>
    <t>Name of Container</t>
  </si>
  <si>
    <t>Nombre del contenedor</t>
  </si>
  <si>
    <t>https://drive.google.com/file/d/1DnxJq0hn_3OHr3mzKtXv_ZAn17p_9ubh/view?usp=sharing</t>
  </si>
  <si>
    <t>Container Color / Icon</t>
  </si>
  <si>
    <t>Color / Ícono del Contenedor</t>
  </si>
  <si>
    <t>app-export</t>
  </si>
  <si>
    <t>https://drive.google.com/file/d/1Amijn8l5kLAQZIwdbn-riQsq6CiZz1ro/view?usp=sharing</t>
  </si>
  <si>
    <t>Export</t>
  </si>
  <si>
    <t>Exportar</t>
  </si>
  <si>
    <t>app-rasters</t>
  </si>
  <si>
    <t>Rasters</t>
  </si>
  <si>
    <t>app-maps</t>
  </si>
  <si>
    <t>Maps</t>
  </si>
  <si>
    <t>Mapas</t>
  </si>
  <si>
    <t>https://drive.google.com/file/d/1X1DKuSs7X1PqCpMm2BuUX1okW11uWLbF/view?usp=sharing</t>
  </si>
  <si>
    <t>Properties</t>
  </si>
  <si>
    <t>Propiedades</t>
  </si>
  <si>
    <t>app-from-project</t>
  </si>
  <si>
    <t>https://drive.google.com/file/d/1xM-hSAXZrARiI5YclU98Omec4S8Kw--R/view?usp=sharing</t>
  </si>
  <si>
    <t>From Project</t>
  </si>
  <si>
    <t>Desde un Proyecto</t>
  </si>
  <si>
    <t>app-browse-files</t>
  </si>
  <si>
    <t>Browse Files</t>
  </si>
  <si>
    <t>Desde un Archivo</t>
  </si>
  <si>
    <t>app-import-from-project</t>
  </si>
  <si>
    <t>https://drive.google.com/file/d/1j1-omrMEugHyR2O9DL_KYPVV2MSiDzR6/view?usp=sharing</t>
  </si>
  <si>
    <t>Import From Project</t>
  </si>
  <si>
    <t>Importar desde un Proyecto</t>
  </si>
  <si>
    <t>app-existing-project</t>
  </si>
  <si>
    <t>Existing Project</t>
  </si>
  <si>
    <t>Proyecto Existente</t>
  </si>
  <si>
    <t>app-select-project</t>
  </si>
  <si>
    <t>Select Project</t>
  </si>
  <si>
    <t>Selección de Proyecto</t>
  </si>
  <si>
    <t>app-filter-feature-type</t>
  </si>
  <si>
    <t>Filter Feature Type</t>
  </si>
  <si>
    <t>Filtro por Tipo de Característica</t>
  </si>
  <si>
    <t>app-feaure-type</t>
  </si>
  <si>
    <t>Feature Type</t>
  </si>
  <si>
    <t>Tipo de Característica</t>
  </si>
  <si>
    <t>app-select-feature-type</t>
  </si>
  <si>
    <t>Select Feature Types</t>
  </si>
  <si>
    <t>Selección de Tipo de Característica</t>
  </si>
  <si>
    <t>https://drive.google.com/file/d/1t5jjD2DwHk9w1GrVyLnPtNoTOVG22mgO/view?usp=sharing</t>
  </si>
  <si>
    <t>app-drop-files-to-attach-or-browse</t>
  </si>
  <si>
    <t>https://drive.google.com/file/d/16jD0S5fxIpDlBnuM54-2TEq8QKUgGMnp/view?usp=sharing</t>
  </si>
  <si>
    <t>Drop files to attach or Browse</t>
  </si>
  <si>
    <t>Arrastra archivos para adjuntar o Navega</t>
  </si>
  <si>
    <t>app-sorce-srs</t>
  </si>
  <si>
    <t>Source SRS</t>
  </si>
  <si>
    <t>Fuente SRS</t>
  </si>
  <si>
    <t>app-eg</t>
  </si>
  <si>
    <t>eg</t>
  </si>
  <si>
    <t>ej.</t>
  </si>
  <si>
    <t>https://drive.google.com/file/d/1DWaOvX1wpNF-bziaslHz2cSPw7In1tIn/view?usp=sharing</t>
  </si>
  <si>
    <t>Browse</t>
  </si>
  <si>
    <t>Explorar</t>
  </si>
  <si>
    <t>ブラウザー</t>
  </si>
  <si>
    <t>app-create-modify-feature-types</t>
  </si>
  <si>
    <t>https://drive.google.com/file/d/1qGvxe5-Giv_jOPoGps9JZIOMijodp2gD/view?usp=sharing</t>
  </si>
  <si>
    <t>Create / Modify feature types</t>
  </si>
  <si>
    <t>Crear / Modificar tipos de características</t>
  </si>
  <si>
    <t>app-monitoring</t>
  </si>
  <si>
    <t>app-agriculture-land</t>
  </si>
  <si>
    <t>Agriculture Land</t>
  </si>
  <si>
    <t>Tierra cultivada</t>
  </si>
  <si>
    <t>app-dug-wells</t>
  </si>
  <si>
    <t>Dug Wells</t>
  </si>
  <si>
    <t>Pozos</t>
  </si>
  <si>
    <t>app-residential</t>
  </si>
  <si>
    <t>Residential</t>
  </si>
  <si>
    <t>Residencial</t>
  </si>
  <si>
    <t>app-transmission-lines</t>
  </si>
  <si>
    <t>Transmission Lines</t>
  </si>
  <si>
    <t>Líneas de transporte</t>
  </si>
  <si>
    <t>app-boundary</t>
  </si>
  <si>
    <t>Boundary</t>
  </si>
  <si>
    <t>Límite parcela</t>
  </si>
  <si>
    <t>app-water-body</t>
  </si>
  <si>
    <t>Water Body</t>
  </si>
  <si>
    <t>Masa de agua</t>
  </si>
  <si>
    <t>app-lt-powerlines</t>
  </si>
  <si>
    <t>Lt Powerlines</t>
  </si>
  <si>
    <t>Línea BT</t>
  </si>
  <si>
    <t>app-gail-corridor</t>
  </si>
  <si>
    <t>Gail Corridor</t>
  </si>
  <si>
    <t>Corredor Gail</t>
  </si>
  <si>
    <t>app-top-level-line</t>
  </si>
  <si>
    <t>https://drive.google.com/file/d/1NAxPKTJZen8FfRoPS9OfMthfwPd0OaVr/view?usp=sharing</t>
  </si>
  <si>
    <t>Top Level Line</t>
  </si>
  <si>
    <t>Línea de nivel superior</t>
  </si>
  <si>
    <t>app-electric-pole</t>
  </si>
  <si>
    <t>Electric Pole</t>
  </si>
  <si>
    <t>Poste Eléctrico</t>
  </si>
  <si>
    <t>app-structure</t>
  </si>
  <si>
    <t>Structure</t>
  </si>
  <si>
    <t>Estructura</t>
  </si>
  <si>
    <t>app-turbine-tower-and-shadow</t>
  </si>
  <si>
    <t>Turbine Tower and Shadow</t>
  </si>
  <si>
    <t>Torre de Turbina y Sombra</t>
  </si>
  <si>
    <t>app-lt-pole</t>
  </si>
  <si>
    <t>Existing Trans Line -1</t>
  </si>
  <si>
    <t>Líneas Trans Existentes -1</t>
  </si>
  <si>
    <t>Existing Trans Line -2</t>
  </si>
  <si>
    <t>Líneas Trans Existentes -2</t>
  </si>
  <si>
    <t>Tower -1</t>
  </si>
  <si>
    <t>Torre -1</t>
  </si>
  <si>
    <t>Torre de línea de transmisión 220KV</t>
  </si>
  <si>
    <t>https://drive.google.com/file/d/1ociRVoaiSngUygCee5MwMyomraqDoCNS/view?usp=sharing</t>
  </si>
  <si>
    <t>Volume Calculation</t>
  </si>
  <si>
    <t>Cálculo de Volumen</t>
  </si>
  <si>
    <t>体積計算</t>
  </si>
  <si>
    <t>https://drive.google.com/file/d/1nsdg_9SjBmMIRBnoNSYJmNrwIuQHNZ_7/view?usp=sharing</t>
  </si>
  <si>
    <t>Calculation</t>
  </si>
  <si>
    <t>Calcular</t>
  </si>
  <si>
    <t>Volume</t>
  </si>
  <si>
    <t>Volumen</t>
  </si>
  <si>
    <t>体積</t>
  </si>
  <si>
    <t>Calculate Volume</t>
  </si>
  <si>
    <t>Calcular Volumen</t>
  </si>
  <si>
    <t>https://drive.google.com/file/d/1rl3ZQYBJ-ER0VvUGOvY83oO7fRnOI-uZ/view?usp=sharing</t>
  </si>
  <si>
    <t>Method</t>
  </si>
  <si>
    <t>Método</t>
  </si>
  <si>
    <t>Base-Height</t>
  </si>
  <si>
    <t>Base-Altura</t>
  </si>
  <si>
    <t>Triangulated</t>
  </si>
  <si>
    <t>Triangulado</t>
  </si>
  <si>
    <t>https://drive.google.com/file/d/1-lFwJ7-sVtSecvWUvMLSHjUp5WDcQMP5/view?usp=sharing</t>
  </si>
  <si>
    <t>Surface to Surface</t>
  </si>
  <si>
    <t>Superficie a Superficie</t>
  </si>
  <si>
    <t>Height (m)</t>
  </si>
  <si>
    <t>Altura (m)</t>
  </si>
  <si>
    <t>高さ（m）</t>
  </si>
  <si>
    <t>Select from extend</t>
  </si>
  <si>
    <t>Seleccionar desde extensión</t>
  </si>
  <si>
    <t>https://drive.google.com/file/d/1ynuBNjnJn-bb1EFiSK-RmzQ2rBGfyDtl/view?usp=sharing</t>
  </si>
  <si>
    <t>Select bounds from map</t>
  </si>
  <si>
    <t>Seleccionar límites desde el mapa</t>
  </si>
  <si>
    <t>https://drive.google.com/file/d/1ZOHfCLN16hVxj2xo5t1rRy90tbFcgAo2/view?usp=sharing</t>
  </si>
  <si>
    <t>Elevation Profile</t>
  </si>
  <si>
    <t>Perfil de Elevación</t>
  </si>
  <si>
    <t>Elevation</t>
  </si>
  <si>
    <t>Elevación</t>
  </si>
  <si>
    <t>標高</t>
  </si>
  <si>
    <t>Calculate Elevation</t>
  </si>
  <si>
    <t>Calcular Elevación</t>
  </si>
  <si>
    <t>標高計算</t>
  </si>
  <si>
    <t>https://drive.google.com/file/d/1iuBj_ten_W9FVG7ozZkyzMcN3W7cNWaJ/view?usp=sharing</t>
  </si>
  <si>
    <t>Line</t>
  </si>
  <si>
    <t>Línea</t>
  </si>
  <si>
    <t>Layer</t>
  </si>
  <si>
    <t>Capa</t>
  </si>
  <si>
    <t>https://drive.google.com/file/d/134I3Ijp7moC2_PTmz5rqEt6D07KxOQny/view?usp=sharing</t>
  </si>
  <si>
    <t>Sampling (m)</t>
  </si>
  <si>
    <t>Muestreo (m)</t>
  </si>
  <si>
    <t>サンプリング (m)</t>
  </si>
  <si>
    <t>Choose extend</t>
  </si>
  <si>
    <t>Escoger extensión</t>
  </si>
  <si>
    <t>拡張を選択</t>
  </si>
  <si>
    <t>https://drive.google.com/file/d/15MP1ryxn-Zse7pYbWBr0kwaijjGFtNnT/view?usp=sharing</t>
  </si>
  <si>
    <t>Point</t>
  </si>
  <si>
    <t>Punto</t>
  </si>
  <si>
    <t>https://drive.google.com/file/d/1PTeU6cdX5P7JTTBXQXq6huGsuOr_OHrq/view?usp=sharing</t>
  </si>
  <si>
    <t>Select from map</t>
  </si>
  <si>
    <t>Seleccionar desde el mapa</t>
  </si>
  <si>
    <t>https://drive.google.com/file/d/1y6IqtXgakLJvk5QvEBj75yYSTt3ropSp/view?usp=sharing</t>
  </si>
  <si>
    <t>Feature Details</t>
  </si>
  <si>
    <t>Detalles de las Características</t>
  </si>
  <si>
    <t>https://drive.google.com/file/d/1jT4Op_pNO8qD5is3qhj-lDwfN7Tc95uw/view?usp=sharing</t>
  </si>
  <si>
    <t>名前</t>
  </si>
  <si>
    <t>Project Name</t>
  </si>
  <si>
    <t>Nombre de Proyecto</t>
  </si>
  <si>
    <t>プロジェクト名</t>
  </si>
  <si>
    <t>Base Height</t>
  </si>
  <si>
    <t>Base Altura</t>
  </si>
  <si>
    <t>高さ基準</t>
  </si>
  <si>
    <t>https://drive.google.com/file/d/1E5PhVRg-DLVJdQXU140WCiDrLDYMrpqR/view?usp=sharing</t>
  </si>
  <si>
    <t>Cut</t>
  </si>
  <si>
    <t>Corte</t>
  </si>
  <si>
    <t>カット</t>
  </si>
  <si>
    <t>Fill</t>
  </si>
  <si>
    <t>Relleno</t>
  </si>
  <si>
    <t>入力する</t>
  </si>
  <si>
    <t>Total</t>
  </si>
  <si>
    <t>トータル</t>
  </si>
  <si>
    <t>app-filter-features</t>
  </si>
  <si>
    <t>https://drive.google.com/file/d/1IZKfEJeNDJI_4yJVLrW-oKDJcPZCqeaN/view?usp=sharing</t>
  </si>
  <si>
    <t>Filter Features</t>
  </si>
  <si>
    <t>Filtro de Características</t>
  </si>
  <si>
    <t>app-filters</t>
  </si>
  <si>
    <t>Filters</t>
  </si>
  <si>
    <t>Filtros</t>
  </si>
  <si>
    <t>app-property</t>
  </si>
  <si>
    <t>Property</t>
  </si>
  <si>
    <t>Propiedad</t>
  </si>
  <si>
    <t>app-select-property</t>
  </si>
  <si>
    <t>Select Property</t>
  </si>
  <si>
    <t>Seleccionar Propiedad</t>
  </si>
  <si>
    <t>app-values</t>
  </si>
  <si>
    <t>Values</t>
  </si>
  <si>
    <t>Valores</t>
  </si>
  <si>
    <t>app-select-values</t>
  </si>
  <si>
    <t>Select Values</t>
  </si>
  <si>
    <t>Seleccionar Valores</t>
  </si>
  <si>
    <t>app-apply-filters</t>
  </si>
  <si>
    <t>Apply Filters</t>
  </si>
  <si>
    <t>Aplicar Filtros</t>
  </si>
  <si>
    <t>app-no-options-available</t>
  </si>
  <si>
    <t>https://drive.google.com/file/d/1XdPxnlCFiEAGhQoDvSheMfuUTP5d_-jz/view?usp=sharing</t>
  </si>
  <si>
    <t>No Options Available</t>
  </si>
  <si>
    <t>Sin Opciones Disponibles</t>
  </si>
  <si>
    <t>app-display-tickets</t>
  </si>
  <si>
    <t>https://drive.google.com/file/d/1BYkB0LsMBubDy_FBzv3IIMZZryzuCMQu/view?usp=sharing</t>
  </si>
  <si>
    <t>Display Tickets</t>
  </si>
  <si>
    <t>Mostrar Tickets</t>
  </si>
  <si>
    <t>app-group-by</t>
  </si>
  <si>
    <t>Group by</t>
  </si>
  <si>
    <t>Agrupar por</t>
  </si>
  <si>
    <t>app-clear-all</t>
  </si>
  <si>
    <t>Clear All</t>
  </si>
  <si>
    <t>Limpiar todo</t>
  </si>
  <si>
    <t>app-toggle-fly</t>
  </si>
  <si>
    <t>https://drive.google.com/file/d/1Dh_wA8zfeRP8GQxBjZ-lPAaMYTjSZTjd/view?usp=sharing</t>
  </si>
  <si>
    <t>Toggle Fly</t>
  </si>
  <si>
    <t>Quitar Modo Vuelo</t>
  </si>
  <si>
    <t>app-zoom-in</t>
  </si>
  <si>
    <t>https://drive.google.com/file/d/19l_J5usYFn4DrNErOVNNlj4wF5Ksl-2w/view?usp=sharing</t>
  </si>
  <si>
    <t>Zoom in</t>
  </si>
  <si>
    <t>Acercar</t>
  </si>
  <si>
    <t>app-zoom-out</t>
  </si>
  <si>
    <t>https://drive.google.com/file/d/1GlltI7YuRQgZKgU11IAlLVTor6SLzIIy/view?usp=sharing</t>
  </si>
  <si>
    <t>Zoom Out</t>
  </si>
  <si>
    <t>Alejar</t>
  </si>
  <si>
    <t>app-reset-bearing-to-north</t>
  </si>
  <si>
    <t>https://drive.google.com/file/d/1g0aAk-y8GIJm-oqFy-LTpcDxISOTpce1/view?usp=sharing</t>
  </si>
  <si>
    <t>Reset bearing to north</t>
  </si>
  <si>
    <t>Reestablecer rumbo hacia el norte</t>
  </si>
  <si>
    <t>app-line-string-tool</t>
  </si>
  <si>
    <t>https://drive.google.com/file/d/1xIaDQRFOH-3LXSe3lNSkjNezyN5Zn7Qc/view?usp=sharing</t>
  </si>
  <si>
    <t>Line String Tool</t>
  </si>
  <si>
    <t>Herramienta de Línea</t>
  </si>
  <si>
    <t>app-polygon-tool</t>
  </si>
  <si>
    <t>https://drive.google.com/file/d/1irTr3pSzu5KpY580gQT71Go1v0ZeWVqG/view?usp=sharing</t>
  </si>
  <si>
    <t>Polygon Tool</t>
  </si>
  <si>
    <t>Herramienta de Polígono</t>
  </si>
  <si>
    <t>app-marker-tool</t>
  </si>
  <si>
    <t>https://drive.google.com/file/d/1QIcBFeCkyJ7xCMzhuUiT63VOM-7GAM5S/view?usp=sharing</t>
  </si>
  <si>
    <t>Marker Tool</t>
  </si>
  <si>
    <t>Herramienta de Marcador</t>
  </si>
  <si>
    <t>https://drive.google.com/file/d/10GRoZ9o5IWGdTqHFx3Fo3lJ22fZGIi-A/view?usp=sharing</t>
  </si>
  <si>
    <t>app-combine</t>
  </si>
  <si>
    <t>https://drive.google.com/file/d/1uMRxEq3Ohs_qsRdEv-bbQovi6bbCHlD3/view?usp=sharing</t>
  </si>
  <si>
    <t>Combine</t>
  </si>
  <si>
    <t>Combinar</t>
  </si>
  <si>
    <t>app-uncombine</t>
  </si>
  <si>
    <t>https://drive.google.com/file/d/1fLU0o5KYXaavSWZGMcPq9v7gY3itWQ-k/view?usp=sharing</t>
  </si>
  <si>
    <t>Uncombine</t>
  </si>
  <si>
    <t>Separar</t>
  </si>
  <si>
    <t>app-compare-map</t>
  </si>
  <si>
    <t>https://drive.google.com/file/d/1wzGovjh6R-Z_-HrGVWGN5XXujwg8vK1X/view?usp=sharing</t>
  </si>
  <si>
    <t>Compare Map</t>
  </si>
  <si>
    <t>Mapa Comparativo</t>
  </si>
  <si>
    <t>https://drive.google.com/file/d/12_C0UiT9gjfQn2jGMkL7fHEPl-OuZ_6R/view?usp=sharing</t>
  </si>
  <si>
    <t>Seleccionar Proyecto</t>
  </si>
  <si>
    <t>app-back</t>
  </si>
  <si>
    <t>Back</t>
  </si>
  <si>
    <t>Volver</t>
  </si>
  <si>
    <t>app-statellite</t>
  </si>
  <si>
    <t>https://drive.google.com/file/d/1cbRkzFkOdTDHmuntessPUymcG4v8s9TE/view?usp=sharing</t>
  </si>
  <si>
    <t>Satellite</t>
  </si>
  <si>
    <t>Satélite</t>
  </si>
  <si>
    <t>app-street</t>
  </si>
  <si>
    <t>https://drive.google.com/file/d/1KkYLjYCijvdMF2Cix2b3hbQOHgkFi4vA/view?usp=sharing</t>
  </si>
  <si>
    <t>Street</t>
  </si>
  <si>
    <t>Calle</t>
  </si>
  <si>
    <t>app-enter-name</t>
  </si>
  <si>
    <t>https://drive.google.com/file/d/1ca8wYb4bi0KbhbxYvW79uhYbzur2RARc/view?usp=sharing</t>
  </si>
  <si>
    <t>Enter Name</t>
  </si>
  <si>
    <t>Ingresar Nombre</t>
  </si>
  <si>
    <t>app-feature-type-group-name</t>
  </si>
  <si>
    <t>Feature Type Group Name</t>
  </si>
  <si>
    <t>Nombre de Grupo del Tipo de Característica</t>
  </si>
  <si>
    <t>https://drive.google.com/file/d/1kJCQfpwmGdPu3WdRbvUtts_sreL9ZeEn/view?usp=sharing</t>
  </si>
  <si>
    <t>Search Ticket</t>
  </si>
  <si>
    <t>チケットの検索</t>
  </si>
  <si>
    <t>該当なし</t>
  </si>
  <si>
    <t>New Ticket</t>
  </si>
  <si>
    <t>新しいチケット</t>
  </si>
  <si>
    <t>No Tickets</t>
  </si>
  <si>
    <t>No hay Tickets</t>
  </si>
  <si>
    <t>チケット無し</t>
  </si>
  <si>
    <t>No results found</t>
  </si>
  <si>
    <t>No se encontraron resultados</t>
  </si>
  <si>
    <t>検索結果が見つかりません</t>
  </si>
  <si>
    <t>https://drive.google.com/file/d/12nJ_3ifRi8itSHrBZDy37wlzlBqQziTu/view?usp=sharing</t>
  </si>
  <si>
    <t>期日</t>
  </si>
  <si>
    <t>https://drive.google.com/file/d/1YEY8GZgRgsgjTSQe7ptu7ehL2r92ZAEA/view?usp=sharing</t>
  </si>
  <si>
    <t>https://drive.google.com/file/d/1IHa8ktO9Ybi2xY7LXWaOCQN25iphYotG/view?usp=sharing</t>
  </si>
  <si>
    <t>No tags</t>
  </si>
  <si>
    <t>No hay etiquetas</t>
  </si>
  <si>
    <t>タグ無し</t>
  </si>
  <si>
    <t>https://drive.google.com/file/d/1Gf9DBu9vXrzBOAG0mmJt7rb8RQMeSbW5/view?usp=sharing</t>
  </si>
  <si>
    <t>Type here to add description</t>
  </si>
  <si>
    <t>Escriba aquí para añadir la descripción</t>
  </si>
  <si>
    <t>説明をここに入力</t>
  </si>
  <si>
    <t>Drag &amp; Drop File here</t>
  </si>
  <si>
    <t>ここにファイルをドラッグ＆ドロップ</t>
  </si>
  <si>
    <t>プレビュー、ブックマーク、テンプレートの作成を後でする使用するために、添付ファイルをここにドラッグ＆ドロップする</t>
  </si>
  <si>
    <t>https://drive.google.com/file/d/1E_Dge7s7oC_7cKHOllfagPECsJh2knme/view?usp=sharing</t>
  </si>
  <si>
    <t>Heading</t>
  </si>
  <si>
    <t>Encabezado</t>
  </si>
  <si>
    <t>見出し</t>
  </si>
  <si>
    <t>https://drive.google.com/file/d/1KiHFlFQf-rf2HSwojKO0QGJOUJX8h6GF/view?usp=sharing</t>
  </si>
  <si>
    <t>Bold</t>
  </si>
  <si>
    <t>Negritas</t>
  </si>
  <si>
    <t>太字</t>
  </si>
  <si>
    <t>https://drive.google.com/file/d/1VILcZfCUc-z6l5x9SdjxxrDKco9YWf37/view?usp=sharing</t>
  </si>
  <si>
    <t>Italic</t>
  </si>
  <si>
    <t>Itálico</t>
  </si>
  <si>
    <t>斜体</t>
  </si>
  <si>
    <t>https://drive.google.com/file/d/1YcCb8PUMbbgJcT2Iyipin77Tmwut7rE1/view?usp=sharing</t>
  </si>
  <si>
    <t>Highlight</t>
  </si>
  <si>
    <t>Resaltar</t>
  </si>
  <si>
    <t>ハイライト</t>
  </si>
  <si>
    <t>https://drive.google.com/file/d/1p6d4opCvSBKRKQHX9Gsh4HxkDhJZzowU/view?usp=sharing</t>
  </si>
  <si>
    <t>Yellow marker</t>
  </si>
  <si>
    <t>Marcador amarillo</t>
  </si>
  <si>
    <t>黄色く塗りつぶす</t>
  </si>
  <si>
    <t>https://drive.google.com/file/d/1NW53femfD2Rfh0ldkZha2EcdR7kp5HTu/view?usp=sharing</t>
  </si>
  <si>
    <t>Green marker</t>
  </si>
  <si>
    <t>Marcador verde</t>
  </si>
  <si>
    <t>緑に塗りつぶす</t>
  </si>
  <si>
    <t>https://drive.google.com/file/d/1OBQQ1iE_mL7u0Jjq6sKQhomoTITzU8_B/view?usp=sharing</t>
  </si>
  <si>
    <t>Pink marker</t>
  </si>
  <si>
    <t>Marcador rosado</t>
  </si>
  <si>
    <t>ピンクに塗りつぶす</t>
  </si>
  <si>
    <t>https://drive.google.com/file/d/1XPxd6OWkV6JFxMk1jmih9U_Iw0WGKBEM/view?usp=sharing</t>
  </si>
  <si>
    <t>Blue marker</t>
  </si>
  <si>
    <t>Marcador azul</t>
  </si>
  <si>
    <t>青に塗りつぶす</t>
  </si>
  <si>
    <t>https://drive.google.com/file/d/1kOXypaZaDOwph93qE5mrmMGJOAb6frZL/view?usp=sharing</t>
  </si>
  <si>
    <t>Red pen</t>
  </si>
  <si>
    <t>Bolígrafo rojo</t>
  </si>
  <si>
    <t>赤ペン</t>
  </si>
  <si>
    <t>https://drive.google.com/file/d/13lAqvoMPCOAgvngaK2SePejrZZSF2Mcp/view?usp=sharing</t>
  </si>
  <si>
    <t>Green pen</t>
  </si>
  <si>
    <t>Bolígrafo verde</t>
  </si>
  <si>
    <t>緑ペン</t>
  </si>
  <si>
    <t>https://drive.google.com/file/d/1vY06mZtWvTZdsZNdnu6lRV4djiNocZ4D/view?usp=sharing</t>
  </si>
  <si>
    <t>Remove highlight</t>
  </si>
  <si>
    <t>Eliminar resaltado</t>
  </si>
  <si>
    <t>ハイライトを削除</t>
  </si>
  <si>
    <t>https://drive.google.com/file/d/1FFXnFGSwRgPAuikKgb9kETs89lVzYO_E/view?usp=sharing</t>
  </si>
  <si>
    <t>Block Quote</t>
  </si>
  <si>
    <t>Entrecomillar</t>
  </si>
  <si>
    <t>引用符</t>
  </si>
  <si>
    <t>https://drive.google.com/file/d/1hHkea-VlGhSMuk9i0146vJyZ3Gk4noqe/view?usp=sharing</t>
  </si>
  <si>
    <t>リンク</t>
  </si>
  <si>
    <t>https://drive.google.com/file/d/16275wUlc_uuvJT7CsESdLg-nuByv16EF/view?usp=sharing</t>
  </si>
  <si>
    <t>Numbered List</t>
  </si>
  <si>
    <t>Lista enumerada</t>
  </si>
  <si>
    <t>段落番号</t>
  </si>
  <si>
    <t>https://drive.google.com/file/d/10LuaF3EBD6DJpbqTkUkg5zzZI6hR3IdW/view?usp=sharing</t>
  </si>
  <si>
    <t>Bulleted List</t>
  </si>
  <si>
    <t>Lista con viñetas</t>
  </si>
  <si>
    <t>箇条書き</t>
  </si>
  <si>
    <t>https://drive.google.com/file/d/1uneXidh2T62d3TwssVrWeLIp_GPBEJDf/view?usp=sharing</t>
  </si>
  <si>
    <t>To-do List</t>
  </si>
  <si>
    <t>Tareas pendientes</t>
  </si>
  <si>
    <t>ToDo リスト</t>
  </si>
  <si>
    <t>https://drive.google.com/file/d/1q76OGgYZunOMTmli0itNhlahob9yr9eS/view?usp=sharing</t>
  </si>
  <si>
    <t>Insert Table</t>
  </si>
  <si>
    <t>Insertar tabla</t>
  </si>
  <si>
    <t>テーブルの挿入</t>
  </si>
  <si>
    <t>https://drive.google.com/file/d/1SJDwIfeepDvAMG4E9FwkzxxHvuE3XxnN/view?usp=sharing</t>
  </si>
  <si>
    <t>Undo</t>
  </si>
  <si>
    <t>Deshacer</t>
  </si>
  <si>
    <t>元に戻す</t>
  </si>
  <si>
    <t>https://drive.google.com/file/d/1uMzPa9otUdbvBAwyCND8bRZFq7huRtpP/view?usp=sharing</t>
  </si>
  <si>
    <t>Redo</t>
  </si>
  <si>
    <t>Rehacer</t>
  </si>
  <si>
    <t>やり直す</t>
  </si>
  <si>
    <t>https://drive.google.com/file/d/1pMHrM8t1aAfzWVMIyo8P6-LnhFEd7Il6/view?usp=sharing</t>
  </si>
  <si>
    <t>Drop files, paste, browse files or import from:</t>
  </si>
  <si>
    <t>Suelte, pegue, explore archivos o importe desde:</t>
  </si>
  <si>
    <t>ファイルをドロップ、ペースト、閲覧またはインポートする</t>
  </si>
  <si>
    <t>My Device</t>
  </si>
  <si>
    <t>Mi Dispositivo</t>
  </si>
  <si>
    <t>私のデバイス</t>
  </si>
  <si>
    <t>Camera</t>
  </si>
  <si>
    <t>Cámara</t>
  </si>
  <si>
    <t>カメラ</t>
  </si>
  <si>
    <t>https://drive.google.com/file/d/1wCTWeAgmkIpE4GbhEWy1iqNrakLauJPN/view?usp=sharing</t>
  </si>
  <si>
    <t>Import from Link</t>
  </si>
  <si>
    <t>Importar desde un Enlace</t>
  </si>
  <si>
    <t>リンクをインポートする</t>
  </si>
  <si>
    <t>Done</t>
  </si>
  <si>
    <t>Terminar</t>
  </si>
  <si>
    <t>完了</t>
  </si>
  <si>
    <t>Enter URL to import a file</t>
  </si>
  <si>
    <t>Introduzca URL para importar un archivo</t>
  </si>
  <si>
    <t>ファイルをインポートするためにURLを入力する</t>
  </si>
  <si>
    <t>https://drive.google.com/file/d/1i_rKqAXdWdf5b0TV_2KrrCDylul7aIoy/view?usp=sharing</t>
  </si>
  <si>
    <t>キャンセル</t>
  </si>
  <si>
    <t>1 file selected</t>
  </si>
  <si>
    <t>1 archivo seleccionado</t>
  </si>
  <si>
    <t>1つのファイルが選択されています</t>
  </si>
  <si>
    <t>Add more</t>
  </si>
  <si>
    <t>Añadir más</t>
  </si>
  <si>
    <t>さらに追加</t>
  </si>
  <si>
    <t>Close Modal</t>
  </si>
  <si>
    <t>モーダルウィンドウを閉じる</t>
  </si>
  <si>
    <t>Remove file</t>
  </si>
  <si>
    <t>Eliminar archivo</t>
  </si>
  <si>
    <t>ファイルを削除</t>
  </si>
  <si>
    <t>Upload 1 file</t>
  </si>
  <si>
    <t>Cargar 1 archivo</t>
  </si>
  <si>
    <t>１つのファイルをアップロード</t>
  </si>
  <si>
    <t>https://drive.google.com/file/d/1xes7Qppss-YxEUP52JMUaF0pT0WvYnwc/view?usp=sharing</t>
  </si>
  <si>
    <t>Uploading 1 file</t>
  </si>
  <si>
    <t>Cargando 1 archivo</t>
  </si>
  <si>
    <t>1つのファイルをアップロード中</t>
  </si>
  <si>
    <t>Uploading</t>
  </si>
  <si>
    <t>アップロード中</t>
  </si>
  <si>
    <t>https://drive.google.com/file/d/1WwP1KmXyD2IKbmZL-A5VZdfTc0k8RIsk/view?usp=sharing</t>
  </si>
  <si>
    <t>ファイルがアップロードされました</t>
  </si>
  <si>
    <t>https://drive.google.com/file/d/1V36vYr8l88XHHBvjDkbvV8bRUmdHPQd9/view?usp=sharing</t>
  </si>
  <si>
    <t>Import from Google Drive</t>
  </si>
  <si>
    <t>Importar desde Google Drive</t>
  </si>
  <si>
    <t>グーグルドライブからインポートする</t>
  </si>
  <si>
    <t>ローディング中</t>
  </si>
  <si>
    <t>https://drive.google.com/file/d/1UelMT2ugdEUmauMF8rCf_92TQkMFRBRw/view?usp=sharing</t>
  </si>
  <si>
    <t>Please authenticate with Google Drive to select files</t>
  </si>
  <si>
    <t>Por favor autentíquese con Google Drive para seleccionar archivos</t>
  </si>
  <si>
    <t>ファイルを選択するためにグーグルドライブで認証してください</t>
  </si>
  <si>
    <t>Connect to Google Drive</t>
  </si>
  <si>
    <t>Conéctese a Google Drive</t>
  </si>
  <si>
    <t>グーグルドライブに接続する</t>
  </si>
  <si>
    <t>https://drive.google.com/file/d/1Fa4amdJ3i5aqNW7VM_obBBEzMmGu4h3K/view?usp=sharing</t>
  </si>
  <si>
    <t>Filter</t>
  </si>
  <si>
    <t>Filtro</t>
  </si>
  <si>
    <t>フィルター</t>
  </si>
  <si>
    <t>Log out</t>
  </si>
  <si>
    <t>ログアウト</t>
  </si>
  <si>
    <t>https://drive.google.com/file/d/1hE7HYipSv1rs5u_MLQSWW2Vbfex2dDoy/view?usp=sharing</t>
  </si>
  <si>
    <t>選択</t>
  </si>
  <si>
    <t>https://drive.google.com/file/d/1UNtF8CpSLluuH6oF8SX-XEI7LHfjH2rp/view?usp=sharing</t>
  </si>
  <si>
    <t>1つのファイルをアップロード</t>
  </si>
  <si>
    <t>https://drive.google.com/file/d/1lT6-oPeRT_pMzgHAvHjRA9iTuojmb-wp/view?usp=sharing</t>
  </si>
  <si>
    <t>https://drive.google.com/file/d/18p8r93-7ZoH2L4FURNAiUW_766YhRqoT/view?usp=sharing</t>
  </si>
  <si>
    <t>Import from OneDrive</t>
  </si>
  <si>
    <t>Importar desde OneDrive</t>
  </si>
  <si>
    <t>ワンドライブからインポート</t>
  </si>
  <si>
    <t>https://drive.google.com/file/d/1nCIOcxwknhFkAqhFiIzoucyAHJG6Yjov/view?usp=sharing</t>
  </si>
  <si>
    <t>Please authenticate with OneDrive to select files</t>
  </si>
  <si>
    <t>Por favor autentíquese con OneDrive para seleccionar archivos</t>
  </si>
  <si>
    <t>ファイルを選択するためにワンドライブで認証してください</t>
  </si>
  <si>
    <t>Connect to OneDrive</t>
  </si>
  <si>
    <t>Conéctese a OneDrive</t>
  </si>
  <si>
    <t>ワンドライブに接続</t>
  </si>
  <si>
    <t>https://drive.google.com/file/d/1WRtuT2veeuKVmGtYu_CR5yZGl-gcTgun/view?usp=sharing</t>
  </si>
  <si>
    <t>Import from Dropbox</t>
  </si>
  <si>
    <t>Importar desde Dropbox</t>
  </si>
  <si>
    <t>ドロップボックスからインポート</t>
  </si>
  <si>
    <t>https://drive.google.com/file/d/1Q_6DOZHTOJpH4B2_nelyGPRAARZnB4Ha/view?usp=sharing</t>
  </si>
  <si>
    <t>Please authenticate with Dropbox to select files</t>
  </si>
  <si>
    <t>Por favor autentíquese con Dropbox para seleccionar archivos</t>
  </si>
  <si>
    <t>ファイルを選択するためにドロップボックスで認証してください</t>
  </si>
  <si>
    <t>Connect to Dropbox</t>
  </si>
  <si>
    <t>Conéctese a Dropbox</t>
  </si>
  <si>
    <t>ドロップボックスに接続</t>
  </si>
  <si>
    <t>https://drive.google.com/file/d/18mSQzB9tvWDhFUG35BhjWzrHbeENU-Rl/view?usp=sharing</t>
  </si>
  <si>
    <t>Import from Camera</t>
  </si>
  <si>
    <t>Importar desde Cámara</t>
  </si>
  <si>
    <t>カメラからインポート</t>
  </si>
  <si>
    <t>カメラへのアクセスを許可してください</t>
  </si>
  <si>
    <t>写真撮影またはビデオ録画を行うためにこのサイトでのカメラへのアクセスを許可してください</t>
  </si>
  <si>
    <t>https://drive.google.com/file/d/1KPz5nueITQPB7Rpv5m9ymOom62zpWqem/view?usp=sharing</t>
  </si>
  <si>
    <t>Take a picture</t>
  </si>
  <si>
    <t>Tome una foto</t>
  </si>
  <si>
    <t>写真を撮影する</t>
  </si>
  <si>
    <t>https://drive.google.com/file/d/1O6OkN8a_dpndAAMzXz7D_m950OxSrn3h/view?usp=sharing</t>
  </si>
  <si>
    <t>Begin video recording</t>
  </si>
  <si>
    <t>Comenzar grabación de video</t>
  </si>
  <si>
    <t>ビデオ録画を始める</t>
  </si>
  <si>
    <t>https://drive.google.com/file/d/14ZJ_iOb_x3iDGns_K50kEVInDZ0GBPZo/view?usp=sharing</t>
  </si>
  <si>
    <t>https://drive.google.com/file/d/1eJgfvjtO7Ey-VfEFvPjQmzU-TVGsYejp/view?usp=sharing</t>
  </si>
  <si>
    <t>https://drive.google.com/file/d/1zQdFO0i3uE7eB9ZFdTxDWwgFgtRyufNj/view?usp=sharing</t>
  </si>
  <si>
    <t>Upload failed</t>
  </si>
  <si>
    <t>Carga fallida</t>
  </si>
  <si>
    <t>アップロードに失敗しました</t>
  </si>
  <si>
    <t>Failed to upload</t>
  </si>
  <si>
    <t>Falla al Cargar</t>
  </si>
  <si>
    <t>https://drive.google.com/file/d/12zNwHL1R4TRhfWCsitghNarh16Oxo2R7/view?usp=sharing</t>
  </si>
  <si>
    <t>Import from Screencast</t>
  </si>
  <si>
    <t>Importar desde Screencast</t>
  </si>
  <si>
    <t>スクリーンキャストからインポート</t>
  </si>
  <si>
    <t>https://drive.google.com/file/d/1Qjxr7RJPfo6UXDqJHWNR3AeoHy21XTun/view?usp=sharing</t>
  </si>
  <si>
    <t>Stream active</t>
  </si>
  <si>
    <t>Transmisión activa</t>
  </si>
  <si>
    <t>ストリームをオンにする</t>
  </si>
  <si>
    <t>https://drive.google.com/file/d/1jjRqymZKtPSsGzb_3J-VlPujHiT_40HE/view?usp=sharing</t>
  </si>
  <si>
    <t>Begin screen capturing</t>
  </si>
  <si>
    <t>Comenzar captura de pantalla</t>
  </si>
  <si>
    <t>スクリーンキャプチャーを始める</t>
  </si>
  <si>
    <t>https://drive.google.com/file/d/1YkV7n79jPCZM6lVy8iI13eR89FZso13d/view?usp=sharing</t>
  </si>
  <si>
    <t>Recording</t>
  </si>
  <si>
    <t>Grabando</t>
  </si>
  <si>
    <t>録画中</t>
  </si>
  <si>
    <t>https://drive.google.com/file/d/1qZxOtgmaxX7hvzs_3NPgQifiF9pm8LuH/view?usp=sharing</t>
  </si>
  <si>
    <t>No task list</t>
  </si>
  <si>
    <t>Sin lista de tareas</t>
  </si>
  <si>
    <t>タスクリストはありません</t>
  </si>
  <si>
    <t>Create a task list to keep track of changes. You could also create templates for later.</t>
  </si>
  <si>
    <t>変更の追跡をするためにタスクリストを作成します。後で使用するためのテンプレートを作成することもできます。</t>
  </si>
  <si>
    <t>https://drive.google.com/file/d/15ZUHk-IBXFl2iKrzakwuHQRBlUO2vY6w/view?usp=sharing</t>
  </si>
  <si>
    <t>Location</t>
  </si>
  <si>
    <t>Ubicación</t>
  </si>
  <si>
    <t>ロケーション</t>
  </si>
  <si>
    <t>Changed Due Date</t>
  </si>
  <si>
    <t>Fecha de Vencimiento cambiada</t>
  </si>
  <si>
    <t>期日が変更になりました</t>
  </si>
  <si>
    <t>～に</t>
  </si>
  <si>
    <t>Asignó ticket a</t>
  </si>
  <si>
    <t>～にチケットが割り当てられました</t>
  </si>
  <si>
    <t>https://drive.google.com/file/d/1vSiXPPuwq_uIpv5trUZxnMQ1PiJcpmFr/view?usp=sharing</t>
  </si>
  <si>
    <t>添付が追加されました</t>
  </si>
  <si>
    <t>Attachment Added</t>
  </si>
  <si>
    <t>https://drive.google.com/file/d/13QXGWjcEeV4_M6UkX-AM9F1DiKfMH5ns/view?usp=sharing</t>
  </si>
  <si>
    <t>Deleted attachment</t>
  </si>
  <si>
    <t>Eliminó archivo adjunto</t>
  </si>
  <si>
    <t>添付が削除されました</t>
  </si>
  <si>
    <t>Deleted 1 attachment</t>
  </si>
  <si>
    <t>Eliminó 1 archivo adjunto</t>
  </si>
  <si>
    <t>1つの添付が削除されました</t>
  </si>
  <si>
    <t>https://drive.google.com/file/d/1_dCg0ShALAckB2UhOHBCNYCoaGt6zT7W/view?usp=sharing</t>
  </si>
  <si>
    <t>New Checklist</t>
  </si>
  <si>
    <t>Nueva lista de verificación</t>
  </si>
  <si>
    <t>新しいチェックリスト</t>
  </si>
  <si>
    <t>https://drive.google.com/file/d/1N94LPESzyB6xCQkN8FjBxTen7s5rbSB4/view?usp=sharing</t>
  </si>
  <si>
    <t>Task List</t>
  </si>
  <si>
    <t>Lista de tareas</t>
  </si>
  <si>
    <t>タスクリスト</t>
  </si>
  <si>
    <t>チェックリスト</t>
  </si>
  <si>
    <t>新しいチェックリストを作成</t>
  </si>
  <si>
    <t>保存</t>
  </si>
  <si>
    <t>https://drive.google.com/file/d/1VGlw3lfmWAS7x1HIYLtIwDf2W-T7H2B6/view?usp=sharing</t>
  </si>
  <si>
    <t>注記をここに加える</t>
  </si>
  <si>
    <t>解決済</t>
  </si>
  <si>
    <t>拒否されました</t>
  </si>
  <si>
    <t>保留中</t>
  </si>
  <si>
    <t>進行中</t>
  </si>
  <si>
    <t>https://drive.google.com/file/d/1xgPzh3GSjk5GsNOSoTIeeJHYSqBBya1m/view?usp=sharing</t>
  </si>
  <si>
    <t>Add task</t>
  </si>
  <si>
    <t>Añadir tarea</t>
  </si>
  <si>
    <t>タスクを追加</t>
  </si>
  <si>
    <t>https://drive.google.com/file/d/196wdtnhI1g_k-l8MP2dhXIZx7exjNDsh/view?usp=sharing</t>
  </si>
  <si>
    <t>Editar nombre</t>
  </si>
  <si>
    <t>名前を編集</t>
  </si>
  <si>
    <t>https://drive.google.com/file/d/1bqeo8YEVEhRyDMahEHHpakuCwPiT5kRt/view?usp=sharing</t>
  </si>
  <si>
    <t>チェックリストを複製</t>
  </si>
  <si>
    <t>https://drive.google.com/file/d/1u7IcMhr_RS29Orgf1h7QiKjPZfm6Ch_4/view?usp=sharing</t>
  </si>
  <si>
    <t>チェックリストが複製されました</t>
  </si>
  <si>
    <t>https://drive.google.com/file/d/1AEgsGU92eF9TmZL_vY0NCW2eknEO_qlm/view?usp=sharing</t>
  </si>
  <si>
    <t>https://drive.google.com/file/d/1yoFQMijRyGpP07-9lqPNNOZ5GehfFNIJ/view?usp=sharing</t>
  </si>
  <si>
    <t>Are you sure you want to delete Checklist?</t>
  </si>
  <si>
    <t>¿Está seguro que desea eliminar esta Lista de Verificación?</t>
  </si>
  <si>
    <t>チェックリストを削除しますか？</t>
  </si>
  <si>
    <t>https://drive.google.com/file/d/12_FJRsMMtzM-JPSztD_KX_K3prmE0eV3/view?usp=sharing</t>
  </si>
  <si>
    <t>Asignar todas a</t>
  </si>
  <si>
    <t>全てに割り当て</t>
  </si>
  <si>
    <t>https://drive.google.com/file/d/1SxeL6wVFKvMxcLnpuaz7CsTa6pWxwOwo/view?usp=sharing</t>
  </si>
  <si>
    <t>Search Users</t>
  </si>
  <si>
    <t>Buscar Usuarios</t>
  </si>
  <si>
    <t>ユーザーを検索</t>
  </si>
  <si>
    <t>https://drive.google.com/file/d/1XWaFthszojk8iWajVCm4Wd0bLQVRv_zR/view?usp=sharing</t>
  </si>
  <si>
    <t>Desasignar todas</t>
  </si>
  <si>
    <t>全ての割り当てを解除する</t>
  </si>
  <si>
    <t>Verificar todas</t>
  </si>
  <si>
    <t>全て選択</t>
  </si>
  <si>
    <t>https://drive.google.com/file/d/1FYhhIoNA1sdcIFcVC2rS2Kd83m1Y7tWG/view?usp=sharing</t>
  </si>
  <si>
    <t>テンプレートとして保存</t>
  </si>
  <si>
    <t>https://drive.google.com/file/d/11iKZnxbkdnZhszd5QKVhZN47nSsLb2Wq/view?usp=sharing</t>
  </si>
  <si>
    <t>テンプレートを選択</t>
  </si>
  <si>
    <t>含む</t>
  </si>
  <si>
    <t>https://drive.google.com/file/d/1pJEXf7MGxnatPEfG3ZIMuV5c9NSjwBFM/view?usp=sharing</t>
  </si>
  <si>
    <t>テンプレートからダウンロード</t>
  </si>
  <si>
    <t>https://drive.google.com/file/d/1_ib2IaXy5yF-7AWdJWfIphoYD7Efrtz2/view?usp=sharing</t>
  </si>
  <si>
    <t>https://drive.google.com/file/d/1NtLcVjFAP1AB3o2PHt2D_rtXy_-Cod-p/view?usp=sharing</t>
  </si>
  <si>
    <t>No Activity</t>
  </si>
  <si>
    <t>Sin Actividad</t>
  </si>
  <si>
    <t>アクティビティ無し</t>
  </si>
  <si>
    <t>No changes made to this ticket since its creation</t>
  </si>
  <si>
    <t>No se han hecho cambios en este ticket desde su creación</t>
  </si>
  <si>
    <t>チケット作成以降変更なし</t>
  </si>
  <si>
    <t>New comments</t>
  </si>
  <si>
    <t>Nuevos comentarios</t>
  </si>
  <si>
    <t>新しいコメント</t>
  </si>
  <si>
    <t>https://drive.google.com/file/d/12m7PQdVJgyBjYNAL2DztzVd_wR8lD7DX/view?usp=sharing</t>
  </si>
  <si>
    <t>ピン留め</t>
  </si>
  <si>
    <t>返信</t>
  </si>
  <si>
    <t>コメントを入力</t>
  </si>
  <si>
    <t>https://drive.google.com/file/d/1qm9oYi78jZ5ZRl9SKDijazVTBT4XPrHa/view?usp=sharing</t>
  </si>
  <si>
    <t>閉じる</t>
  </si>
  <si>
    <t>https://drive.google.com/file/d/1HjMzEj_1XE58iidJ5sEsqYSaZ1IWdtqO/view?usp=sharing</t>
  </si>
  <si>
    <t>コメントのピン留めを外す</t>
  </si>
  <si>
    <t>このコメントに返信する</t>
  </si>
  <si>
    <t>このコメントを編集する</t>
  </si>
  <si>
    <t>このコメントを削除する</t>
  </si>
  <si>
    <t>https://drive.google.com/file/d/1yOQnNdks1FCxGLS2B88NU7wSBlFOy32C/view?usp=sharing</t>
  </si>
  <si>
    <t>Ctrl + Enter to add the comment</t>
  </si>
  <si>
    <t>Ctrl + Enter para añadir el comentario</t>
  </si>
  <si>
    <t>Ctrl + Enterでコメントを追加する</t>
  </si>
  <si>
    <t>https://drive.google.com/file/d/1CPKDd07Ozk5t_y9oGVtepKxgrC2SVmNV/view?usp=sharing</t>
  </si>
  <si>
    <t>https://drive.google.com/file/d/1MCr_1QSvDBUmORHhxDqzEBEV2U8DOlaa/view?usp=sharing</t>
  </si>
  <si>
    <t>この会話をピン留めする</t>
  </si>
  <si>
    <t>https://drive.google.com/file/d/1LAcp09j7aUVL9lVS-jqX6PjEYmqSkoSS/view?usp=sharing</t>
  </si>
  <si>
    <t>Follow</t>
  </si>
  <si>
    <t>Seguir</t>
  </si>
  <si>
    <t>フォロー</t>
  </si>
  <si>
    <t>https://drive.google.com/file/d/178DO1gvTsll3aYwVCfmmDqKLf40Qp-b-/view?usp=sharing</t>
  </si>
  <si>
    <t>検索 / タグの作成</t>
  </si>
  <si>
    <t>https://drive.google.com/file/d/1JkHg_8gXtIr0dkejVfO6dmSGtj5H9CgA/view?usp=sharing</t>
  </si>
  <si>
    <t>もっと見る</t>
  </si>
  <si>
    <t>https://drive.google.com/file/d/1Z1DHAY6Pp4PNLdRnRs5bhi9HjBSVUyNc/view?usp=sharing</t>
  </si>
  <si>
    <t>新しいスケジュール</t>
  </si>
  <si>
    <t>頻度</t>
  </si>
  <si>
    <t>毎週</t>
  </si>
  <si>
    <t>毎</t>
  </si>
  <si>
    <t>週</t>
  </si>
  <si>
    <t>https://drive.google.com/file/d/1HjhGN4Vf08Iru1kTZ3ipAX_eO-VK-a9t/view?usp=sharing</t>
  </si>
  <si>
    <t>月</t>
  </si>
  <si>
    <t>火</t>
  </si>
  <si>
    <t>水</t>
  </si>
  <si>
    <t>木</t>
  </si>
  <si>
    <t>金</t>
  </si>
  <si>
    <t>土</t>
  </si>
  <si>
    <t>https://drive.google.com/file/d/19m0VUbUUdiHCI5BV9xZ_PCTO2umkkAfA/view?usp=sharing</t>
  </si>
  <si>
    <t>日</t>
  </si>
  <si>
    <t>ずっと繰り返す</t>
  </si>
  <si>
    <t>繰り返し</t>
  </si>
  <si>
    <t>回数</t>
  </si>
  <si>
    <t>https://drive.google.com/file/d/1bwgmNOoVcapbeOU1OP4jsn9rWJpXHqrH/view?usp=sharing</t>
  </si>
  <si>
    <t>～まで繰り返す</t>
  </si>
  <si>
    <t>逃したチケットをスキップする</t>
  </si>
  <si>
    <t>https://drive.google.com/file/d/17JlJCj9E94cE4vlu1Ge6gdSoJ8esE6-O/view?usp=sharing</t>
  </si>
  <si>
    <t>毎日</t>
  </si>
  <si>
    <t>https://drive.google.com/file/d/1jVcSyIA2RrFHYgMfPrxFwuHF8G7uC4GR/view?usp=sharing</t>
  </si>
  <si>
    <t>毎月</t>
  </si>
  <si>
    <t>日にち指定</t>
  </si>
  <si>
    <t>https://drive.google.com/file/d/1ECrXa6QUhjbQpNoCcOm8cVYTJSi8tBmi/view?usp=sharing</t>
  </si>
  <si>
    <t>第一</t>
  </si>
  <si>
    <t>第二</t>
  </si>
  <si>
    <t>第三</t>
  </si>
  <si>
    <t>第四</t>
  </si>
  <si>
    <t>最終</t>
  </si>
  <si>
    <t>https://drive.google.com/file/d/1WtaXOH07RRjWJ5z9mebwf7wla3JnhVv2/view?usp=sharing</t>
  </si>
  <si>
    <t>月曜日</t>
  </si>
  <si>
    <t>火曜日</t>
  </si>
  <si>
    <t>水曜日</t>
  </si>
  <si>
    <t>木曜日</t>
  </si>
  <si>
    <t>金曜日</t>
  </si>
  <si>
    <t>https://drive.google.com/file/d/1pj-BMt_GFUFsWnyn2NLi8CZ6L-X5Nieg/view?usp=sharing</t>
  </si>
  <si>
    <t>土曜日</t>
  </si>
  <si>
    <t>日曜日</t>
  </si>
  <si>
    <t>https://drive.google.com/file/d/1RSIiqr5lB-VNByXfXUnGh23Eq9aVIuSa/view?usp=sharing</t>
  </si>
  <si>
    <t>When checked, if a ticket is missed because the status of the ticket was not updated before due date, that ticket will be skipped. This means, only tickets in the future are possible.</t>
  </si>
  <si>
    <t xml:space="preserve">Cuando se escoge esta opción, si un ticket es incumplido debido a que su estado no fue actualizado antes de la fecha de vencimiento, dicho ticket será omitido. Esto significa que sólo tickets en tiempo futuro son posibles.
</t>
  </si>
  <si>
    <t>これを有効にすると、チケットのステータスが期日までに更新されなかったためにチケットを見逃した場合は、そのチケットはスキップされます。つまり未来のチケットのみが有効となります。</t>
  </si>
  <si>
    <t>https://drive.google.com/file/d/1j_4t_XnRiXyCpfezXQFS2q8wCJQUVSPb/view?usp=sharing</t>
  </si>
  <si>
    <t>無し</t>
  </si>
  <si>
    <t>https://drive.google.com/file/d/1dM4sqhfieJT7YkZlIiesZ2TddNyKu-_7/view?usp=sharing</t>
  </si>
  <si>
    <t>Files</t>
  </si>
  <si>
    <t>Archivos</t>
  </si>
  <si>
    <t>ファイル</t>
  </si>
  <si>
    <t>Folders</t>
  </si>
  <si>
    <t>Carpetas</t>
  </si>
  <si>
    <t>フォルダー</t>
  </si>
  <si>
    <t>https://drive.google.com/file/d/1xXosxaVtup3RiB1cJlH8HHlda76WI5ce/view?usp=sharing</t>
  </si>
  <si>
    <t>https://drive.google.com/file/d/1PqsFs5PGj7MQAYegKPdS0VoYFSkMkozW/view?usp=sharing</t>
  </si>
  <si>
    <t>フォーム</t>
  </si>
  <si>
    <t>https://drive.google.com/file/d/1qQ6-_Ds0alnPaQVeU0jVYvipZyGjMXMh/view?usp=sharing</t>
  </si>
  <si>
    <t>Shared with me</t>
  </si>
  <si>
    <t>Compartido conmigo</t>
  </si>
  <si>
    <t>あなたにシェアされました</t>
  </si>
  <si>
    <t>My submission</t>
  </si>
  <si>
    <t>Mis entregas</t>
  </si>
  <si>
    <t>私の提出物</t>
  </si>
  <si>
    <t>Other submission</t>
  </si>
  <si>
    <t>Otras entregas</t>
  </si>
  <si>
    <t>他の提出物</t>
  </si>
  <si>
    <t>No forms</t>
  </si>
  <si>
    <t>フォーム無し</t>
  </si>
  <si>
    <t>新しいフォーム</t>
  </si>
  <si>
    <t>https://drive.google.com/file/d/1aLp6ktqxOfo8DX8TgEOxG6YUJDXjFNEO/view?usp=sharing</t>
  </si>
  <si>
    <t>Uh-oh, looks like you haven't submitted any forms. All the forms that you submit will be displayed here</t>
  </si>
  <si>
    <t>¡Oh-oh, parece que no ha entregado ningún formulario! Todos los formularios que usted entregue serán mostrados aquí</t>
  </si>
  <si>
    <t>https://drive.google.com/file/d/16UDSXFTcBactwptkF2QxRQfW2Rj33RbY/view?usp=sharing</t>
  </si>
  <si>
    <t>No hay borradores para mostrar todavía</t>
  </si>
  <si>
    <t>https://drive.google.com/file/d/1q-ZcTZYk3IcftpoW3Nh1H_Jtpi5Rma5V/view?usp=sharing</t>
  </si>
  <si>
    <t>Formulario sin Título</t>
  </si>
  <si>
    <t>未タイトルフォーム</t>
  </si>
  <si>
    <t>全ての変更が保存されました</t>
  </si>
  <si>
    <t>Form</t>
  </si>
  <si>
    <t>Formulario</t>
  </si>
  <si>
    <t>提出物</t>
  </si>
  <si>
    <t>公開する</t>
  </si>
  <si>
    <t>Asset Location</t>
  </si>
  <si>
    <t>Ubicación del Activo</t>
  </si>
  <si>
    <t>アセットロケーション</t>
  </si>
  <si>
    <t>https://drive.google.com/file/d/1dGbBQ0DMYiT3OWpAZq-eL2S9QEXHsLu4/view?usp=sharing</t>
  </si>
  <si>
    <t xml:space="preserve">Section </t>
  </si>
  <si>
    <t xml:space="preserve">Sección </t>
  </si>
  <si>
    <t>https://drive.google.com/file/d/129XZfwm2yanSK_x0Wc3SqzcGbVWxXUPW/view?usp=sharing</t>
  </si>
  <si>
    <t>リンクをコピー</t>
  </si>
  <si>
    <t>https://drive.google.com/file/d/1-Fnc-mDkk9B_6yqLyitdQI6zfQvCHKvh/view?usp=sharing</t>
  </si>
  <si>
    <t>Link Copied!</t>
  </si>
  <si>
    <t>¡Enlace copiado!</t>
  </si>
  <si>
    <t>リンクがコピーされました！</t>
  </si>
  <si>
    <t>https://drive.google.com/file/d/1VLQAHwdMl0bMyJZMMNN-L8RCyFr2RFfa/view?usp=sharing</t>
  </si>
  <si>
    <t>スケジュール</t>
  </si>
  <si>
    <t>https://drive.google.com/file/d/1LBfgJyP0zf0o8bZCEpf4ZFTl8DlmChT-/view?usp=sharing</t>
  </si>
  <si>
    <t>https://drive.google.com/file/d/1osDHSiGP3XQ2ML_KCOAF9D4UhjLZNLCq/view?usp=sharing</t>
  </si>
  <si>
    <t>https://drive.google.com/file/d/1nvw7tNYNvlK3Aga4PoZ8xS2dIGE-2Pj3/view?usp=sharing</t>
  </si>
  <si>
    <t>Start Building!</t>
  </si>
  <si>
    <t>¡Comience a Crear!</t>
  </si>
  <si>
    <t>https://drive.google.com/file/d/1hnWIreHfKvJrxT1_DnezRntEBXk8dhiJ/view?usp=sharing</t>
  </si>
  <si>
    <t>Saved Successfully</t>
  </si>
  <si>
    <t>Guardado Exitosamente</t>
  </si>
  <si>
    <t>https://drive.google.com/file/d/1iEO42jQ-BS8aHOwFxgeHX9W2PYaUy6FW/view?usp=sharing</t>
  </si>
  <si>
    <t>Responses</t>
  </si>
  <si>
    <t>Respuestas</t>
  </si>
  <si>
    <t>https://drive.google.com/file/d/1HvCK9pKnVvOc1DuCR8xUB_CSkvPhvpXX/view?usp=sharing</t>
  </si>
  <si>
    <t>Attachments and tables fields will not be included</t>
  </si>
  <si>
    <t>Los campos de archivos adjuntos y tablas no serán incluidos</t>
  </si>
  <si>
    <t>https://drive.google.com/file/d/1xPuJdo7fqB1FvS8DOFstx7TkQtMvqlF7/view?usp=sharing</t>
  </si>
  <si>
    <t>Filters are not available for this form</t>
  </si>
  <si>
    <t>Los filtros no están disponibles para este formulario</t>
  </si>
  <si>
    <t>https://drive.google.com/file/d/1NpIRVRgEDZZlPh4sJU9O81Fp94Dite2_/view?usp=sharing</t>
  </si>
  <si>
    <t>1 Selected</t>
  </si>
  <si>
    <t>1 Seleccionado</t>
  </si>
  <si>
    <t>https://drive.google.com/file/d/1rKcAbZbN-qIGgxEpmTAihM7bgwE3-whP/view?usp=sharing</t>
  </si>
  <si>
    <t>Form yet to be submitted</t>
  </si>
  <si>
    <t>Aún no se han entregado formularios</t>
  </si>
  <si>
    <t>https://drive.google.com/file/d/1eiAggbWUl2th9Mj8L-0TvJvmtXfCswdD/view?usp=sharing</t>
  </si>
  <si>
    <t>Submitted form by any users can be viewed here, there are not submissions yet</t>
  </si>
  <si>
    <t>Los formularios entregados por cualquier usuario pueden ser visualizados aquí, no hay entregas realizadas todavía</t>
  </si>
  <si>
    <t>Try submitting the form first</t>
  </si>
  <si>
    <t>Intente primero entregar un formulario</t>
  </si>
  <si>
    <t>https://drive.google.com/file/d/1hV7r5biCIFXfW2M9J5FETi_CT3-CWm9E/view?usp=sharing</t>
  </si>
  <si>
    <t>Instances</t>
  </si>
  <si>
    <t>Casos</t>
  </si>
  <si>
    <t>Assigned to</t>
  </si>
  <si>
    <t>Asignado a</t>
  </si>
  <si>
    <t>https://drive.google.com/file/d/1j2KYwU1Kppmm8X9NEjXjuKd5aSFNmVoC/view?usp=sharing</t>
  </si>
  <si>
    <t>https://drive.google.com/file/d/1tQ4R5d35x58-S9ldceOtc59PFrK6Ib1a/view?usp=sharing</t>
  </si>
  <si>
    <t>https://drive.google.com/file/d/12CAR0cs9-njd7yf3LL_Ia4Fuwk1DgKVy/view?usp=sharing</t>
  </si>
  <si>
    <t>https://drive.google.com/file/d/1GFSy74CI_B40ohnmMQc_s0FfyXS3AGY1/view?usp=sharing</t>
  </si>
  <si>
    <t>You can upload a file here</t>
  </si>
  <si>
    <t>Usted puede cargar un archivo aquí</t>
  </si>
  <si>
    <t>https://drive.google.com/file/d/1kcmr-dRi6kFMArkFw2lqJydw782mpL3Z/view?usp=sharing</t>
  </si>
  <si>
    <t>https://drive.google.com/file/d/1oZN4tb5opLDcZUxNd85mBreOhP5O6Tsl/view?usp=sharing</t>
  </si>
  <si>
    <t>does not meet minimum lenght of 1</t>
  </si>
  <si>
    <t>No cumple con el requerimiento de longitud mínimo de 1 carácter</t>
  </si>
  <si>
    <t>https://drive.google.com/file/d/10mcHhvq0LYynvQXtbsWoiWu483gtdEVB/view?usp=sharing</t>
  </si>
  <si>
    <t>Enter text here</t>
  </si>
  <si>
    <t>Introduzca el texto aquí</t>
  </si>
  <si>
    <t>Please enter a valid text</t>
  </si>
  <si>
    <t>Por favor introduzca un texto válido</t>
  </si>
  <si>
    <t>https://drive.google.com/file/d/1vRMcmjr2EUxb1J6uJ3q2TJkNwXmiEvh5/view?usp=sharing</t>
  </si>
  <si>
    <t>Enter number here</t>
  </si>
  <si>
    <t>Introduzca un número aquí</t>
  </si>
  <si>
    <t>is not of a type(s) number</t>
  </si>
  <si>
    <t>no es del tipo número</t>
  </si>
  <si>
    <t>Edit Details</t>
  </si>
  <si>
    <t>Editar Detalles</t>
  </si>
  <si>
    <t>Update Details</t>
  </si>
  <si>
    <t>Actualizar Detalles</t>
  </si>
  <si>
    <t>Height</t>
  </si>
  <si>
    <t>Altura</t>
  </si>
  <si>
    <t>Create Group</t>
  </si>
  <si>
    <t>Crear Grupo</t>
  </si>
  <si>
    <t>Marker</t>
  </si>
  <si>
    <t>Marcador</t>
  </si>
  <si>
    <t>https://drive.google.com/file/d/1SoTCvLWUK6NXeIX9jYDt13B954iKA-xr/view?usp=sharing</t>
  </si>
  <si>
    <t>Create forms from Template</t>
  </si>
  <si>
    <t>Crear formularios desde plantilla</t>
  </si>
  <si>
    <t>https://drive.google.com/file/d/1nzChbO6t7LW0kw5aj0B4fv9S0v4J_EiV/view?usp=sharing</t>
  </si>
  <si>
    <t>Forms bulk actions</t>
  </si>
  <si>
    <t>Acciones por volumen para formularios</t>
  </si>
  <si>
    <t>https://drive.google.com/file/d/1ZXhQz2JHAh-5f1ikXGhY7U-oZ-OX87Ry/view?usp=sharing</t>
  </si>
  <si>
    <t>Are you sure you want to delete ...?</t>
  </si>
  <si>
    <t>https://drive.google.com/file/d/1zDbeSL3dcr1TgzduWh1zgsgExdb8MuPZ/view?usp=sharing</t>
  </si>
  <si>
    <t>app-thermal-scanning</t>
  </si>
  <si>
    <t>Thermal Scanning</t>
  </si>
  <si>
    <t>Imagen térmica</t>
  </si>
  <si>
    <t>kW Afectados</t>
  </si>
  <si>
    <t>app-count-defects</t>
  </si>
  <si>
    <t># Defects</t>
  </si>
  <si>
    <t># de Defectos</t>
  </si>
  <si>
    <t>https://drive.google.com/file/d/1RbWKgJZbAYDN6cktq9KYkup9QYWE4I25/view?usp=sharing</t>
  </si>
  <si>
    <t>Report Dashboard</t>
  </si>
  <si>
    <t>Tablero de Reportes</t>
  </si>
  <si>
    <t>New View</t>
  </si>
  <si>
    <t>Nueva Vista</t>
  </si>
  <si>
    <t>https://drive.google.com/file/d/1dvgdmGWf6lf94R5yqKZILOdERwArVmyR/view?usp=sharing</t>
  </si>
  <si>
    <t>Created On</t>
  </si>
  <si>
    <t>Creado el</t>
  </si>
  <si>
    <t>app-no-associated-entity</t>
  </si>
  <si>
    <t>No associated entity</t>
  </si>
  <si>
    <t>No hay entidades asociadas</t>
  </si>
  <si>
    <t>app-temperature-histogram</t>
  </si>
  <si>
    <t>Temperature Histogram</t>
  </si>
  <si>
    <t>Histograma de Temperatura</t>
  </si>
  <si>
    <t>Número de incidencias</t>
  </si>
  <si>
    <t>app-temperature-difference</t>
  </si>
  <si>
    <t>Temperature Difference</t>
  </si>
  <si>
    <t>Diferencia de Temperatura</t>
  </si>
  <si>
    <t>app-go-to-map</t>
  </si>
  <si>
    <t>Go to Map</t>
  </si>
  <si>
    <t>https://drive.google.com/file/d/1YZldQqNxr5AOc77wwVvRdOFgA3-bKPdA/view?usp=sharing</t>
  </si>
  <si>
    <t>Sin Descripción</t>
  </si>
  <si>
    <t>説明無し</t>
  </si>
  <si>
    <t>割り当てチーム無し</t>
  </si>
  <si>
    <t>Download CSV</t>
  </si>
  <si>
    <t>Descargar CSV</t>
  </si>
  <si>
    <t>Tickets Progress</t>
  </si>
  <si>
    <t>Progreso de los Tickets</t>
  </si>
  <si>
    <t>https://drive.google.com/file/d/1BXdaiPhWl5CnZBAqMfYtRZRXYUxN0ySN/view?usp=sharing</t>
  </si>
  <si>
    <t>Download Plot</t>
  </si>
  <si>
    <t>Descargar imagen</t>
  </si>
  <si>
    <t>ダウンロードされたプロット</t>
  </si>
  <si>
    <t>https://drive.google.com/file/d/1Mw6XqKhJLyt-DXbczccw52SJH6zuCvVB/view?usp=sharing</t>
  </si>
  <si>
    <t>Zoom</t>
  </si>
  <si>
    <t>Herramienta Zoom</t>
  </si>
  <si>
    <t>ズーム</t>
  </si>
  <si>
    <t>https://drive.google.com/file/d/1XZNAsbCYg9ZbrTEkqkKltRGC3nBMuzcp/view?usp=sharing</t>
  </si>
  <si>
    <t>Pan</t>
  </si>
  <si>
    <t>Panorámica</t>
  </si>
  <si>
    <t>パン</t>
  </si>
  <si>
    <t>https://drive.google.com/file/d/1wO73nVXsTvWeWF2fCqrmVbn1mXq4pvXS/view?usp=sharing</t>
  </si>
  <si>
    <t>https://drive.google.com/file/d/1v02fUUYogFlBFZ0rXcdVFZAHbth-9qfh/view?usp=sharing</t>
  </si>
  <si>
    <t>app-defect-status</t>
  </si>
  <si>
    <t>https://drive.google.com/file/d/1xrkqr9aVsdJCvzXfRRNTATbJGuEjyi-e/view?usp=sharing</t>
  </si>
  <si>
    <t>Defect Status</t>
  </si>
  <si>
    <t>Estado de Defectos</t>
  </si>
  <si>
    <t>app-project</t>
  </si>
  <si>
    <t>Project</t>
  </si>
  <si>
    <t>Proyecto</t>
  </si>
  <si>
    <t>app-not-valid</t>
  </si>
  <si>
    <t>Not Valid</t>
  </si>
  <si>
    <t>Inválido</t>
  </si>
  <si>
    <t>app-valid</t>
  </si>
  <si>
    <t>Valid</t>
  </si>
  <si>
    <t>Válido</t>
  </si>
  <si>
    <t>app-fixed</t>
  </si>
  <si>
    <t>Fixed</t>
  </si>
  <si>
    <t>Corregido</t>
  </si>
  <si>
    <t>app-defects-counts</t>
  </si>
  <si>
    <t>Defects Counts</t>
  </si>
  <si>
    <t>app-defects-type</t>
  </si>
  <si>
    <t>Defects Type</t>
  </si>
  <si>
    <t>Tipos de Defectos</t>
  </si>
  <si>
    <t>app-counts</t>
  </si>
  <si>
    <t>Counts</t>
  </si>
  <si>
    <t>Cantidad</t>
  </si>
  <si>
    <t>app-hotspot</t>
  </si>
  <si>
    <t>app-bypass-diode-active</t>
  </si>
  <si>
    <t>app-module-hot</t>
  </si>
  <si>
    <t>app-module-short-circuit</t>
  </si>
  <si>
    <t>app-string-hot</t>
  </si>
  <si>
    <t>app-string-reverse-polarity</t>
  </si>
  <si>
    <t>app-potential-Induced-degradation-(PID)</t>
  </si>
  <si>
    <t>Potential-Induced Degradation (PID)</t>
  </si>
  <si>
    <t>app-dirt-shadow</t>
  </si>
  <si>
    <t>Dirt/Shadow</t>
  </si>
  <si>
    <t>Suciedad / Sombra</t>
  </si>
  <si>
    <t>app-vegetation</t>
  </si>
  <si>
    <t>Vegetation</t>
  </si>
  <si>
    <t>Vegetación</t>
  </si>
  <si>
    <t>app-tracker-malfunction</t>
  </si>
  <si>
    <t>Tracker Malfunction</t>
  </si>
  <si>
    <t>Avería en tracker</t>
  </si>
  <si>
    <t>app-cracked-modules</t>
  </si>
  <si>
    <t>Cracked Modules</t>
  </si>
  <si>
    <t>Microrotura en módulo</t>
  </si>
  <si>
    <t>app-modules</t>
  </si>
  <si>
    <t>https://drive.google.com/file/d/14Nb077U3kg66xUJSL4TsvSDnxiseGFSd/view?usp=sharing</t>
  </si>
  <si>
    <t>Modules</t>
  </si>
  <si>
    <t>Módulos</t>
  </si>
  <si>
    <t>app-strings</t>
  </si>
  <si>
    <t>Strings</t>
  </si>
  <si>
    <t>app-combiner-boxes</t>
  </si>
  <si>
    <t>Combiner Boxes</t>
  </si>
  <si>
    <t>Cajas de conexión</t>
  </si>
  <si>
    <t>app-nverters</t>
  </si>
  <si>
    <t>https://drive.google.com/file/d/1lrC_FA3FzU0jz9jd_TgKFCZNFE0aqhJQ/view?usp=sharing</t>
  </si>
  <si>
    <t>Create Thermal View for</t>
  </si>
  <si>
    <t>Crear Vista de Thermal para</t>
  </si>
  <si>
    <t>次のサーマルビューを作成</t>
  </si>
  <si>
    <t>ASSET?</t>
  </si>
  <si>
    <t>¿Activo?</t>
  </si>
  <si>
    <t>Create Thermal new</t>
  </si>
  <si>
    <t>Crear nueva Vista de Thermal</t>
  </si>
  <si>
    <t>サーマルビューを作成</t>
  </si>
  <si>
    <t>https://drive.google.com/file/d/1pxbRxBJ92Wn1WyBVjVgaLhS9tiopQ-Iz/view?usp=sharing</t>
  </si>
  <si>
    <t>app-blocks</t>
  </si>
  <si>
    <t>Blocks</t>
  </si>
  <si>
    <t>Bloques</t>
  </si>
  <si>
    <t>app-area-1</t>
  </si>
  <si>
    <t>Area 1</t>
  </si>
  <si>
    <t>Área 1</t>
  </si>
  <si>
    <t>app-issues</t>
  </si>
  <si>
    <t>Issues</t>
  </si>
  <si>
    <t>Incidencias</t>
  </si>
  <si>
    <t>app-racks</t>
  </si>
  <si>
    <t>app-table</t>
  </si>
  <si>
    <t>https://drive.google.com/file/d/1rYm33obt0dJzNojPHvSxMtUzuuJrjCw2/view?usp=sharing</t>
  </si>
  <si>
    <t>Mesa</t>
  </si>
  <si>
    <t>app-components</t>
  </si>
  <si>
    <t>app-insert-racks</t>
  </si>
  <si>
    <t>https://drive.google.com/file/d/1qZuM0w0GM8r1v0LDE6pTellhJH_TKecC/view?usp=sharing</t>
  </si>
  <si>
    <t>Insert Racks</t>
  </si>
  <si>
    <t>Insertar Estructura</t>
  </si>
  <si>
    <t>app-insert-racks-in-view</t>
  </si>
  <si>
    <t>https://drive.google.com/file/d/1artd1WjEk4-z0HYuRIsvRq01QMnWQNgm/view?usp=sharing</t>
  </si>
  <si>
    <t>Insert Racks In View</t>
  </si>
  <si>
    <t>Insertar estructura en la vista</t>
  </si>
  <si>
    <t>app-no-racks-selected</t>
  </si>
  <si>
    <t>No Racks Selected</t>
  </si>
  <si>
    <t>No hay estructura seleccionada</t>
  </si>
  <si>
    <t>https://drive.google.com/file/d/1Hb8Dly25bTb6M5kubwGynurW_fIt6TN9/view?usp=sharing</t>
  </si>
  <si>
    <t>Load From Template</t>
  </si>
  <si>
    <t>https://drive.google.com/file/d/1NAPwIuUdWikItj48IGz1xYdvNKkDQJ7X/view?usp=sharing</t>
  </si>
  <si>
    <t>Select Template or Create New</t>
  </si>
  <si>
    <t>Seleccionar Plantilla o Crear Nueva</t>
  </si>
  <si>
    <t>Personalizada</t>
  </si>
  <si>
    <t>https://drive.google.com/file/d/1ExqG9rgzuejxZ5-YOvifll55DSJtGVnp/view?usp=sharing</t>
  </si>
  <si>
    <t>Group By</t>
  </si>
  <si>
    <t>https://drive.google.com/file/d/1eGkSv2DCkD66Qrlvm7hleL39OaSPHTF1/view?usp=sharing</t>
  </si>
  <si>
    <t>北へのベアリングをリセット</t>
  </si>
  <si>
    <t>https://drive.google.com/file/d/13X1GG2qU3J_ztnUZ5VmSTRZ-L1YI7NRD/view?usp=sharing</t>
  </si>
  <si>
    <t>Add tags</t>
  </si>
  <si>
    <t>Assets</t>
  </si>
  <si>
    <t>Activos</t>
  </si>
  <si>
    <t>Start Date</t>
  </si>
  <si>
    <t>Fecha de Inicio</t>
  </si>
  <si>
    <t>Select Date</t>
  </si>
  <si>
    <t>Seleccionar Fecha</t>
  </si>
  <si>
    <t>Comments</t>
  </si>
  <si>
    <t>https://drive.google.com/file/d/10vKiUhctzfWp9OTIH6hTpQZsCGlWymjX/view?usp=sharing</t>
  </si>
  <si>
    <t>Paragraph</t>
  </si>
  <si>
    <t>Párrafo</t>
  </si>
  <si>
    <t>Type here the description</t>
  </si>
  <si>
    <t>Escriba aquí la descripción</t>
  </si>
  <si>
    <t>Lista ennumerada</t>
  </si>
  <si>
    <t>https://drive.google.com/file/d/1JZeXUjZmLSdzeGY9UpGsjOL9vLTggqBP/view?usp=sharing</t>
  </si>
  <si>
    <t>https://drive.google.com/file/d/19ILXfDpf0O8GVHc40iiaTAiKyDpYUScP/view?usp=sharing</t>
  </si>
  <si>
    <t>Show</t>
  </si>
  <si>
    <t>Mostrar</t>
  </si>
  <si>
    <t>Sort by</t>
  </si>
  <si>
    <t>Ordenar por</t>
  </si>
  <si>
    <t>Download</t>
  </si>
  <si>
    <t>Descargar</t>
  </si>
  <si>
    <t>Drop files here to attach or browse</t>
  </si>
  <si>
    <t>Suelte los archivos aquí para adjuntar o navega</t>
  </si>
  <si>
    <t>Uploaded time</t>
  </si>
  <si>
    <t>Hora de subida</t>
  </si>
  <si>
    <t>https://drive.google.com/file/d/1jHYyIkEBin4RP9MCWJ_Km-C-duuln0TU/view?usp=sharing</t>
  </si>
  <si>
    <t>No schedule</t>
  </si>
  <si>
    <t>Sin fecha</t>
  </si>
  <si>
    <t>No recurrence schedule added to the ticket</t>
  </si>
  <si>
    <t>No hay recurrencia de horarios añadidos al ticket</t>
  </si>
  <si>
    <t>Create Schedule</t>
  </si>
  <si>
    <t>Añadir fecha</t>
  </si>
  <si>
    <t>https://drive.google.com/file/d/1qiW7Z4RnNzmTBrlx9EUnsZJMUaEyMSKh/view?usp=sharing</t>
  </si>
  <si>
    <t>Activity</t>
  </si>
  <si>
    <t>Actividad</t>
  </si>
  <si>
    <t>Last thursday</t>
  </si>
  <si>
    <t>El jueves pasado</t>
  </si>
  <si>
    <t>Added Attachment</t>
  </si>
  <si>
    <t>Archivo Adjunto Añadido</t>
  </si>
  <si>
    <t>1 Attachment Added</t>
  </si>
  <si>
    <t>1 Archivo Adjunto Añadido</t>
  </si>
  <si>
    <t>app-changed-status-from</t>
  </si>
  <si>
    <t>Changed status from</t>
  </si>
  <si>
    <t>Cambió estado de</t>
  </si>
  <si>
    <t>app-no-ccomments</t>
  </si>
  <si>
    <t>https://drive.google.com/file/d/1l7BWLeYGIGjpMOpfycEiguzTV5zMUpii/view?usp=sharing</t>
  </si>
  <si>
    <t>No comments</t>
  </si>
  <si>
    <t>Sin Comentarios</t>
  </si>
  <si>
    <t>app-text-start-conversation</t>
  </si>
  <si>
    <t>Conversation help in better collaboration and getting instant feedback with realtime updates. You can @mention other users and attach files to a comment</t>
  </si>
  <si>
    <t>Los comentarios facilitan la colaboración y proporcionan interacción en tiempo real. Mencione @usuarios y adjunte archivos.</t>
  </si>
  <si>
    <t>app-start-a-conversation</t>
  </si>
  <si>
    <t>Start a conversation</t>
  </si>
  <si>
    <t>Comience una conversación</t>
  </si>
  <si>
    <t>https://drive.google.com/file/d/1cxtxY_G0TtRVyEJ3EZaURnYRKUEGCAu7/view?usp=sharing</t>
  </si>
  <si>
    <t>In progress</t>
  </si>
  <si>
    <t>https://drive.google.com/file/d/1J3Umo59d90-GmDZoO2-KFjcodS4Kn-TO/view?usp=sharing</t>
  </si>
  <si>
    <t>Pin ticket</t>
  </si>
  <si>
    <t>Download attachments</t>
  </si>
  <si>
    <t>Save as template</t>
  </si>
  <si>
    <t>Guardar como plantilla</t>
  </si>
  <si>
    <t>https://drive.google.com/file/d/1DAwiZwdN9hSvg_4txKa_XoRcoihJyfEw/view?usp=sharing</t>
  </si>
  <si>
    <t>https://drive.google.com/file/d/161xUWYjGjuvwm8d6lr2atOOAqCl_xpJm/view?usp=sharing</t>
  </si>
  <si>
    <t>https://drive.google.com/file/d/1Tp9iNiwUcrxR3swqbSa__EDTW0vQlO-3/view?usp=sharing</t>
  </si>
  <si>
    <t>https://drive.google.com/file/d/1ZWtLZthFACYdGT4d4PdNHV_-YlkasHub/view?usp=sharing</t>
  </si>
  <si>
    <t>app-details</t>
  </si>
  <si>
    <t>https://drive.google.com/file/d/1nKv8TbILNGLEJiX-d_6ZvZfQqZowSwPs/view?usp=sharing</t>
  </si>
  <si>
    <t>Details</t>
  </si>
  <si>
    <t>Detalles</t>
  </si>
  <si>
    <t>app-issue</t>
  </si>
  <si>
    <t>Issue</t>
  </si>
  <si>
    <t>Incidencia</t>
  </si>
  <si>
    <t>app-uid</t>
  </si>
  <si>
    <t>UID</t>
  </si>
  <si>
    <t>app-issue-type</t>
  </si>
  <si>
    <t>Issue Type</t>
  </si>
  <si>
    <t>Tipo de incidencia</t>
  </si>
  <si>
    <t>app-string-number</t>
  </si>
  <si>
    <t>app-issue-description</t>
  </si>
  <si>
    <t>Issue Description</t>
  </si>
  <si>
    <t>Descripción de la incidencia</t>
  </si>
  <si>
    <t>app-overheating-module</t>
  </si>
  <si>
    <t>Overheating of a simple string of cells within a module</t>
  </si>
  <si>
    <t>Sobrecalentamiento en fila de células del módulo</t>
  </si>
  <si>
    <t>app-oordinates</t>
  </si>
  <si>
    <t>Coordinates</t>
  </si>
  <si>
    <t>Coordenadas</t>
  </si>
  <si>
    <t>app-not-available</t>
  </si>
  <si>
    <t>Not Available</t>
  </si>
  <si>
    <t>No disponible</t>
  </si>
  <si>
    <t>app-temperature</t>
  </si>
  <si>
    <t>https://drive.google.com/file/d/16MA29OSJoQtaS49PPAg881wVyutsXHGW/view?usp=sharing</t>
  </si>
  <si>
    <t>Issue Timestamp</t>
  </si>
  <si>
    <t>https://drive.google.com/file/d/1tifYuV9iBUCRtSkK6pw53X3LlSnkfzrz/view?usp=sharing</t>
  </si>
  <si>
    <t>Not available</t>
  </si>
  <si>
    <t>app-create-ticket</t>
  </si>
  <si>
    <t>https://drive.google.com/file/d/1ryAvUa6sYQs3zWMmiyLRliLjXaRtGQRU/view?usp=sharing</t>
  </si>
  <si>
    <t>Create Ticket</t>
  </si>
  <si>
    <t>app-raw-images</t>
  </si>
  <si>
    <t>https://drive.google.com/file/d/1SY_h_QvjDucwcBzA02XNpI3s9XhUIhJY/view?usp=sharing</t>
  </si>
  <si>
    <t>Raw Images</t>
  </si>
  <si>
    <t>Archivo de imagen</t>
  </si>
  <si>
    <t>app-no-raw-images-provided</t>
  </si>
  <si>
    <t>No Raw Images Provided</t>
  </si>
  <si>
    <t>No hay imágenes disponibles</t>
  </si>
  <si>
    <t>https://drive.google.com/file/d/11YjDpih_Fd1OxNf4ulhWk4IUCyF5FtJw/view?usp=sharing</t>
  </si>
  <si>
    <t>https://drive.google.com/file/d/18jUTF9lALeDHUSd69sloRE_Bq80-qHhH/view?usp=sharing</t>
  </si>
  <si>
    <t>https://drive.google.com/file/d/1bqUaHvhkN3nClikEDH8cKpaamFoH2Skg/view?usp=sharing</t>
  </si>
  <si>
    <t>名前を変更</t>
  </si>
  <si>
    <t>https://drive.google.com/file/d/1WV_PJlYaqqMIATHtnkqhdTX90GADWMuS/view?usp=sharing</t>
  </si>
  <si>
    <t>共有</t>
  </si>
  <si>
    <t>https://drive.google.com/file/d/1k2YL8M6ASIxEREEoeRXltxvfIZjcjBB1/view?usp=sharing</t>
  </si>
  <si>
    <t>View activity</t>
  </si>
  <si>
    <t>Ver actividad</t>
  </si>
  <si>
    <t>アクティビティを見る</t>
  </si>
  <si>
    <t>https://drive.google.com/file/d/1NdlrqeqeWK2LyC0FiW4A_Ojtj3tDuVfd/view?usp=sharing</t>
  </si>
  <si>
    <t>Drag and drop files here to upload. You can add users, teams, tags and multiple versions to a file.
You can share a file with other members without adding them to the file.</t>
  </si>
  <si>
    <t>Arrastre y suelte archivos aquí para cargar. Usted puede añadir usuarios, equipos, etiquetas y múltiples versiones a un archivo. Usted puede compartir un archivo con otros miembros sin tener que añadirlos al archivo.</t>
  </si>
  <si>
    <t>アップロードするためにファイルをここにドラッグ＆ドロップしてください。ユーザー、チーム、タグ、複数のバージョンのファイルへの追加が可能です。他のメンバーをファイルに追加することなく、ファイルを共有することが可能です。</t>
  </si>
  <si>
    <t>https://drive.google.com/file/d/121Gpggf7wFWx23HLpQMofTeKx6bHhbsI/view?usp=sharing</t>
  </si>
  <si>
    <t>You added 1 user</t>
  </si>
  <si>
    <t>Usted añadió 1 usuario</t>
  </si>
  <si>
    <t>1名のユーザーを追加しました</t>
  </si>
  <si>
    <t>You created a new file</t>
  </si>
  <si>
    <t>Usted creó un nuevo archivo</t>
  </si>
  <si>
    <t>新しいファイルを作成しました</t>
  </si>
  <si>
    <t>You created a new folder</t>
  </si>
  <si>
    <t>Usted creó una nueva carpeta</t>
  </si>
  <si>
    <t>新しいフォルダーを作成しました</t>
  </si>
  <si>
    <t>https://drive.google.com/file/d/1kHJJBwOopxiO4WnGbmbO0pSZEv72cbGK/view?usp=sharing</t>
  </si>
  <si>
    <t>Info</t>
  </si>
  <si>
    <t>Información</t>
  </si>
  <si>
    <t>インフォメーション / Info</t>
  </si>
  <si>
    <t>https://drive.google.com/file/d/1Bd6GhZRsci6g-6MFaPWfOONP-_4BAZdA/view?usp=sharing</t>
  </si>
  <si>
    <t>files</t>
  </si>
  <si>
    <t>archivos</t>
  </si>
  <si>
    <t>Created</t>
  </si>
  <si>
    <t>Creado</t>
  </si>
  <si>
    <t>作成済</t>
  </si>
  <si>
    <t>Modified</t>
  </si>
  <si>
    <t>Modificado</t>
  </si>
  <si>
    <t>修正済</t>
  </si>
  <si>
    <t>Download All</t>
  </si>
  <si>
    <t>Descargar todo</t>
  </si>
  <si>
    <t>全てダウンロードされました</t>
  </si>
  <si>
    <t>https://drive.google.com/file/d/1wXQCSZDipN6Mx7OKxaTpYJEsLZuF76tF/view?usp=sharing</t>
  </si>
  <si>
    <t>https://drive.google.com/file/d/1x9K0Cq6d-v4rga3WUsxsTp2Xpk4qewsx/view?usp=sharing</t>
  </si>
  <si>
    <t>Move to</t>
  </si>
  <si>
    <t>Mover a</t>
  </si>
  <si>
    <t>移動する</t>
  </si>
  <si>
    <t>https://drive.google.com/file/d/12UES2WYkz_FGzpmllKxsqZs56fJKHo6M/view?usp=sharing</t>
  </si>
  <si>
    <t>https://drive.google.com/file/d/1OPlnlg2p-ePDVntC82iLReFCBbgWjNGj/view?usp=sharing</t>
  </si>
  <si>
    <t>https://drive.google.com/file/d/1gaXWGg5MRGRf_PeRic1kQ-bj1WqihNfj/view?usp=sharing</t>
  </si>
  <si>
    <t>https://drive.google.com/file/d/10UMyxGO8uAK-WIY0qY6IfWa87-KkSmPE/view?usp=sharing</t>
  </si>
  <si>
    <t>https://drive.google.com/file/d/1QkmjCo8SXqWHojcBJumzpHnuBT_oOni5/view?usp=sharing</t>
  </si>
  <si>
    <t>https://drive.google.com/file/d/1XwbtQ3IGfzcX7RXq8LlRHbvt-o6SVGz0/view?usp=sharing</t>
  </si>
  <si>
    <t>https://drive.google.com/file/d/1tvSCPIz6hBuSb7I025SWPV3pCNnl6dBR/view?usp=sharing</t>
  </si>
  <si>
    <t>You viewed the file</t>
  </si>
  <si>
    <t>Usted vio el archivo</t>
  </si>
  <si>
    <t>ファイルが閲覧されました</t>
  </si>
  <si>
    <t>新しいファイルが作成されました</t>
  </si>
  <si>
    <t>You downloaded the file</t>
  </si>
  <si>
    <t>Usted descargó el archivo</t>
  </si>
  <si>
    <t>ファイルがダウンロードされました</t>
  </si>
  <si>
    <t>1名のユーザーが追加されました</t>
  </si>
  <si>
    <t>https://drive.google.com/file/d/12kPVx7zQWdbm0ny2k0SMdbLMpuKfqZH2/view?usp=sharing</t>
  </si>
  <si>
    <t>Upload new version</t>
  </si>
  <si>
    <t>Cargar nueva versión</t>
  </si>
  <si>
    <t>新しいバージョンにアップロード</t>
  </si>
  <si>
    <t>Version name</t>
  </si>
  <si>
    <t>Nombre de la versión</t>
  </si>
  <si>
    <t>バージョン名</t>
  </si>
  <si>
    <t>https://drive.google.com/file/d/1fV2Use5ygLSIYS40GQi8wQlNrUn1pB7T/view?usp=sharing</t>
  </si>
  <si>
    <t>Show versions</t>
  </si>
  <si>
    <t>Mostrar versiones</t>
  </si>
  <si>
    <t>バージョン表示</t>
  </si>
  <si>
    <t>https://drive.google.com/file/d/1BCEDFhdu_-7dC4jbbhsMp5aM3xM_Iah3/view?usp=sharing</t>
  </si>
  <si>
    <t>Versions</t>
  </si>
  <si>
    <t>Versiones</t>
  </si>
  <si>
    <t>バージョン</t>
  </si>
  <si>
    <t>https://drive.google.com/file/d/11aV03XRbb9Vp_AwwR3dlT4rG0ixnNRf5/view?usp=sharing</t>
  </si>
  <si>
    <t>https://drive.google.com/file/d/1wdoReD3nhrbLCMgzDXaGXekanfxgZNU1/view?usp=sharing</t>
  </si>
  <si>
    <t>ストリート</t>
  </si>
  <si>
    <t>https://drive.google.com/file/d/1AUOUZiTIQyJjAYuGpzU6o2vcpGpNYXZl/view?usp=sharing</t>
  </si>
  <si>
    <t>地図を比較</t>
  </si>
  <si>
    <t>https://drive.google.com/file/d/1EhF1W1pKhlOP5tKpx0pYvRFofOhCjQ6H/view?usp=sharing</t>
  </si>
  <si>
    <t>プロジェクトを選択</t>
  </si>
  <si>
    <t>Comment</t>
  </si>
  <si>
    <t>Comentario</t>
  </si>
  <si>
    <t>View Ticket</t>
  </si>
  <si>
    <t>Ver Ticket</t>
  </si>
  <si>
    <t>Tipo de Defecto</t>
  </si>
  <si>
    <t>app-layer-1</t>
  </si>
  <si>
    <t>Layer 1</t>
  </si>
  <si>
    <t>Capa 1</t>
  </si>
  <si>
    <t>層1</t>
  </si>
  <si>
    <t>app-layer-2</t>
  </si>
  <si>
    <t>Layer 2</t>
  </si>
  <si>
    <t>Capa 2</t>
  </si>
  <si>
    <t>層2</t>
  </si>
  <si>
    <t xml:space="preserve">https://drive.google.com/file/d/1pvTskixxNaooWfsLhMzLwoV7GlOmKhg5/view?usp=sharing
</t>
  </si>
  <si>
    <t>app-manage-assets-with-ease</t>
  </si>
  <si>
    <t>app-templates</t>
  </si>
  <si>
    <t>Listas de verificación</t>
  </si>
  <si>
    <t>app-schedules</t>
  </si>
  <si>
    <t>Schedules</t>
  </si>
  <si>
    <t>app-overview</t>
  </si>
  <si>
    <t>Overview</t>
  </si>
  <si>
    <t>Resumen</t>
  </si>
  <si>
    <t>app-assets</t>
  </si>
  <si>
    <t>app-show</t>
  </si>
  <si>
    <t>app-count-of-tickets</t>
  </si>
  <si>
    <t># of tickets</t>
  </si>
  <si>
    <t>app-members</t>
  </si>
  <si>
    <t>Members</t>
  </si>
  <si>
    <t>Miembros</t>
  </si>
  <si>
    <t>app-following</t>
  </si>
  <si>
    <t>Following</t>
  </si>
  <si>
    <t>Siguiendo</t>
  </si>
  <si>
    <t>Cada uno</t>
  </si>
  <si>
    <t>https://drive.google.com/file/d/1KNx5_zNvbmrSJG_wM0o7ibLJSrL7eChd/view?usp=sharing</t>
  </si>
  <si>
    <t>Seleccionados</t>
  </si>
  <si>
    <t>選択された</t>
  </si>
  <si>
    <t>All / Since Yesterday</t>
  </si>
  <si>
    <t>Todo / Desde Ayer</t>
  </si>
  <si>
    <t>全て / 昨日以降</t>
  </si>
  <si>
    <t>app-all-time</t>
  </si>
  <si>
    <t>https://drive.google.com/file/d/1EEDTWZW_g6Hxfh_8IrZz4l_kSqZTpS8t/view?usp=sharing</t>
  </si>
  <si>
    <t>All Time</t>
  </si>
  <si>
    <t>Totalidad</t>
  </si>
  <si>
    <t>app-overdue</t>
  </si>
  <si>
    <t>app-favorites</t>
  </si>
  <si>
    <t>app-archived</t>
  </si>
  <si>
    <t>Archived</t>
  </si>
  <si>
    <t>Archivados</t>
  </si>
  <si>
    <t>app-created-by-me</t>
  </si>
  <si>
    <t>Created by me</t>
  </si>
  <si>
    <t>Creado por mi</t>
  </si>
  <si>
    <t>app-assigned-to-me</t>
  </si>
  <si>
    <t>Assigned to me</t>
  </si>
  <si>
    <t>Asignado a mi</t>
  </si>
  <si>
    <t>https://drive.google.com/file/d/1TyydGxJOEfIykIjKQybjUYL0V7ciyNFH/view?usp=sharing</t>
  </si>
  <si>
    <t>app-none</t>
  </si>
  <si>
    <t>https://drive.google.com/file/d/1W3N_Wf63Vw35BWbW4NZobGVg92L5Elgo/view?usp=sharing</t>
  </si>
  <si>
    <t>https://drive.google.com/file/d/1GNRBjppjBk4-zmej-wwYb1a7Bl5iFCoI/view?usp=sharing</t>
  </si>
  <si>
    <t>Created by</t>
  </si>
  <si>
    <t>https://drive.google.com/file/d/1LUyQYBl7IrX7Qncv41xgDibnBevya9s7/view?usp=sharing</t>
  </si>
  <si>
    <t>app-select-date</t>
  </si>
  <si>
    <t>app-selected-due-date-range</t>
  </si>
  <si>
    <t>https://drive.google.com/file/d/1YnHMIqrZwJTpmMc-T84Xa_UqVsEc1UhQ/view?usp=sharing</t>
  </si>
  <si>
    <t>https://drive.google.com/file/d/1cpVcy7W0reUYRtjwePNKr6mVGHAeWNLh/view?usp=sharing</t>
  </si>
  <si>
    <t>https://drive.google.com/file/d/17mFDVSLj_NBudEarlupLkCggq6DYBYvO/view?usp=sharing</t>
  </si>
  <si>
    <t>app-exact</t>
  </si>
  <si>
    <t>https://drive.google.com/file/d/1VjAqVCSP8nN5wR7MJRmtWhb69yQMr_67/view?usp=sharing</t>
  </si>
  <si>
    <t>Exact</t>
  </si>
  <si>
    <t>Exacto</t>
  </si>
  <si>
    <t>Show more</t>
  </si>
  <si>
    <t>https://drive.google.com/file/d/1a85eCDTkaqD6bTpmUpytHwl3rxnHva5K/view?usp=sharing</t>
  </si>
  <si>
    <t>app-raised</t>
  </si>
  <si>
    <t>Raised</t>
  </si>
  <si>
    <t>Creados</t>
  </si>
  <si>
    <t>https://drive.google.com/file/d/11Y0b1t6glE9Svwo7izywCDCNkoK23Gq5/view?usp=sharing</t>
  </si>
  <si>
    <t>app-stale</t>
  </si>
  <si>
    <t>Stale</t>
  </si>
  <si>
    <t>Estancado</t>
  </si>
  <si>
    <t>app-since-yesterday</t>
  </si>
  <si>
    <t>Since Yesterday</t>
  </si>
  <si>
    <t>Desde Ayer</t>
  </si>
  <si>
    <t>app-no-tickets-found-with-the-selected-filters</t>
  </si>
  <si>
    <t>No tickets found with the selected filters!</t>
  </si>
  <si>
    <t>Ningún ticket se ha encontrado con los filtros seleccionados</t>
  </si>
  <si>
    <t>app-upcoming</t>
  </si>
  <si>
    <t>https://drive.google.com/file/d/1JoqUyrCDpUTuOA_DJN8R03cM9vwl19P3/view?usp=sharing</t>
  </si>
  <si>
    <t>Assigned To Me</t>
  </si>
  <si>
    <t>app-assigned-by-me</t>
  </si>
  <si>
    <t>Assigned By Me</t>
  </si>
  <si>
    <t>Asignado por mi</t>
  </si>
  <si>
    <t>Created by Me</t>
  </si>
  <si>
    <t>Since yesterday</t>
  </si>
  <si>
    <t>Desde ayer</t>
  </si>
  <si>
    <t>app-since-last-week</t>
  </si>
  <si>
    <t>Since last week</t>
  </si>
  <si>
    <t>Desde la semana pasada</t>
  </si>
  <si>
    <t>app-since-last-month</t>
  </si>
  <si>
    <t>Since last month</t>
  </si>
  <si>
    <t>Desde el mes pasado</t>
  </si>
  <si>
    <t>app-since-last-year</t>
  </si>
  <si>
    <t>Since last year</t>
  </si>
  <si>
    <t>Desde el año pasado</t>
  </si>
  <si>
    <t>app-refresh</t>
  </si>
  <si>
    <t>https://drive.google.com/file/d/1EoeinDURYt7KiCEUSei89_dbH-MgJaDB/view?usp=sharing</t>
  </si>
  <si>
    <t>Refresh</t>
  </si>
  <si>
    <t>Refrescar</t>
  </si>
  <si>
    <t>設定</t>
  </si>
  <si>
    <t>https://drive.google.com/file/d/1GU6mpt13tlYKwqQQKDYx1piUeB5LivCF/view?usp=sharing</t>
  </si>
  <si>
    <t>app-are-you-sure-you-want-to-delete-the-ticket?</t>
  </si>
  <si>
    <t>https://drive.google.com/file/d/13xaDfMQzvSn37o0Tq5BSZMkibs8xIjB9/view?usp=sharing</t>
  </si>
  <si>
    <t>¿Está seguro que desea eliminar este Ticket?</t>
  </si>
  <si>
    <t>このチケットを削除しますか？</t>
  </si>
  <si>
    <t>https://drive.google.com/file/d/1L73b8ZVtC3ZLQ50Vwf1qznnHi1o-zdTR/view?usp=sharing</t>
  </si>
  <si>
    <t>https://drive.google.com/file/d/1mQvkJw8-5JFYqIONol7CRcd3YHMsI1WC/view?usp=sharing</t>
  </si>
  <si>
    <t>https://drive.google.com/file/d/1CdAdKh3GPeMJSipaP21vfrb165jTdj66/view?usp=sharing</t>
  </si>
  <si>
    <t>https://drive.google.com/file/d/1pWJ5-4RuVZbzcYQp0-vmqfCuAavIezg6/view?usp=sharing</t>
  </si>
  <si>
    <t>https://drive.google.com/file/d/1h0x5dBe3k0VQwIU978mbFHMFNGSDMSVh/view?usp=sharing</t>
  </si>
  <si>
    <t>Ticket name</t>
  </si>
  <si>
    <t>https://drive.google.com/file/d/1sAhfSBCPCiZwItXc4jCaqg7apms6-Dt4/view?usp=sharing</t>
  </si>
  <si>
    <t>app-created-at</t>
  </si>
  <si>
    <t>Created At</t>
  </si>
  <si>
    <t>Creado en</t>
  </si>
  <si>
    <t>https://drive.google.com/file/d/16Q9sx2Y4IUl1F5zwOXCEaVzS8OAWZByT/view?usp=sharing</t>
  </si>
  <si>
    <t>https://drive.google.com/file/d/1rO49_o5Do0uJYbMvytLoVpkxQ1UOHsHO/view?usp=sharing</t>
  </si>
  <si>
    <t>Are you sure you want to delete the Template?</t>
  </si>
  <si>
    <t>¿Está seguro que desea eliminar esta Plantilla?</t>
  </si>
  <si>
    <t>このテンプレートを削除しますか？</t>
  </si>
  <si>
    <t>https://drive.google.com/file/d/1Ktyi5y1YFuTSCemEIGS1YRrStQLz9wW4/view?usp=sharing</t>
  </si>
  <si>
    <t>https://drive.google.com/file/d/1AJ_UMn6k-LVlFYpxEB__mmcKR2EGzj4E/view?usp=sharing</t>
  </si>
  <si>
    <t>https://drive.google.com/file/d/1M5e3q0_mqznk-XsRhRQFRQ0SefoLB7n-/view?usp=sharing</t>
  </si>
  <si>
    <t>作成された</t>
  </si>
  <si>
    <t>https://drive.google.com/file/d/1ISKJgYugRY-icneYxHKFt4o9_B12K6Nc/view?usp=sharing</t>
  </si>
  <si>
    <t>Checklist Name</t>
  </si>
  <si>
    <t>Título de lista de verificación</t>
  </si>
  <si>
    <t>チェックリスト名</t>
  </si>
  <si>
    <t>Create New Checklist</t>
  </si>
  <si>
    <t>Crear nueva lista de verificación</t>
  </si>
  <si>
    <t>https://drive.google.com/file/d/1ACAH5P3Bg82GAR6qYLRlOb3WIu1cdKLa/view?usp=sharing</t>
  </si>
  <si>
    <t>Are you sure you want to delete the Checklist?</t>
  </si>
  <si>
    <t>¿Está seguro que desea eliminar esta lista de verificación?</t>
  </si>
  <si>
    <t>このチェックリストを削除しますか？</t>
  </si>
  <si>
    <t>https://drive.google.com/file/d/1paiqmAHCk3D3idcSbFQZohtZPhQbRI75/view?usp=sharing</t>
  </si>
  <si>
    <t>app-new-schedule</t>
  </si>
  <si>
    <t>ap-next-occurence</t>
  </si>
  <si>
    <t>Next occurence</t>
  </si>
  <si>
    <t>app-created-on</t>
  </si>
  <si>
    <t>Created on</t>
  </si>
  <si>
    <t>https://drive.google.com/file/d/1uC-YZIS-e-jmlbNUtkMBlyxGGlwKQpvX/view?usp=sharing</t>
  </si>
  <si>
    <t>Create New Schedule</t>
  </si>
  <si>
    <t>Crear Nuevo Calendario</t>
  </si>
  <si>
    <t>新しいスケジュールを作成する</t>
  </si>
  <si>
    <t>https://drive.google.com/file/d/1bP05FNMkdchcSHEMiXENARpFGN5PqDMt/view?usp=sharing</t>
  </si>
  <si>
    <t>app-no-reports</t>
  </si>
  <si>
    <t>https://drive.google.com/file/d/12wbkKEVidvthW6b5Ol79AQ7uO_hHOexQ/view?usp=sharing</t>
  </si>
  <si>
    <t>No Reports</t>
  </si>
  <si>
    <t>Sin Reportes</t>
  </si>
  <si>
    <t>app-add-a-report</t>
  </si>
  <si>
    <t>Add a Report</t>
  </si>
  <si>
    <t>Añadir un Reporte</t>
  </si>
  <si>
    <t>app-create-new-report</t>
  </si>
  <si>
    <t>https://drive.google.com/file/d/1Fkge47NC21caFZSjSV8oxZ553d86PoKF/view?usp=sharing</t>
  </si>
  <si>
    <t>Create new report</t>
  </si>
  <si>
    <t>Crear nuevo reporte</t>
  </si>
  <si>
    <t>app-graph-title</t>
  </si>
  <si>
    <t>Graph title</t>
  </si>
  <si>
    <t>Título del gráfico</t>
  </si>
  <si>
    <t>app-field</t>
  </si>
  <si>
    <t>Field</t>
  </si>
  <si>
    <t>Campo</t>
  </si>
  <si>
    <t>app-chart-type</t>
  </si>
  <si>
    <t>Chart Type</t>
  </si>
  <si>
    <t>Tipo de Gráfico</t>
  </si>
  <si>
    <t>app-horizontal-bar</t>
  </si>
  <si>
    <t>Horizontal bar</t>
  </si>
  <si>
    <t>Gráfico de Barras Horizontales</t>
  </si>
  <si>
    <t>app-vertical-bar</t>
  </si>
  <si>
    <t>Vertical bar</t>
  </si>
  <si>
    <t>Gráfico de Barras Verticales</t>
  </si>
  <si>
    <t>app-pie-chart</t>
  </si>
  <si>
    <t>Pie Chart</t>
  </si>
  <si>
    <t>Gráfico Circular</t>
  </si>
  <si>
    <t>app-line-chart</t>
  </si>
  <si>
    <t>Line chart</t>
  </si>
  <si>
    <t>Gráfico de Línea</t>
  </si>
  <si>
    <t>app-scatter</t>
  </si>
  <si>
    <t>Scatter</t>
  </si>
  <si>
    <t>Gráfico de dispersión</t>
  </si>
  <si>
    <t>app-stacked</t>
  </si>
  <si>
    <t>Stacked</t>
  </si>
  <si>
    <t>Apilada</t>
  </si>
  <si>
    <t>app-add-filters</t>
  </si>
  <si>
    <t>Add Filters</t>
  </si>
  <si>
    <t>Añadir filtros</t>
  </si>
  <si>
    <t>app-status-updated-at</t>
  </si>
  <si>
    <t>Status updated at</t>
  </si>
  <si>
    <t>Estado actualizado en</t>
  </si>
  <si>
    <t>app-add-report</t>
  </si>
  <si>
    <t>Add Report</t>
  </si>
  <si>
    <t>Añadir reporte</t>
  </si>
  <si>
    <t>https://drive.google.com/file/d/1e32n5DimLPYCocH8gSuZvE0-npvnp9c1/view?usp=sharing</t>
  </si>
  <si>
    <t>https://drive.google.com/file/d/18Io3-GZ7cSIsADLU7e96z4S934i1DACp/view?usp=sharing</t>
  </si>
  <si>
    <t>担当者</t>
  </si>
  <si>
    <t>https://drive.google.com/file/d/1wvgvLzfkoJjBUdbPyim270h65m7dzfdZ/view?usp=sharing</t>
  </si>
  <si>
    <t>New Ticket name</t>
  </si>
  <si>
    <t>Título del Ticket Nuevo</t>
  </si>
  <si>
    <t xml:space="preserve"> What do you want to copy?</t>
  </si>
  <si>
    <t>¿Qué desea copiar?</t>
  </si>
  <si>
    <t>app-optional-description</t>
  </si>
  <si>
    <t>Description (Optional)</t>
  </si>
  <si>
    <t>Descripción (opcional)</t>
  </si>
  <si>
    <t>app-go-to-admin</t>
  </si>
  <si>
    <t>Go to Admin</t>
  </si>
  <si>
    <t>Ir a Administración</t>
  </si>
  <si>
    <t>app-go-to-user</t>
  </si>
  <si>
    <t>Go to User</t>
  </si>
  <si>
    <t>Ir a Usuarios</t>
  </si>
  <si>
    <t>app-add-users-to-this-ticket</t>
  </si>
  <si>
    <t>Add users to this ticket</t>
  </si>
  <si>
    <t>Añadir usuarios a este Ticket</t>
  </si>
  <si>
    <t>app-tooltip-parent-team-member-access</t>
  </si>
  <si>
    <t>All members of the parent teams will also be given the same level of access</t>
  </si>
  <si>
    <t>Todos los miembros de los equipos matriz les será dado el mismo nivel de acceso</t>
  </si>
  <si>
    <t>app-tooltip-project-image-sync</t>
  </si>
  <si>
    <t>Synchronize uploaded images i.e, generate thumbnails, zip etc with updated files.</t>
  </si>
  <si>
    <t>Sincronice imágenes cargadas, es decir, generar miniaturas, archivos zip, etc., con archivos actualizados.</t>
  </si>
  <si>
    <t>app-tooltip-user-will-be-notified-by-email</t>
  </si>
  <si>
    <t>Added people will be notified of any changes on the tickets via push notifications and email</t>
  </si>
  <si>
    <t>Las personas añadidas serán notificadas de cualquier cambio hecho en los tickets vía notificaciones emergentes y de correo electrónico</t>
  </si>
  <si>
    <t>app-tooltip-currently-viewing</t>
  </si>
  <si>
    <t>Users who are currently viewing this ticket</t>
  </si>
  <si>
    <t>Usuarios que actualmente se encuentran visualizando este ticket</t>
  </si>
  <si>
    <t>app-tooltip-retry-message</t>
  </si>
  <si>
    <t>Retry sending this message</t>
  </si>
  <si>
    <t>Reintente enviar este mensaje</t>
  </si>
  <si>
    <t>app-tooltip-enter-to-add-comment</t>
  </si>
  <si>
    <t>app-enter-to-create-tag</t>
  </si>
  <si>
    <t>Press enter to create tag</t>
  </si>
  <si>
    <t>Presione enter para crear la etiqueta</t>
  </si>
  <si>
    <t>app-create-new-ticket</t>
  </si>
  <si>
    <t>Create new ticket</t>
  </si>
  <si>
    <t>Crear nuevo ticket</t>
  </si>
  <si>
    <t>app-created</t>
  </si>
  <si>
    <t>毎年</t>
  </si>
  <si>
    <t>app-vault</t>
  </si>
  <si>
    <t>https://drive.google.com/file/d/1USUIfk7MkXapW3nC-ik2AbySeZWASLxc/view?usp=sharing</t>
  </si>
  <si>
    <t>app-recents</t>
  </si>
  <si>
    <t>Recents</t>
  </si>
  <si>
    <t>Recientes</t>
  </si>
  <si>
    <t>app-shared-with-me</t>
  </si>
  <si>
    <t>app-owned-by-me</t>
  </si>
  <si>
    <t>Owned by me</t>
  </si>
  <si>
    <t>Mis archivos</t>
  </si>
  <si>
    <t>app-activity</t>
  </si>
  <si>
    <t>https://drive.google.com/file/d/1Stf2DhdX5IGs3VSRLAAH4s3T2QwyJ3LE/view?usp=sharing</t>
  </si>
  <si>
    <t>選択済</t>
  </si>
  <si>
    <t>https://drive.google.com/file/d/1tYOX8K4vvKOuxO_Wv8pV_35NohmmclGD/view?usp=sharing</t>
  </si>
  <si>
    <t>Last 7 Days</t>
  </si>
  <si>
    <t>Últimos 7 días</t>
  </si>
  <si>
    <t>過去7日間</t>
  </si>
  <si>
    <t>https://drive.google.com/file/d/1ZZrx5y0rwab3bmxW3dCNGcCsOUk9RUza/view?usp=sharing</t>
  </si>
  <si>
    <t>https://drive.google.com/file/d/1vcdjpUYRKBEgUaz6PFvFGr-gkY_0rCyg/view?usp=sharing</t>
  </si>
  <si>
    <t>https://drive.google.com/file/d/1PQDW9zu2eCr0KBkygRR04LIAvMNennQQ/view?usp=sharing</t>
  </si>
  <si>
    <t>https://drive.google.com/file/d/1B4d9_FTYhn_Gu-g9iIZ_OqCy0P0OWD0D/view?usp=sharing</t>
  </si>
  <si>
    <t>https://drive.google.com/file/d/1nm2AebMIk61cd6lFRWBfRBnoBDjte99M/view?usp=sharing</t>
  </si>
  <si>
    <t>https://drive.google.com/file/d/1NWOkMUQ5KQYV2e172ciJ-OU03XdoIZsH/view?usp=sharing</t>
  </si>
  <si>
    <t>https://drive.google.com/file/d/1BnSDlVieCq7VmvjuFdTHgkiRdqvaved9/view?usp=sharing</t>
  </si>
  <si>
    <t>https://drive.google.com/file/d/1H-GMNlZ0PwMf6pFLBPjUQs37XmlrlgjJ/view?usp=sharing</t>
  </si>
  <si>
    <t>https://drive.google.com/file/d/1pjAffWqunyp4FkdVlWgkWFR32c0GG-tW/view?usp=sharing</t>
  </si>
  <si>
    <t>Shared</t>
  </si>
  <si>
    <t>Compartidos</t>
  </si>
  <si>
    <t>Last week</t>
  </si>
  <si>
    <t>La semana pasada</t>
  </si>
  <si>
    <t>Last month</t>
  </si>
  <si>
    <t>El mes pasado</t>
  </si>
  <si>
    <t>Last year</t>
  </si>
  <si>
    <t>El año pasado</t>
  </si>
  <si>
    <t>https://drive.google.com/file/d/1hQx_2QAX-HWzQzvE15ilc2YA7hp4NLvc/view?usp=sharing</t>
  </si>
  <si>
    <t>期日レンジを選択する</t>
  </si>
  <si>
    <t>https://drive.google.com/file/d/1EukIHZj_L6fNsYhijwJQu13CeChJ25T3/view?usp=sharing</t>
  </si>
  <si>
    <t>https://drive.google.com/file/d/1kIb6WoqJDfR2O72NPYbmJF8eMeOWI_8N/view?usp=sharing</t>
  </si>
  <si>
    <t>Shared By</t>
  </si>
  <si>
    <t>Compartido por</t>
  </si>
  <si>
    <t>https://drive.google.com/file/d/1bcee7B7I_4CtM06famJkYlqUOUZ6QE45/view?usp=sharing</t>
  </si>
  <si>
    <t>https://drive.google.com/file/d/17eYTsDBlDuDFL01Sb04WiZY6T3ll081n/view?usp=sharing</t>
  </si>
  <si>
    <t>https://drive.google.com/file/d/1mSqqIjx1TA_NRP0its5JkfAcW-VyjsU0/view?usp=sharing</t>
  </si>
  <si>
    <t>app-added-user</t>
  </si>
  <si>
    <t>https://drive.google.com/file/d/1hNKML7R5hV0Hvumgd6YxNYR0Gvcgmi7x/view?usp=sharing</t>
  </si>
  <si>
    <t>app-load-more</t>
  </si>
  <si>
    <t>Load more</t>
  </si>
  <si>
    <t>Cargar más</t>
  </si>
  <si>
    <t>app-you-created-a-new-file</t>
  </si>
  <si>
    <t>app-you-created-a-new-folder</t>
  </si>
  <si>
    <t>https://drive.google.com/file/d/1JWQTxxEL8-MZ3Php1P65zIPMAwd3KyzB/view?usp=sharing</t>
  </si>
  <si>
    <t>You added a new version</t>
  </si>
  <si>
    <t>Usted añadió una nueva versión</t>
  </si>
  <si>
    <t>新しいバージョンを追加しました</t>
  </si>
  <si>
    <t>https://drive.google.com/file/d/1U1a_Lwrbtc5dprvQm1DsxZ3ojs7Antws/view?usp=sharing</t>
  </si>
  <si>
    <t>You deleted the file</t>
  </si>
  <si>
    <t>Usted eliminó el archivo</t>
  </si>
  <si>
    <t>ファイルは削除されました</t>
  </si>
  <si>
    <t>app-earlier</t>
  </si>
  <si>
    <t>https://drive.google.com/file/d/12do2VNMY_W40O9ujInnfq1WnKlyHdBJC/view?usp=sharing</t>
  </si>
  <si>
    <t>Earlier</t>
  </si>
  <si>
    <t>Más temprano</t>
  </si>
  <si>
    <t>File name</t>
  </si>
  <si>
    <t>Nombre de archivo</t>
  </si>
  <si>
    <t>https://drive.google.com/file/d/1WT9JgdQmTAEaA1kbVYiP6NLAzQm08v_G/view?usp=sharing</t>
  </si>
  <si>
    <t>Create New Folder</t>
  </si>
  <si>
    <t>Crear una carpeta nueva</t>
  </si>
  <si>
    <t>https://drive.google.com/file/d/1PcR5jbVHo7QBSNrfnkyVBeBcXZ-KwQ77/view?usp=sharing
https://drive.google.com/file/d/1th7rQM4BgIF6DoiJUIYdK7sW4zwVqBr5/view?usp=sharing</t>
  </si>
  <si>
    <t>app-bookmarked</t>
  </si>
  <si>
    <t>Bookmarked</t>
  </si>
  <si>
    <t>Marcado como Favorito</t>
  </si>
  <si>
    <t>app-sharing</t>
  </si>
  <si>
    <t>Sharing</t>
  </si>
  <si>
    <t>Compartido</t>
  </si>
  <si>
    <t>app-date-unavailable</t>
  </si>
  <si>
    <t>https://drive.google.com/file/d/1MCnZUzh6bIOdFF937grkHcVCw6hSR0vT/view?usp=sharing</t>
  </si>
  <si>
    <t>Date unavailable</t>
  </si>
  <si>
    <t>Fecha no disponible</t>
  </si>
  <si>
    <t>app-no-file-folder-shared-with-you</t>
  </si>
  <si>
    <t>https://drive.google.com/file/d/1dUvk6Ba-64FMvPyQF9VWsPClJN8duSC0/view?usp=sharing</t>
  </si>
  <si>
    <t>No files/folders shared with you!</t>
  </si>
  <si>
    <t>¡No hay archivos/carpetas compartidas con usted!</t>
  </si>
  <si>
    <t>https://drive.google.com/file/d/1VqoATGonj8DMyy3hiJlwaUpdBfF_nEwW/view?usp=sharing</t>
  </si>
  <si>
    <t>https://drive.google.com/file/d/11WRolQcEiEw-gF5mTSUgxfTAisZHfhYm/view?usp=sharing</t>
  </si>
  <si>
    <t>https://drive.google.com/file/d/1ouvTyNPw2Ml6BmA5MUaRPYYV-_dWsWJD/view?usp=sharing</t>
  </si>
  <si>
    <t>Last Week</t>
  </si>
  <si>
    <t>Last Month</t>
  </si>
  <si>
    <t>Last Year</t>
  </si>
  <si>
    <t>View Activity</t>
  </si>
  <si>
    <t>Ver Actividad</t>
  </si>
  <si>
    <t>Move To</t>
  </si>
  <si>
    <t>Upload New Version</t>
  </si>
  <si>
    <t>Compartiendo</t>
  </si>
  <si>
    <t>Show Versions</t>
  </si>
  <si>
    <t>app-project-management</t>
  </si>
  <si>
    <t>https://drive.google.com/file/d/13pczNJALadIbr5l4b_J5BQKfU_59eYot/view?usp=sharing</t>
  </si>
  <si>
    <t>app-containers</t>
  </si>
  <si>
    <t>Containers</t>
  </si>
  <si>
    <t>Contenedores</t>
  </si>
  <si>
    <t>app-groups</t>
  </si>
  <si>
    <t>app-owner</t>
  </si>
  <si>
    <t>https://drive.google.com/file/d/1q38zVR0zreq9Y7nUezHEG80AKD3HM6sx/view?usp=sharing</t>
  </si>
  <si>
    <t>https://drive.google.com/file/d/1rh4jbsR2tE88uCqK4ERwG0eePwbNUXl2/view?usp=sharing</t>
  </si>
  <si>
    <t>https://drive.google.com/file/d/1H4a4R8k11TxDX4evNDq7FInB4oV6WyO_/view?usp=sharing</t>
  </si>
  <si>
    <t>Are you sure you want to delete the Asset?</t>
  </si>
  <si>
    <t>¿Está seguro que desea eliminar este Activo?</t>
  </si>
  <si>
    <t>https://drive.google.com/file/d/1MyAnQMVmc_K_6bfwgliTn1EZ-_Izb0kb/view?usp=sharing</t>
  </si>
  <si>
    <t>app-applications</t>
  </si>
  <si>
    <t>https://drive.google.com/file/d/1mq-cQFpUQYQCb6d6YWRJ6jQ2BWrnG2NU/view?usp=sharing</t>
  </si>
  <si>
    <t>Applications</t>
  </si>
  <si>
    <t>Aplicaciones</t>
  </si>
  <si>
    <t>app-no-tags-assigned</t>
  </si>
  <si>
    <t>No tags assigned</t>
  </si>
  <si>
    <t>No hay etiquetas asignadas</t>
  </si>
  <si>
    <t>New Container</t>
  </si>
  <si>
    <t>https://drive.google.com/file/d/1Gy50yWyThYVx6mZMr8a7z_StVsu9jXbz/view?usp=sharing</t>
  </si>
  <si>
    <t>app-edit-container</t>
  </si>
  <si>
    <t>https://drive.google.com/file/d/1FPruzLG6p5mby0flDGX8fMV8dT0e0AxG/view?usp=sharing</t>
  </si>
  <si>
    <t>Edit Container</t>
  </si>
  <si>
    <t>Editar Contenedor</t>
  </si>
  <si>
    <t>app-delete-container</t>
  </si>
  <si>
    <t>Delete container</t>
  </si>
  <si>
    <t>Eliminar contenedor</t>
  </si>
  <si>
    <t>https://drive.google.com/file/d/1SaNtp3YZoYm9nup0L8jsPj2r7tYumMGR/view?usp=sharing</t>
  </si>
  <si>
    <t>https://drive.google.com/file/d/1PLCdRhfKfPNGwImyfLq0pM0m89mKL_po/view?usp=sharing</t>
  </si>
  <si>
    <t>Are you sure you want to delete the Container?</t>
  </si>
  <si>
    <t>¿Está seguro que desea eliminar este Contenedor?</t>
  </si>
  <si>
    <t>app-select-all</t>
  </si>
  <si>
    <t>https://drive.google.com/file/d/165QVHY6L_UdpjhCaOekUadZe_C_oI1A-/view?usp=sharing</t>
  </si>
  <si>
    <t>Select All</t>
  </si>
  <si>
    <t>Seleccionar todos</t>
  </si>
  <si>
    <t>app-project-name</t>
  </si>
  <si>
    <t>Nombre de Proyectos</t>
  </si>
  <si>
    <t>app-images</t>
  </si>
  <si>
    <t>0 Images</t>
  </si>
  <si>
    <t>0 Imágenes</t>
  </si>
  <si>
    <t>app-date</t>
  </si>
  <si>
    <t>Date</t>
  </si>
  <si>
    <t>Fecha</t>
  </si>
  <si>
    <t>app-set-date</t>
  </si>
  <si>
    <t>Set Date</t>
  </si>
  <si>
    <t>Definir Fecha</t>
  </si>
  <si>
    <t>app-mission</t>
  </si>
  <si>
    <t>Mission</t>
  </si>
  <si>
    <t>Misión</t>
  </si>
  <si>
    <t>app-no-associated-missions</t>
  </si>
  <si>
    <t>No associated missions</t>
  </si>
  <si>
    <t>No hay misiones asociadas</t>
  </si>
  <si>
    <t>Procesando</t>
  </si>
  <si>
    <t>app-start</t>
  </si>
  <si>
    <t>Start</t>
  </si>
  <si>
    <t>Comenzar</t>
  </si>
  <si>
    <t>app-edit-group</t>
  </si>
  <si>
    <t>https://drive.google.com/file/d/107_5ZoCuvx4hRn4iNXOjjkZrfo4Z3IQC/view?usp=sharing</t>
  </si>
  <si>
    <t>Edit Group</t>
  </si>
  <si>
    <t>Editar Grupo</t>
  </si>
  <si>
    <t>app-delete-group</t>
  </si>
  <si>
    <t>Delete Group</t>
  </si>
  <si>
    <t>Eliminar Grupo</t>
  </si>
  <si>
    <t>https://drive.google.com/file/d/1iJmI-ZsFzV_eQS7hwR7wic8UZDeCj2Ze/view?usp=sharing</t>
  </si>
  <si>
    <t>Are you sure you want to delete the Group?</t>
  </si>
  <si>
    <t>¿Está seguro que desea eliminar este Grupo?</t>
  </si>
  <si>
    <t>https://drive.google.com/file/d/1s-zAkHopSm2bLlnmblSsyvTZLoYs3UiB/view?usp=sharing</t>
  </si>
  <si>
    <t>https://drive.google.com/file/d/1SFFgpX5Ek_4RJltJdap0e1WimOyg1put/view?usp=sharing</t>
  </si>
  <si>
    <t>Edit Group for</t>
  </si>
  <si>
    <t>Editar Grupo para</t>
  </si>
  <si>
    <t>https://drive.google.com/file/d/1BJ9B97IypwtcOqrpVG-cKEVf6gF9q9g3/view?usp=sharing</t>
  </si>
  <si>
    <t>https://drive.google.com/file/d/1xeRHFBuKzqjTWakfcPWCZbofafJVb-JI/view?usp=sharing</t>
  </si>
  <si>
    <t>Add Application</t>
  </si>
  <si>
    <t>Añadir Aplicación</t>
  </si>
  <si>
    <t>Search Application</t>
  </si>
  <si>
    <t>Buscar Aplicación</t>
  </si>
  <si>
    <t>Apps</t>
  </si>
  <si>
    <t>https://drive.google.com/file/d/1DAlivQl1WLd0EKAz8ARJfsvnU2KvfkCC/view?usp=sharing</t>
  </si>
  <si>
    <t>Edit Assets</t>
  </si>
  <si>
    <t>Editar Activos</t>
  </si>
  <si>
    <t>Add Location</t>
  </si>
  <si>
    <t>Añadir Ubicación</t>
  </si>
  <si>
    <t>https://drive.google.com/file/d/1PHk5NXBSUWsuX1RL-DDYb2LX45-9suXO/view?usp=sharing</t>
  </si>
  <si>
    <t>Move</t>
  </si>
  <si>
    <t>Mover</t>
  </si>
  <si>
    <t>Iniciar</t>
  </si>
  <si>
    <t>https://drive.google.com/file/d/1EQjt_VfUh-Rgao0Jsgfpu1sb53OholjC/view?usp=sharing</t>
  </si>
  <si>
    <t>Image details</t>
  </si>
  <si>
    <t>Detalles de la Imagen</t>
  </si>
  <si>
    <t>Start Processing</t>
  </si>
  <si>
    <t>Iniciar Procesamiento</t>
  </si>
  <si>
    <t>No missions found</t>
  </si>
  <si>
    <t>No se encontraron misiones</t>
  </si>
  <si>
    <t>Data captured time</t>
  </si>
  <si>
    <t>Hora de captura de los datos</t>
  </si>
  <si>
    <t>Data upload time</t>
  </si>
  <si>
    <t>Hora de carga de los datos</t>
  </si>
  <si>
    <t>Area covered</t>
  </si>
  <si>
    <t>Área cubierta</t>
  </si>
  <si>
    <t>Camera model</t>
  </si>
  <si>
    <t>Modelo de la Cámara</t>
  </si>
  <si>
    <t>Raw images</t>
  </si>
  <si>
    <t>Archivo de Imágenes</t>
  </si>
  <si>
    <t>Upload</t>
  </si>
  <si>
    <t>Cargar</t>
  </si>
  <si>
    <t>Upload more</t>
  </si>
  <si>
    <t>https://drive.google.com/file/d/1jg4WZGSVlUUlQqzP6--9drFxw8Vs2WD4/view?usp=sharing</t>
  </si>
  <si>
    <t>Average ground sampling distance</t>
  </si>
  <si>
    <t>Distancia de muestro en tierra promedio</t>
  </si>
  <si>
    <t>Image altitude</t>
  </si>
  <si>
    <t>Altitud de la Imagen</t>
  </si>
  <si>
    <t>Action</t>
  </si>
  <si>
    <t>Acción</t>
  </si>
  <si>
    <t>https://drive.google.com/file/d/1atQVgPY8H1_bzmLavB2M14I7LexIesr6/view?usp=sharing</t>
  </si>
  <si>
    <t>Group</t>
  </si>
  <si>
    <t>Grupo</t>
  </si>
  <si>
    <t>Select a Group</t>
  </si>
  <si>
    <t>Seleccionar un Grupo</t>
  </si>
  <si>
    <t>https://drive.google.com/file/d/13qJmw1h2DW2P4S7KUrPKXhx8AsOBWkUq/view?usp=sharing</t>
  </si>
  <si>
    <t>Código</t>
  </si>
  <si>
    <t>Disable?</t>
  </si>
  <si>
    <t>¿Deshabilitar?</t>
  </si>
  <si>
    <t>Update Properties</t>
  </si>
  <si>
    <t>Actualizar Propiedades</t>
  </si>
  <si>
    <t>https://drive.google.com/file/d/1N_LOss2KWYwpGxcv8iJ6thm8kbFiDIoL/view?usp=sharing</t>
  </si>
  <si>
    <t>Visual</t>
  </si>
  <si>
    <t>Plant_design</t>
  </si>
  <si>
    <t>Diseño de Planta</t>
  </si>
  <si>
    <t>Grayscale</t>
  </si>
  <si>
    <t>Escala de Grises</t>
  </si>
  <si>
    <t>https://drive.google.com/file/d/18Lt_hymI1Th4GgJ-H4dNG3GwMWA-sysx/view?usp=sharing</t>
  </si>
  <si>
    <t>app-container</t>
  </si>
  <si>
    <t>Container</t>
  </si>
  <si>
    <t>Contenedor</t>
  </si>
  <si>
    <t>https://drive.google.com/file/d/1xKmy3OhhXCBB9cHDARaTTFJnNI6zHXyJ/view?usp=sharing</t>
  </si>
  <si>
    <t>app-advance-option</t>
  </si>
  <si>
    <t>Group / Color Icon</t>
  </si>
  <si>
    <t>Save changes</t>
  </si>
  <si>
    <t>https://drive.google.com/file/d/1tGhza3EQ1uDTA2w2hu2sMq8XY5EFNVhJ/view?usp=sharing</t>
  </si>
  <si>
    <t>app-no-description-found</t>
  </si>
  <si>
    <t>No description found</t>
  </si>
  <si>
    <t>No se encontró descripción</t>
  </si>
  <si>
    <t>app-configuration</t>
  </si>
  <si>
    <t>app-no-results-found</t>
  </si>
  <si>
    <t>https://drive.google.com/file/d/1jOSTKP0NrK9DCkQSo9MM_ompVyZIlnmw/view?usp=sharing</t>
  </si>
  <si>
    <t>app-autocad</t>
  </si>
  <si>
    <t>https://drive.google.com/file/d/1EjK9pUSdS5VAOapa97nPQjOuwQHLtX62/view?usp=sharing</t>
  </si>
  <si>
    <t>Autocad</t>
  </si>
  <si>
    <t>app-dsm</t>
  </si>
  <si>
    <t>DSM</t>
  </si>
  <si>
    <t>app-dtm</t>
  </si>
  <si>
    <t>DTM</t>
  </si>
  <si>
    <t>app-reflectance-map</t>
  </si>
  <si>
    <t>Reflectance Map</t>
  </si>
  <si>
    <t>Mapa de Reflectancia</t>
  </si>
  <si>
    <t>app-processed-images</t>
  </si>
  <si>
    <t>Processed Images</t>
  </si>
  <si>
    <t>Imágenes Procesadas</t>
  </si>
  <si>
    <t>app-3d-model</t>
  </si>
  <si>
    <t>3D Model</t>
  </si>
  <si>
    <t>Modelo en 3D</t>
  </si>
  <si>
    <t>app-ortho-tiles</t>
  </si>
  <si>
    <t>Ortho Tiles</t>
  </si>
  <si>
    <t>Mozaico de Orthos</t>
  </si>
  <si>
    <t>app-compressed-zip</t>
  </si>
  <si>
    <t>Compressed ZIP</t>
  </si>
  <si>
    <t>Archivos Comprimidos ZIP</t>
  </si>
  <si>
    <t>app-html</t>
  </si>
  <si>
    <t>HTML</t>
  </si>
  <si>
    <t>app-point-cloud</t>
  </si>
  <si>
    <t>Point Cloud</t>
  </si>
  <si>
    <t>Nube de Puntos</t>
  </si>
  <si>
    <t>app-images-zip</t>
  </si>
  <si>
    <t>Images ZIP</t>
  </si>
  <si>
    <t>Imágenes ZIP</t>
  </si>
  <si>
    <t>app-camera-params</t>
  </si>
  <si>
    <t>Camera Params</t>
  </si>
  <si>
    <t>Parámetros de Cámara</t>
  </si>
  <si>
    <t xml:space="preserve">app-ortho </t>
  </si>
  <si>
    <t>Ortho</t>
  </si>
  <si>
    <t>app-shp</t>
  </si>
  <si>
    <t>SHP</t>
  </si>
  <si>
    <t>app-report</t>
  </si>
  <si>
    <t>Report</t>
  </si>
  <si>
    <t>Reporte</t>
  </si>
  <si>
    <t>app-camera-external-params</t>
  </si>
  <si>
    <t>Camera External Params</t>
  </si>
  <si>
    <t>Parámetros Externos de Cámara</t>
  </si>
  <si>
    <t>https://drive.google.com/file/d/1psqITzxz1xZE4EpQ5rM3ZyjVq0qolVxS/view?usp=sharing</t>
  </si>
  <si>
    <t>https://drive.google.com/file/d/1FILLQgTKdCuykIDqXacvIskTOuY6IKlV/view?usp=sharing</t>
  </si>
  <si>
    <t>Showing 1 to 10 of 13 entries</t>
  </si>
  <si>
    <t>Mostrando 1 a 10 de 13 entradas</t>
  </si>
  <si>
    <t>https://drive.google.com/file/d/10-zUIaIXZMn_cHxcZZylB-kT7FkeZCD5/view?usp=sharing</t>
  </si>
  <si>
    <t>Configure the default values for the items created under the asset here. By default, any ticket/vault item created for the asset will use the pre-defined values set unless overridden. Please note that the changes are applied only to the new items created.</t>
  </si>
  <si>
    <t>Configure aquí los valores por defecto para los elementos creados en el activo. Por defecto, cualquier elemento de ticket/vault creado por el activo usará los valores pre-definidos y/o establecidos a menos que los mismos sean anulados. Por favor nótese que los cambios son aplicados únicamente a los nuevos elementos creados.</t>
  </si>
  <si>
    <t>https://drive.google.com/file/d/1NoRHwQV2btg8gpui5kpVtN0xX5fH14NA/view?usp=sharing</t>
  </si>
  <si>
    <t>https://drive.google.com/file/d/17aJ9gRw9OISdMASbHGBhxmwVjGk9ASc2/view?usp=sharing</t>
  </si>
  <si>
    <t>Search teams</t>
  </si>
  <si>
    <t>Buscar equipos</t>
  </si>
  <si>
    <t>https://drive.google.com/file/d/1OhZV4Ku-VfvPEHpP6z7sp3YOusgq_6C4/view?usp=sharing</t>
  </si>
  <si>
    <t>https://drive.google.com/file/d/1mrhLvtvzSnInFO2fqQa8w7d9-zyUYExd/view?usp=sharing</t>
  </si>
  <si>
    <t>app-report-type</t>
  </si>
  <si>
    <t>Report type</t>
  </si>
  <si>
    <t>Tipo de reporte</t>
  </si>
  <si>
    <t>app-edit-report</t>
  </si>
  <si>
    <t>Edit report</t>
  </si>
  <si>
    <t>Editar reporte</t>
  </si>
  <si>
    <t>app-delete-report</t>
  </si>
  <si>
    <t>Delete report</t>
  </si>
  <si>
    <t>Eliminar reporte</t>
  </si>
  <si>
    <t>https://drive.google.com/file/d/1txFkhSaq_JWFEOZSF1tGHH5lABlDWJB9/view?usp=sharing</t>
  </si>
  <si>
    <t>Search Assets</t>
  </si>
  <si>
    <t>Buscar Activos</t>
  </si>
  <si>
    <t>Create New Ticket</t>
  </si>
  <si>
    <t>Crear Nuevo Ticket</t>
  </si>
  <si>
    <t>https://drive.google.com/file/d/1lKNDHUpEKhqt3GxClu1llq_agupUtKdh/view?usp=sharing</t>
  </si>
  <si>
    <t>https://drive.google.com/file/d/1nmEmGmzo6Er5S1Lq94HAzgvwvz1jDgo6/view?usp=sharing</t>
  </si>
  <si>
    <t>Atrasados</t>
  </si>
  <si>
    <t>Asignados a mi</t>
  </si>
  <si>
    <t>Creados por mi</t>
  </si>
  <si>
    <t>app-sort-by</t>
  </si>
  <si>
    <t>https://drive.google.com/file/d/1KUfzvJwTTJ-oW_lTC4zfTQaOMSfhEhSm/view?usp=sharing</t>
  </si>
  <si>
    <t>https://drive.google.com/file/d/1jWqkpojM_neAu7T_oveqRo0HxBma1lnT/view?usp=sharing</t>
  </si>
  <si>
    <t>https://drive.google.com/file/d/1pzw72KskUqRxdgghhoW0Hh8TXmOD-PNo/view?usp=sharing</t>
  </si>
  <si>
    <t>https://drive.google.com/file/d/1fA48iXqqkY1HNKwJQQoZsJNhLW3IvYw4/view?usp=sharing</t>
  </si>
  <si>
    <t>https://drive.google.com/file/d/1LA2EWJ9B1aBZBGdRhbvRWZsCzsI7rLAB/view?usp=sharing</t>
  </si>
  <si>
    <t>https://drive.google.com/file/d/13JiqS13CLt6RZoIvhjfe_dfj6CD004A_/view?usp=sharing</t>
  </si>
  <si>
    <t>app-export-to-csv</t>
  </si>
  <si>
    <t>Export to CSV</t>
  </si>
  <si>
    <t>Exportar a CSV</t>
  </si>
  <si>
    <t>https://drive.google.com/file/d/13DL3d7I3L_wAx4hYvribtel29cdpI5Kq/view?usp=sharing</t>
  </si>
  <si>
    <t>app-add-assignee</t>
  </si>
  <si>
    <t>Add Assignee</t>
  </si>
  <si>
    <t>Añadir Encargado</t>
  </si>
  <si>
    <t>app-create-new-folder</t>
  </si>
  <si>
    <t>https://drive.google.com/file/d/1wXaHZw9fCqsHXxGV5DqTXfizWECguZgI/view?usp=sharing</t>
  </si>
  <si>
    <t>https://drive.google.com/file/d/1gX6qHFCgW2xUz7wgIdKi9Pg4hJpBwO0D/view?usp=sharing</t>
  </si>
  <si>
    <t>https://drive.google.com/file/d/1TLF9e9a2zYswZ6s_1OMkHLMuPosgPQs3/view?usp=sharing</t>
  </si>
  <si>
    <t>app-file-name</t>
  </si>
  <si>
    <t>https://drive.google.com/file/d/1F2qz4w2sNeSSf4NfErglfAy2egaZiJZs/view?usp=sharing</t>
  </si>
  <si>
    <t>app-grid-view</t>
  </si>
  <si>
    <t>https://drive.google.com/file/d/1RkLdPV3DZBoG3jpmMQ1T8jbavuQMJgny/view?usp=sharing</t>
  </si>
  <si>
    <t>Grid View</t>
  </si>
  <si>
    <t>Vista en Cuadrícula</t>
  </si>
  <si>
    <t>app-list-view</t>
  </si>
  <si>
    <t>https://drive.google.com/file/d/1uHUvf_zST06uIQNMlwutTtGjzpoirCvy/view?usp=sharing</t>
  </si>
  <si>
    <t>List View</t>
  </si>
  <si>
    <t>Vista en lista</t>
  </si>
  <si>
    <t>app-info</t>
  </si>
  <si>
    <t>https://drive.google.com/file/d/1qbrnzo3Xh-oCyiAmLN_gH2J-Cj0S5yLc/view?usp=sharing</t>
  </si>
  <si>
    <t>app-information</t>
  </si>
  <si>
    <t xml:space="preserve">https://drive.google.com/file/d/1TkUipIcdzwc_CsxTxu6vsWBkexY1f4ud/view?usp=sharing
</t>
  </si>
  <si>
    <t>Information</t>
  </si>
  <si>
    <t>app-folder</t>
  </si>
  <si>
    <t>https://drive.google.com/file/d/1Rxiih2iujQyoY0YTAYiVpfcUQY5BxF36/view?usp=sharing</t>
  </si>
  <si>
    <t>Folder Name</t>
  </si>
  <si>
    <t>Nombre de Carpeta</t>
  </si>
  <si>
    <t>app-size</t>
  </si>
  <si>
    <t>https://drive.google.com/file/d/1pyJNtqZgnf8Xw_zY-uzXkF6UuhuoLjuk/view?usp=sharing</t>
  </si>
  <si>
    <t>Size</t>
  </si>
  <si>
    <t>Tamaño</t>
  </si>
  <si>
    <t>app-new-mission</t>
  </si>
  <si>
    <t xml:space="preserve">https://drive.google.com/file/d/1LBk4yFQgveVWluA_nQ68W3sHNNxWHm-9/view?usp=sharing
</t>
  </si>
  <si>
    <t>New Mission</t>
  </si>
  <si>
    <t>Nueva Misión</t>
  </si>
  <si>
    <t>app-create-new-mission</t>
  </si>
  <si>
    <t>Create New Mission</t>
  </si>
  <si>
    <t>Crear Nueva Misión</t>
  </si>
  <si>
    <t>app-mission-name</t>
  </si>
  <si>
    <t>https://drive.google.com/file/d/11T2sxW37E42BUoHGmOT7nDmgS4oukEmN/view?usp=sharing</t>
  </si>
  <si>
    <t>Mission Name</t>
  </si>
  <si>
    <t>Nombre de la Misión</t>
  </si>
  <si>
    <t>app-select-group</t>
  </si>
  <si>
    <t>Select Group</t>
  </si>
  <si>
    <t>Seleccionar Grupo</t>
  </si>
  <si>
    <t>app-steps</t>
  </si>
  <si>
    <t>Steps</t>
  </si>
  <si>
    <t>Pasos</t>
  </si>
  <si>
    <t>app-resume-now</t>
  </si>
  <si>
    <t>Resume now</t>
  </si>
  <si>
    <t>Continuar ahora</t>
  </si>
  <si>
    <t>app-reoptimize</t>
  </si>
  <si>
    <t>Reoptimize</t>
  </si>
  <si>
    <t>Reoptimizar</t>
  </si>
  <si>
    <t>Edit organization</t>
  </si>
  <si>
    <t>Editar organización</t>
  </si>
  <si>
    <t>Delete organization</t>
  </si>
  <si>
    <t>Eliminar organización</t>
  </si>
  <si>
    <t>Create New Group</t>
  </si>
  <si>
    <t>Crear Grupo Nuevo</t>
  </si>
  <si>
    <t>Create New Container</t>
  </si>
  <si>
    <t>Crear Nuevo Contenedor</t>
  </si>
  <si>
    <t>Pin</t>
  </si>
  <si>
    <t>Fijar</t>
  </si>
  <si>
    <t>Unpin</t>
  </si>
  <si>
    <t>Desfijar</t>
  </si>
  <si>
    <t>app-user-management</t>
  </si>
  <si>
    <t>https://drive.google.com/file/d/1lI_vQovuNDluAncB-4wEIflIuKnmZqDf/view?usp=sharing</t>
  </si>
  <si>
    <t>User Management</t>
  </si>
  <si>
    <t>Administración de Usuario</t>
  </si>
  <si>
    <t>app-roles</t>
  </si>
  <si>
    <t>Roles</t>
  </si>
  <si>
    <t>app-guest</t>
  </si>
  <si>
    <t>Guest</t>
  </si>
  <si>
    <t>Invitado</t>
  </si>
  <si>
    <t>app-no-role-assigned</t>
  </si>
  <si>
    <t>No role assigned</t>
  </si>
  <si>
    <t>No hay rol asignado</t>
  </si>
  <si>
    <t>app-active</t>
  </si>
  <si>
    <t>Active</t>
  </si>
  <si>
    <t>app-invited</t>
  </si>
  <si>
    <t>Invited</t>
  </si>
  <si>
    <t>Invita Usuarios</t>
  </si>
  <si>
    <t>https://drive.google.com/file/d/1KEl3JJKWIKfpsbI6ChauDiBFjEKqgLBa/view?usp=sharing</t>
  </si>
  <si>
    <t>show all Users</t>
  </si>
  <si>
    <t>Mostrar todos los Usuarios</t>
  </si>
  <si>
    <t>全てのユーザーを表示</t>
  </si>
  <si>
    <t>app-deprovisioned</t>
  </si>
  <si>
    <t>https://drive.google.com/file/d/1S8ICjx8zQLrtlHBOolu0zY8kDGbo5JOo/view?usp=sharing</t>
  </si>
  <si>
    <t>Deprovisioned</t>
  </si>
  <si>
    <t>Desaprovisionado</t>
  </si>
  <si>
    <t>app-password-expired</t>
  </si>
  <si>
    <t>Password_Expired</t>
  </si>
  <si>
    <t>Contraseña_Expirada</t>
  </si>
  <si>
    <t>app-provisioned</t>
  </si>
  <si>
    <t>Provisioned</t>
  </si>
  <si>
    <t>Provisionado</t>
  </si>
  <si>
    <t>https://drive.google.com/file/d/1s91K91Di5dj7dRdVquAeBUXHIZRnhkL2/view?usp=sharing</t>
  </si>
  <si>
    <t>Showing 81 to 90 of 386 entries</t>
  </si>
  <si>
    <t>Mostrando 81 a 90 de 386 entradas</t>
  </si>
  <si>
    <t>386中の81から90を表示中</t>
  </si>
  <si>
    <t>app-site-management</t>
  </si>
  <si>
    <t>https://drive.google.com/file/d/1DhDGSGzAlWZBE6vCUuISqNLDiOOSZDhC/view?usp=sharing</t>
  </si>
  <si>
    <t>Site Management</t>
  </si>
  <si>
    <t>Administración de Sitio</t>
  </si>
  <si>
    <t>app-new-role</t>
  </si>
  <si>
    <t>New role</t>
  </si>
  <si>
    <t>Nuevo rol</t>
  </si>
  <si>
    <t>app-no-applications-assigned</t>
  </si>
  <si>
    <t>No applications assigned</t>
  </si>
  <si>
    <t>No hay aplicaciones asignadas</t>
  </si>
  <si>
    <t>app-no-users-assigned</t>
  </si>
  <si>
    <t>No users assigned</t>
  </si>
  <si>
    <t>No hay usuarios asignados</t>
  </si>
  <si>
    <t>https://drive.google.com/file/d/1sfRHTSxh-KjGwYBcaOgdI0K5nRSxFx7t/view?usp=sharing</t>
  </si>
  <si>
    <t>Create New Role</t>
  </si>
  <si>
    <t>Crear Nuevo Rol</t>
  </si>
  <si>
    <t>新規役割作成</t>
  </si>
  <si>
    <t>https://drive.google.com/file/d/1AjUf8fMbkqd6VnlkOIEOMaN748GANa9A/view?usp=sharing</t>
  </si>
  <si>
    <t>Create Rol for</t>
  </si>
  <si>
    <t>Crear Rol para</t>
  </si>
  <si>
    <t>次の役割を作成</t>
  </si>
  <si>
    <t>app-site-quality</t>
  </si>
  <si>
    <t>https://drive.google.com/file/d/1YvHe-v_StN_JcdZZNEF5sShA0VTMq08W/view?usp=sharing</t>
  </si>
  <si>
    <t>Site Quality</t>
  </si>
  <si>
    <t>Calidad de Sitio</t>
  </si>
  <si>
    <t>app-asset-management</t>
  </si>
  <si>
    <t>Asset Management</t>
  </si>
  <si>
    <t>Administración de Activos</t>
  </si>
  <si>
    <t>app-electrical</t>
  </si>
  <si>
    <t>app-associated-asset</t>
  </si>
  <si>
    <t>Associated asset</t>
  </si>
  <si>
    <t>Activo asociado</t>
  </si>
  <si>
    <t>app-no-assets-assigned</t>
  </si>
  <si>
    <t>No assets assigned</t>
  </si>
  <si>
    <t>No hay activos asignados</t>
  </si>
  <si>
    <t>app-new-team</t>
  </si>
  <si>
    <t>New Team</t>
  </si>
  <si>
    <t>Nuevo Equipo</t>
  </si>
  <si>
    <t>https://drive.google.com/file/d/1GFmcpBD0Bu9j9QjYu2RgTXUBSstfGLHI/view?usp=sharing</t>
  </si>
  <si>
    <t>Create Team for</t>
  </si>
  <si>
    <t>Crear Equipo para</t>
  </si>
  <si>
    <t>次のチームを作成</t>
  </si>
  <si>
    <t>Select Parent Team (optional)</t>
  </si>
  <si>
    <t>Seleccionar Equipo Matriz (opcional)</t>
  </si>
  <si>
    <t>親チームを選択（オプション）</t>
  </si>
  <si>
    <t>app-edit-team</t>
  </si>
  <si>
    <t>https://drive.google.com/file/d/1cE32Bs-p2mxsasfUkmKT65AxmoLIM5oa/view?usp=sharing</t>
  </si>
  <si>
    <t>Edit Team</t>
  </si>
  <si>
    <t>Editar Equipo</t>
  </si>
  <si>
    <t>app-delete-team</t>
  </si>
  <si>
    <t>Delete Team</t>
  </si>
  <si>
    <t>Eliminar Equipo</t>
  </si>
  <si>
    <t>https://drive.google.com/file/d/1MXDPIQk9nM7dLUVL9XaBHoY1otczJTYl/view?usp=sharing</t>
  </si>
  <si>
    <t>Are you sure you want to delete the Team?</t>
  </si>
  <si>
    <t>¿Está seguro que desea eliminar este Equipo?</t>
  </si>
  <si>
    <t>チームを削除しますか？</t>
  </si>
  <si>
    <t>app-qc</t>
  </si>
  <si>
    <t>https://drive.google.com/file/d/186I4j5klRfFdwEPfqKZBsrmaT57HtxMm/view?usp=sharing</t>
  </si>
  <si>
    <t>QC</t>
  </si>
  <si>
    <t>Control de Calidad</t>
  </si>
  <si>
    <t>app-civil-team</t>
  </si>
  <si>
    <t>Civil Team</t>
  </si>
  <si>
    <t>Equipo de Ing. Civil</t>
  </si>
  <si>
    <t>app-site-o&amp;m</t>
  </si>
  <si>
    <t>Site O&amp;M</t>
  </si>
  <si>
    <t>Operaciones y Mantenimiento de Sitio</t>
  </si>
  <si>
    <t>app-site-operations</t>
  </si>
  <si>
    <t>Site Operations</t>
  </si>
  <si>
    <t>Operaciones en Sitio</t>
  </si>
  <si>
    <t>app-contracting</t>
  </si>
  <si>
    <t>Contracting</t>
  </si>
  <si>
    <t xml:space="preserve">Contratamientos </t>
  </si>
  <si>
    <t>https://drive.google.com/file/d/1JTqYuJ3P1rqfHQ5g4H4z4eD7x4HTNAzp/view?usp=sharing</t>
  </si>
  <si>
    <t>Invita Usuarios Nuevos</t>
  </si>
  <si>
    <t>app-last-seen</t>
  </si>
  <si>
    <t>https://drive.google.com/file/d/14QdW6KtlbeyJykHPMI0Shv_3wABkxI5A/view?usp=sharing</t>
  </si>
  <si>
    <t>Last Seen</t>
  </si>
  <si>
    <t>Última Vista</t>
  </si>
  <si>
    <t>app-added-on</t>
  </si>
  <si>
    <t>Added on</t>
  </si>
  <si>
    <t>Añadido el</t>
  </si>
  <si>
    <t>app-email-id</t>
  </si>
  <si>
    <t>Email ID</t>
  </si>
  <si>
    <t>Not found</t>
  </si>
  <si>
    <t>No encontrado</t>
  </si>
  <si>
    <t>app-permissions</t>
  </si>
  <si>
    <t>Permissions</t>
  </si>
  <si>
    <t>Permisos</t>
  </si>
  <si>
    <t>app-assign-assets</t>
  </si>
  <si>
    <t>Assign Assets</t>
  </si>
  <si>
    <t>Asignar Activos</t>
  </si>
  <si>
    <t>app-access</t>
  </si>
  <si>
    <t>Access</t>
  </si>
  <si>
    <t>Acceso</t>
  </si>
  <si>
    <t>app-remove-asset</t>
  </si>
  <si>
    <t>https://drive.google.com/file/d/1RqxaGi4MlsTQUUZSIQuo7TiBhVbr3WmU/view?usp=sharing</t>
  </si>
  <si>
    <t>Remove Asset</t>
  </si>
  <si>
    <t>Quitar Activo</t>
  </si>
  <si>
    <t>app-search-asset-name</t>
  </si>
  <si>
    <t>https://drive.google.com/file/d/1GUlc1nugZ612JDDrHHQEccnTWgd6PgXp/view?usp=sharing</t>
  </si>
  <si>
    <t>Search Asset Name</t>
  </si>
  <si>
    <t>Buscar Nombre de Activo</t>
  </si>
  <si>
    <t>https://drive.google.com/file/d/1UEtuv3LapnBcu98Sz7CnyvqvsE5lN9Qb/view?usp=sharing</t>
  </si>
  <si>
    <t>app-no-containers-assigned</t>
  </si>
  <si>
    <t>No containers assigned</t>
  </si>
  <si>
    <t>Sin contenedores asignados</t>
  </si>
  <si>
    <t>app-assign-groups</t>
  </si>
  <si>
    <t>Assign Groups</t>
  </si>
  <si>
    <t>Asignar Grupos</t>
  </si>
  <si>
    <t>app-search-group-name</t>
  </si>
  <si>
    <t>https://drive.google.com/file/d/1kYqdfukeUHf89kuW1ecvpgLMlkjnDi-1/view?usp=sharing</t>
  </si>
  <si>
    <t>Search Group Name</t>
  </si>
  <si>
    <t>Buscar Nombre de Grupo</t>
  </si>
  <si>
    <t>app-assign-containers</t>
  </si>
  <si>
    <t>https://drive.google.com/file/d/1t_CfwAvS43xD77gDAddOTgK9p37MQg3F/view?usp=sharing</t>
  </si>
  <si>
    <t>Assign Containers</t>
  </si>
  <si>
    <t>Asignar Contenedores</t>
  </si>
  <si>
    <t>https://drive.google.com/file/d/1yXOiCmbXuPuC2rA8xK6nlll6F7-1Kaph/view?usp=sharing</t>
  </si>
  <si>
    <t>Núcleo</t>
  </si>
  <si>
    <t>app-upload-images</t>
  </si>
  <si>
    <t>Upload Images</t>
  </si>
  <si>
    <t>Cargar Imágenes</t>
  </si>
  <si>
    <t>app-permission-upload-images</t>
  </si>
  <si>
    <t>Allow upload of images into a project</t>
  </si>
  <si>
    <t>Permitir cargar imágenes a un proyecto</t>
  </si>
  <si>
    <t>app-download-reports</t>
  </si>
  <si>
    <t>Download Reports</t>
  </si>
  <si>
    <t>Descargar Reportes</t>
  </si>
  <si>
    <t>app-permission-download-reports</t>
  </si>
  <si>
    <t>Allow download of reports like ortho, dsm, dtm, etc., for the projects accesible.</t>
  </si>
  <si>
    <t>Permitir descargar reportes como orto, dsm, dtm, entre otros para los proyectos que estén accesibles.</t>
  </si>
  <si>
    <t>app-modify-reports</t>
  </si>
  <si>
    <t>Modify Reports</t>
  </si>
  <si>
    <t>Modificar Reportes</t>
  </si>
  <si>
    <t>app-permission-modify-reports</t>
  </si>
  <si>
    <t xml:space="preserve">Allow to add or delete report to the projects accesible. </t>
  </si>
  <si>
    <t>Permitir añadir o eliminar reportes de proyectos que estén accesibles</t>
  </si>
  <si>
    <t>Invitar Usuarios</t>
  </si>
  <si>
    <t>app-permission-invite-users</t>
  </si>
  <si>
    <t>Allow user to onboard Users</t>
  </si>
  <si>
    <t>Permitir al usuario invitar otros usuarios</t>
  </si>
  <si>
    <t>app-add-guest-users</t>
  </si>
  <si>
    <t>https://drive.google.com/file/d/1y34BvjFho6yI-REWXKrnSLwleqfWMlXf/view?usp=sharing</t>
  </si>
  <si>
    <t>Add Guest Users</t>
  </si>
  <si>
    <t>Añade Usuarios como Invitados</t>
  </si>
  <si>
    <t>app-permission-add-guest-users</t>
  </si>
  <si>
    <t>Allow user to onboard User from Other Organization.</t>
  </si>
  <si>
    <t>Permitir que usuario invite a usuarios de otras organizaciones.</t>
  </si>
  <si>
    <t>app-create-assets</t>
  </si>
  <si>
    <t>Create Assets</t>
  </si>
  <si>
    <t>Crear Activos</t>
  </si>
  <si>
    <t>app-permission-create-assets</t>
  </si>
  <si>
    <t>Allow user to Create Assets</t>
  </si>
  <si>
    <t>Permitir que usuario cree activos</t>
  </si>
  <si>
    <t>app-create-containers</t>
  </si>
  <si>
    <t>Create Containers</t>
  </si>
  <si>
    <t>Crear contenedores</t>
  </si>
  <si>
    <t>app-permission-create-containers</t>
  </si>
  <si>
    <t>Allow user to create Containers</t>
  </si>
  <si>
    <t>Permitir que usuario cree contenedores</t>
  </si>
  <si>
    <t>app-create-roles</t>
  </si>
  <si>
    <t>Create Roles</t>
  </si>
  <si>
    <t>Crear Roles</t>
  </si>
  <si>
    <t>app-permission-create-roles</t>
  </si>
  <si>
    <t>Allow user to Create Roles</t>
  </si>
  <si>
    <t>Permitir que usuario cree roles</t>
  </si>
  <si>
    <t>app-modify-roles</t>
  </si>
  <si>
    <t>Modify Roles</t>
  </si>
  <si>
    <t>Modificar Roles</t>
  </si>
  <si>
    <t>app-permission-modify-roles</t>
  </si>
  <si>
    <t>Allow user to Modify Roles</t>
  </si>
  <si>
    <t>Permitir que usuario modifique roles.</t>
  </si>
  <si>
    <t>app-create-teams</t>
  </si>
  <si>
    <t>Create Teams</t>
  </si>
  <si>
    <t>Crear equipos</t>
  </si>
  <si>
    <t>app-permission-create-teams</t>
  </si>
  <si>
    <t>Allow user to Create Teams</t>
  </si>
  <si>
    <t>Permitir que usuario cree equipos</t>
  </si>
  <si>
    <t>app-modify-teams</t>
  </si>
  <si>
    <t>Modify Teams</t>
  </si>
  <si>
    <t>Modificar equipos</t>
  </si>
  <si>
    <t>app-permission-modify-teams</t>
  </si>
  <si>
    <t>Allow user to Modify Teams</t>
  </si>
  <si>
    <t>Permitir que usuario modifique equipos</t>
  </si>
  <si>
    <t>app-save-permissions</t>
  </si>
  <si>
    <t>https://drive.google.com/file/d/1eXuge8kvkWSupoU1zgssjScjB3Gq9mG0/view?usp=sharing</t>
  </si>
  <si>
    <t>Save Permissions</t>
  </si>
  <si>
    <t>Guardar Permisos</t>
  </si>
  <si>
    <t>app-therm</t>
  </si>
  <si>
    <t>https://drive.google.com/file/d/1YYoxBD3F6tYMaw3Hoj4qoNPCrbExeW4Z/view?usp=sharing</t>
  </si>
  <si>
    <t>Therm</t>
  </si>
  <si>
    <t>app-access-map-viewer</t>
  </si>
  <si>
    <t>Access Map Viewer</t>
  </si>
  <si>
    <t>Acceder al Visor de Mapas</t>
  </si>
  <si>
    <t>app-permission-access-map-viewer</t>
  </si>
  <si>
    <t>Interact with Map Viewer</t>
  </si>
  <si>
    <t>Interactuar con el Visor de Mapas</t>
  </si>
  <si>
    <t>app-create-new-views</t>
  </si>
  <si>
    <t>Create New Views</t>
  </si>
  <si>
    <t>Crear Nuevas Vistas</t>
  </si>
  <si>
    <t>app-permission-create-new-views</t>
  </si>
  <si>
    <t>Create new views from the available datasets</t>
  </si>
  <si>
    <t>Crear nuevas vistas de los sets de data disponibles.</t>
  </si>
  <si>
    <t>https://drive.google.com/file/d/1wyPfIpq6hc7AgyjO2MfnNjQapEIECLY_/view?usp=sharing</t>
  </si>
  <si>
    <t>app-gis-tools</t>
  </si>
  <si>
    <t>GIS Tools</t>
  </si>
  <si>
    <t>Herramientas GIS</t>
  </si>
  <si>
    <t>app-permission-gis-tools</t>
  </si>
  <si>
    <t>Access the basic GIS Tools like volume calculation (base-height only) and elevation profile, etc.</t>
  </si>
  <si>
    <t xml:space="preserve">Acceso a las herramientas GIS básicas como el cálculo de volumen (base-altura solamente) y perfil de elevación, entre otros. </t>
  </si>
  <si>
    <t>app-advanced-gis-tools</t>
  </si>
  <si>
    <t xml:space="preserve">Advanced GIS Tools </t>
  </si>
  <si>
    <t>Herramientas Avanzadas GIS</t>
  </si>
  <si>
    <t>app-permission-advanced-gis-tools</t>
  </si>
  <si>
    <t>All of basic tools + tirangulated volume, surface-to-surface volume calculation.</t>
  </si>
  <si>
    <t>Todas las herramientas básicas + triangulación de volumen, cálculo de volumen de superficie-a-superficie.</t>
  </si>
  <si>
    <t>app-modify-features</t>
  </si>
  <si>
    <t>Modify Features</t>
  </si>
  <si>
    <t>Modificar características</t>
  </si>
  <si>
    <t>app-permission-modify-features</t>
  </si>
  <si>
    <t>Ability to add, update and remove features</t>
  </si>
  <si>
    <t>Habilidad de añadir, actualizar y quitar características</t>
  </si>
  <si>
    <t>app-modify-feature-types</t>
  </si>
  <si>
    <t>Modify feature types</t>
  </si>
  <si>
    <t>Modificar tipo de características</t>
  </si>
  <si>
    <t>app-permission-modify-feature-types</t>
  </si>
  <si>
    <t>Ability to add, update and remove feature types and feature type groups</t>
  </si>
  <si>
    <t>Habilidad de añadir, actualizar y quitar tipo de características y grupos de tipos de características</t>
  </si>
  <si>
    <t>https://drive.google.com/file/d/1V_KiKj41jfFoABvNSJJ9_zR7WZX2fWv1/view?usp=sharing</t>
  </si>
  <si>
    <t>app-process-topography</t>
  </si>
  <si>
    <t>Process Topography</t>
  </si>
  <si>
    <t>Procesar Topografía</t>
  </si>
  <si>
    <t>app-permission-process-topography</t>
  </si>
  <si>
    <t>Process Visual and General Topographic data.</t>
  </si>
  <si>
    <t>Procesar data topográfica general y visual.</t>
  </si>
  <si>
    <t>app-process-thermal</t>
  </si>
  <si>
    <t>Process Thermal</t>
  </si>
  <si>
    <t>Procesar Thermal</t>
  </si>
  <si>
    <t>app-permission-process-thermal</t>
  </si>
  <si>
    <t>Process thermal data.</t>
  </si>
  <si>
    <t>Procesar data de thermal</t>
  </si>
  <si>
    <t>app-missions-and-link-app</t>
  </si>
  <si>
    <t>https://drive.google.com/file/d/1MCYtxyffrwJL7WTHWqisoJfseXMFCBEG/view?usp=sharing</t>
  </si>
  <si>
    <t>Missions &amp; Link App</t>
  </si>
  <si>
    <t>Misiones &amp; Vinculación de la Aplicación</t>
  </si>
  <si>
    <t>app-modify-missions</t>
  </si>
  <si>
    <t>Modify Missions</t>
  </si>
  <si>
    <t>Modificar misiones</t>
  </si>
  <si>
    <t>app-permission-modify-missions</t>
  </si>
  <si>
    <t>Create, update or delete missions.</t>
  </si>
  <si>
    <t>Crear, actualizar o eliminar misiones.</t>
  </si>
  <si>
    <t>app-fly-missions</t>
  </si>
  <si>
    <t>Fly Missions</t>
  </si>
  <si>
    <t>Volar Misiones</t>
  </si>
  <si>
    <t>app-permission-fly-missions</t>
  </si>
  <si>
    <t>Access to link application &amp; fly available missions.</t>
  </si>
  <si>
    <t>Acceso para vincular aplicación y volar misiones disponibles.</t>
  </si>
  <si>
    <t>https://drive.google.com/file/d/17jbw10E9lVllYQcR2cWk0oiQQRtKfuaC/view?usp=sharing</t>
  </si>
  <si>
    <t>app-create-modify-items</t>
  </si>
  <si>
    <t>Create/Modify items</t>
  </si>
  <si>
    <t>Crear / Modificar items</t>
  </si>
  <si>
    <t>app-permission-create-modify-items</t>
  </si>
  <si>
    <t>Create, update or delete files/folders</t>
  </si>
  <si>
    <t>Crear, actualizar o eliminar archivos / carpetas</t>
  </si>
  <si>
    <t>app-create-modify-tickets</t>
  </si>
  <si>
    <t>https://drive.google.com/file/d/1GNqEr9yk-_-2Ol6rEo1Fw3QafjcUNsAY/view?usp=sharing</t>
  </si>
  <si>
    <t>Create/Modify tickets</t>
  </si>
  <si>
    <t xml:space="preserve">Crear / Modificar tickets </t>
  </si>
  <si>
    <t>app-permission-create-modify-tickets</t>
  </si>
  <si>
    <t>Create, update or delete tickets.</t>
  </si>
  <si>
    <t>Crear, actualizar o eliminar tickets</t>
  </si>
  <si>
    <t>app-test</t>
  </si>
  <si>
    <t>https://drive.google.com/file/d/1AOQK9lyzTIPglkBigjZ5eL7axI66vgu6/view?usp=sharing</t>
  </si>
  <si>
    <t>Test</t>
  </si>
  <si>
    <t>Prueba</t>
  </si>
  <si>
    <t>app-type-email-and-enter</t>
  </si>
  <si>
    <t>app-type-name</t>
  </si>
  <si>
    <t>Type name</t>
  </si>
  <si>
    <t>app-form-description</t>
  </si>
  <si>
    <t>app-enter-property</t>
  </si>
  <si>
    <t>Enter Property</t>
  </si>
  <si>
    <t>Ingresar Propiedad</t>
  </si>
  <si>
    <t>app-version-name</t>
  </si>
  <si>
    <t>Version Name</t>
  </si>
  <si>
    <t>Nombre de la Versión</t>
  </si>
  <si>
    <t>app-duration</t>
  </si>
  <si>
    <t>Duration</t>
  </si>
  <si>
    <t>Duración</t>
  </si>
  <si>
    <t>app-enter-old-password</t>
  </si>
  <si>
    <t>Enter Old Password</t>
  </si>
  <si>
    <t>Ingrese la contraseña anterior</t>
  </si>
  <si>
    <t>app-old-password</t>
  </si>
  <si>
    <t>Old Password</t>
  </si>
  <si>
    <t>Contraseña Anterior</t>
  </si>
  <si>
    <t>旧パスワード</t>
  </si>
  <si>
    <t>app-reset-password</t>
  </si>
  <si>
    <t>パスワードをリセット</t>
  </si>
  <si>
    <t>app-create-password</t>
  </si>
  <si>
    <t>Create Password</t>
  </si>
  <si>
    <t>Crear Contraseña</t>
  </si>
  <si>
    <t>パスワードを作成</t>
  </si>
  <si>
    <t>app-remove-password</t>
  </si>
  <si>
    <t>Remove Password</t>
  </si>
  <si>
    <t>Eliminar Contraseña</t>
  </si>
  <si>
    <t>パスワードを削除</t>
  </si>
  <si>
    <t>app-set-password</t>
  </si>
  <si>
    <t>Set Password</t>
  </si>
  <si>
    <t>Establecer Contraseña</t>
  </si>
  <si>
    <t>パスワードを設定</t>
  </si>
  <si>
    <t>Users will receive an email to signup your organization.</t>
  </si>
  <si>
    <t>ユーザーはあなたの組織にサインアップするためにメールを受信します</t>
  </si>
  <si>
    <t>Users from other organizations will be added as a guest in your organization, you can add them to resources / teams as usual.</t>
  </si>
  <si>
    <t xml:space="preserve">他の組織のユーザーを、あなたの組織にゲストとして加えます。ゲストをリソース / チームに加えることができます。 </t>
  </si>
  <si>
    <t>Create Role for</t>
  </si>
  <si>
    <t>Edit Role for</t>
  </si>
  <si>
    <t>Editar Rol para</t>
  </si>
  <si>
    <t>次の役割を修正</t>
  </si>
  <si>
    <t>Role Color / Icon</t>
  </si>
  <si>
    <t>Color de Rol / Ícono</t>
  </si>
  <si>
    <t>役割カラー / アイコン</t>
  </si>
  <si>
    <t>Team Color / Icon</t>
  </si>
  <si>
    <t>Color de Equipo / Ícono</t>
  </si>
  <si>
    <t>チームカラー / アイコン</t>
  </si>
  <si>
    <t>Edit Team for</t>
  </si>
  <si>
    <t>Editar Equipo para</t>
  </si>
  <si>
    <t>次のチームを編集</t>
  </si>
  <si>
    <t xml:space="preserve">Edit Role </t>
  </si>
  <si>
    <t>Editar Rol</t>
  </si>
  <si>
    <t>役割を編集</t>
  </si>
  <si>
    <t>Delete Role</t>
  </si>
  <si>
    <t>Eliminar Rol</t>
  </si>
  <si>
    <t>役割を削除</t>
  </si>
  <si>
    <t>https://drive.google.com/file/d/1IhjzEqJZXgtbMQatjx4ykrJCdWs-Oe2A/view?usp=sharing</t>
  </si>
  <si>
    <t>La aplicación se desconectó, haz clic otra vez para conectarte</t>
  </si>
  <si>
    <t>アプリはオフラインです。オンラインにするためには再度クリックしてください。</t>
  </si>
  <si>
    <t>https://drive.google.com/file/d/1WkrSiLiwSV1oky7A9ezDtTnkOqCZY34O/view?usp=sharing</t>
  </si>
  <si>
    <t>La aplicación se conectó, Sincronizando información offline</t>
  </si>
  <si>
    <t>アプリはオンラインです。オフライン時に収集したデータを同期中です。</t>
  </si>
  <si>
    <t>https://drive.google.com/file/d/1RTf3pe4h499gZm5Z1SLM7AoHMcE9xJSc/view?usp=sharing</t>
  </si>
  <si>
    <t>Limpiar información offline</t>
  </si>
  <si>
    <t>オフライン時に収集したデータを消去</t>
  </si>
  <si>
    <t>プロファイルをアップデート</t>
  </si>
  <si>
    <t>app-we-are-working-on-it</t>
  </si>
  <si>
    <t>https://drive.google.com/file/d/1uRJkCoXdpaKKSZIBz2ZnuQ5nmP7q8htD/view?usp=sharing</t>
  </si>
  <si>
    <t>We are working on it</t>
  </si>
  <si>
    <t>Estamos trabajando en ello</t>
  </si>
  <si>
    <t>実行中</t>
  </si>
  <si>
    <t>Visual Aid</t>
  </si>
  <si>
    <t>added a new version</t>
  </si>
  <si>
    <t>añadió una nueva versión</t>
  </si>
  <si>
    <t>downloaded the file</t>
  </si>
  <si>
    <t>descargó el archivo</t>
  </si>
  <si>
    <t>deleted the file</t>
  </si>
  <si>
    <t>eliminó el archivo</t>
  </si>
  <si>
    <t>You</t>
  </si>
  <si>
    <t>Usted</t>
  </si>
  <si>
    <t xml:space="preserve">Showing </t>
  </si>
  <si>
    <t>app-entries</t>
  </si>
  <si>
    <t>Tab</t>
  </si>
  <si>
    <t>Portuguese</t>
  </si>
  <si>
    <t>app-last-30-days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</si>
</sst>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yyyy"/>
  </numFmts>
  <fonts count="62">
    <font>
      <sz val="10.0"/>
      <color rgb="FF000000"/>
      <name val="Arial"/>
    </font>
    <font>
      <color theme="1"/>
      <name val="Arial"/>
    </font>
    <font>
      <b/>
    </font>
    <font>
      <b/>
      <color theme="1"/>
      <name val="Arial"/>
    </font>
    <font>
      <u/>
      <color rgb="FF0000FF"/>
    </font>
    <font/>
    <font>
      <color rgb="FF000000"/>
      <name val="Arial"/>
    </font>
    <font>
      <b/>
      <color rgb="FF000000"/>
      <name val="&quot;Arial&quot;"/>
    </font>
    <font>
      <u/>
      <color rgb="FF1155CC"/>
    </font>
    <font>
      <u/>
      <color rgb="FF1155CC"/>
      <name val="Arial"/>
    </font>
    <font>
      <sz val="11.0"/>
      <name val="&quot;Droid Sans Mono&quot;"/>
    </font>
    <font>
      <u/>
      <color rgb="FF1155CC"/>
      <name val="Arial"/>
    </font>
    <font>
      <u/>
      <color rgb="FF1155CC"/>
      <name val="Arial"/>
    </font>
    <font>
      <name val="Arial"/>
    </font>
    <font>
      <u/>
      <color rgb="FF1155CC"/>
      <name val="Arial"/>
    </font>
    <font>
      <color rgb="FFFF0000"/>
    </font>
    <font>
      <u/>
      <color rgb="FF1155CC"/>
      <name val="Arial"/>
    </font>
    <font>
      <sz val="11.0"/>
      <color rgb="FF000000"/>
      <name val="&quot;Droid Sans Mono&quot;"/>
    </font>
    <font>
      <color rgb="FFF3F3F3"/>
      <name val="Arial"/>
    </font>
    <font>
      <sz val="11.0"/>
      <color rgb="FF000000"/>
      <name val="Arial"/>
    </font>
    <font>
      <sz val="10.0"/>
      <color theme="1"/>
      <name val="Arial"/>
    </font>
    <font>
      <color rgb="FF000000"/>
      <name val="&quot;Arial&quot;"/>
    </font>
    <font>
      <sz val="11.0"/>
      <color rgb="FF000000"/>
      <name val="Inconsolata"/>
    </font>
    <font>
      <color rgb="FF000000"/>
      <name val="Proxima-nova"/>
    </font>
    <font>
      <u/>
      <color rgb="FF1155CC"/>
      <name val="Arial"/>
    </font>
    <font>
      <u/>
      <color rgb="FF0000FF"/>
    </font>
    <font>
      <u/>
      <color rgb="FF0000FF"/>
    </font>
    <font>
      <u/>
      <color rgb="FF1155CC"/>
    </font>
    <font>
      <u/>
      <color rgb="FF0000FF"/>
    </font>
    <font>
      <u/>
      <color rgb="FF1155CC"/>
    </font>
    <font>
      <u/>
      <color rgb="FF1155CC"/>
    </font>
    <font>
      <u/>
      <color rgb="FF1155CC"/>
    </font>
    <font>
      <u/>
      <color rgb="FF1155CC"/>
    </font>
    <font>
      <u/>
      <color rgb="FF1155CC"/>
      <name val="Arial"/>
    </font>
    <font>
      <color rgb="FFCC4125"/>
      <name val="Arial"/>
    </font>
    <font>
      <u/>
      <color rgb="FF0000FF"/>
    </font>
    <font>
      <u/>
      <color rgb="FF1155CC"/>
      <name val="Arial"/>
    </font>
    <font>
      <u/>
      <color rgb="FF1155CC"/>
    </font>
    <font>
      <color rgb="FF000000"/>
      <name val="&quot;ＭＳ ゴシック&quot;"/>
    </font>
    <font>
      <sz val="11.0"/>
      <color rgb="FF1D1C1D"/>
      <name val="Arial"/>
    </font>
    <font>
      <u/>
      <color rgb="FF1155CC"/>
      <name val="Arial"/>
    </font>
    <font>
      <u/>
      <color rgb="FF1155CC"/>
      <name val="Arial"/>
    </font>
    <font>
      <u/>
      <color rgb="FF1155CC"/>
    </font>
    <font>
      <u/>
      <color rgb="FF0000FF"/>
    </font>
    <font>
      <u/>
      <color rgb="FF1155CC"/>
      <name val="Arial"/>
    </font>
    <font>
      <u/>
      <color rgb="FF1155CC"/>
    </font>
    <font>
      <sz val="11.0"/>
      <color rgb="FF1D1C1D"/>
      <name val="Slack-Lato"/>
    </font>
    <font>
      <u/>
      <color rgb="FF1155CC"/>
    </font>
    <font>
      <color rgb="FF1D1C1D"/>
      <name val="Arial"/>
    </font>
    <font>
      <u/>
      <color rgb="FF1155CC"/>
    </font>
    <font>
      <u/>
      <color rgb="FF1155CC"/>
    </font>
    <font>
      <u/>
      <color rgb="FF0000FF"/>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font>
    <font>
      <u/>
      <color rgb="FF1155CC"/>
      <name val="Arial"/>
    </font>
  </fonts>
  <fills count="26">
    <fill>
      <patternFill patternType="none"/>
    </fill>
    <fill>
      <patternFill patternType="lightGray"/>
    </fill>
    <fill>
      <patternFill patternType="solid">
        <fgColor rgb="FFFF0000"/>
        <bgColor rgb="FFFF0000"/>
      </patternFill>
    </fill>
    <fill>
      <patternFill patternType="solid">
        <fgColor rgb="FF6AA84F"/>
        <bgColor rgb="FF6AA84F"/>
      </patternFill>
    </fill>
    <fill>
      <patternFill patternType="solid">
        <fgColor rgb="FFFCE5CD"/>
        <bgColor rgb="FFFCE5CD"/>
      </patternFill>
    </fill>
    <fill>
      <patternFill patternType="solid">
        <fgColor rgb="FF1155CC"/>
        <bgColor rgb="FF1155CC"/>
      </patternFill>
    </fill>
    <fill>
      <patternFill patternType="solid">
        <fgColor rgb="FFFFFFFF"/>
        <bgColor rgb="FFFFFFFF"/>
      </patternFill>
    </fill>
    <fill>
      <patternFill patternType="solid">
        <fgColor rgb="FFFFD966"/>
        <bgColor rgb="FFFFD966"/>
      </patternFill>
    </fill>
    <fill>
      <patternFill patternType="solid">
        <fgColor rgb="FF4A86E8"/>
        <bgColor rgb="FF4A86E8"/>
      </patternFill>
    </fill>
    <fill>
      <patternFill patternType="solid">
        <fgColor rgb="FFFFF2CC"/>
        <bgColor rgb="FFFFF2CC"/>
      </patternFill>
    </fill>
    <fill>
      <patternFill patternType="solid">
        <fgColor rgb="FF00FFFF"/>
        <bgColor rgb="FF00FFFF"/>
      </patternFill>
    </fill>
    <fill>
      <patternFill patternType="solid">
        <fgColor rgb="FFFFE599"/>
        <bgColor rgb="FFFFE599"/>
      </patternFill>
    </fill>
    <fill>
      <patternFill patternType="solid">
        <fgColor rgb="FFDD7E6B"/>
        <bgColor rgb="FFDD7E6B"/>
      </patternFill>
    </fill>
    <fill>
      <patternFill patternType="solid">
        <fgColor rgb="FF00FF00"/>
        <bgColor rgb="FF00FF00"/>
      </patternFill>
    </fill>
    <fill>
      <patternFill patternType="solid">
        <fgColor rgb="FFFFFF00"/>
        <bgColor rgb="FFFFFF00"/>
      </patternFill>
    </fill>
    <fill>
      <patternFill patternType="solid">
        <fgColor theme="6"/>
        <bgColor theme="6"/>
      </patternFill>
    </fill>
    <fill>
      <patternFill patternType="solid">
        <fgColor rgb="FF5BE795"/>
        <bgColor rgb="FF5BE795"/>
      </patternFill>
    </fill>
    <fill>
      <patternFill patternType="solid">
        <fgColor theme="9"/>
        <bgColor theme="9"/>
      </patternFill>
    </fill>
    <fill>
      <patternFill patternType="solid">
        <fgColor rgb="FFF4CCCC"/>
        <bgColor rgb="FFF4CCCC"/>
      </patternFill>
    </fill>
    <fill>
      <patternFill patternType="solid">
        <fgColor rgb="FFFF9900"/>
        <bgColor rgb="FFFF9900"/>
      </patternFill>
    </fill>
    <fill>
      <patternFill patternType="solid">
        <fgColor rgb="FFCFE2F3"/>
        <bgColor rgb="FFCFE2F3"/>
      </patternFill>
    </fill>
    <fill>
      <patternFill patternType="solid">
        <fgColor rgb="FFF8F8F8"/>
        <bgColor rgb="FFF8F8F8"/>
      </patternFill>
    </fill>
    <fill>
      <patternFill patternType="solid">
        <fgColor rgb="FFE06666"/>
        <bgColor rgb="FFE06666"/>
      </patternFill>
    </fill>
    <fill>
      <patternFill patternType="solid">
        <fgColor rgb="FFEA9999"/>
        <bgColor rgb="FFEA9999"/>
      </patternFill>
    </fill>
    <fill>
      <patternFill patternType="solid">
        <fgColor rgb="FFCC4125"/>
        <bgColor rgb="FFCC4125"/>
      </patternFill>
    </fill>
    <fill>
      <patternFill patternType="solid">
        <fgColor rgb="FFCC0000"/>
        <bgColor rgb="FFCC0000"/>
      </patternFill>
    </fill>
  </fills>
  <borders count="1">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0" fillId="2" fontId="1" numFmtId="0" xfId="0" applyFill="1" applyFont="1"/>
    <xf borderId="0" fillId="0" fontId="1" numFmtId="0" xfId="0" applyAlignment="1" applyFont="1">
      <alignment readingOrder="0"/>
    </xf>
    <xf borderId="0" fillId="3" fontId="1" numFmtId="0" xfId="0" applyFill="1" applyFont="1"/>
    <xf borderId="0" fillId="4" fontId="2" numFmtId="0" xfId="0" applyAlignment="1" applyFill="1" applyFont="1">
      <alignment horizontal="left" readingOrder="0" shrinkToFit="0" vertical="center" wrapText="1"/>
    </xf>
    <xf borderId="0" fillId="4" fontId="3"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1" numFmtId="0" xfId="0" applyAlignment="1" applyFont="1">
      <alignment shrinkToFit="0" vertical="center" wrapText="1"/>
    </xf>
    <xf borderId="0" fillId="0" fontId="4" numFmtId="0" xfId="0" applyAlignment="1" applyFont="1">
      <alignment readingOrder="0" shrinkToFit="0" vertical="center" wrapText="1"/>
    </xf>
    <xf borderId="0" fillId="0" fontId="1" numFmtId="0" xfId="0" applyAlignment="1" applyFont="1">
      <alignment readingOrder="0" shrinkToFit="0" vertical="center" wrapText="1"/>
    </xf>
    <xf borderId="0" fillId="5" fontId="5" numFmtId="0" xfId="0" applyAlignment="1" applyFill="1" applyFont="1">
      <alignment readingOrder="0" shrinkToFit="0" vertical="center" wrapText="1"/>
    </xf>
    <xf borderId="0" fillId="0" fontId="5" numFmtId="0" xfId="0" applyAlignment="1" applyFont="1">
      <alignment readingOrder="0"/>
    </xf>
    <xf borderId="0" fillId="0" fontId="5" numFmtId="0" xfId="0" applyAlignment="1" applyFont="1">
      <alignment readingOrder="0" shrinkToFit="0" vertical="center" wrapText="1"/>
    </xf>
    <xf borderId="0" fillId="6" fontId="6" numFmtId="0" xfId="0" applyAlignment="1" applyFill="1" applyFont="1">
      <alignment horizontal="left" readingOrder="0"/>
    </xf>
    <xf borderId="0" fillId="2" fontId="1" numFmtId="0" xfId="0" applyAlignment="1" applyFont="1">
      <alignment readingOrder="0" shrinkToFit="0" vertical="center" wrapText="1"/>
    </xf>
    <xf borderId="0" fillId="6" fontId="1" numFmtId="0" xfId="0" applyAlignment="1" applyFont="1">
      <alignment shrinkToFit="0" vertical="center" wrapText="1"/>
    </xf>
    <xf borderId="0" fillId="7" fontId="5" numFmtId="0" xfId="0" applyAlignment="1" applyFill="1" applyFont="1">
      <alignment readingOrder="0" shrinkToFit="0" vertical="center" wrapText="1"/>
    </xf>
    <xf borderId="0" fillId="8" fontId="5" numFmtId="0" xfId="0" applyAlignment="1" applyFill="1" applyFont="1">
      <alignment readingOrder="0" shrinkToFit="0" vertical="center" wrapText="1"/>
    </xf>
    <xf borderId="0" fillId="0" fontId="7" numFmtId="0" xfId="0" applyAlignment="1" applyFont="1">
      <alignment readingOrder="0" shrinkToFit="0" vertical="center" wrapText="1"/>
    </xf>
    <xf borderId="0" fillId="0" fontId="2" numFmtId="0" xfId="0" applyAlignment="1" applyFont="1">
      <alignment readingOrder="0" shrinkToFit="0" vertical="center" wrapText="1"/>
    </xf>
    <xf borderId="0" fillId="0" fontId="8" numFmtId="0" xfId="0" applyAlignment="1" applyFont="1">
      <alignment readingOrder="0" shrinkToFit="0" vertical="center" wrapText="1"/>
    </xf>
    <xf borderId="0" fillId="0" fontId="9" numFmtId="0" xfId="0" applyAlignment="1" applyFont="1">
      <alignment shrinkToFit="0" vertical="center" wrapText="1"/>
    </xf>
    <xf borderId="0" fillId="2" fontId="5" numFmtId="0" xfId="0" applyAlignment="1" applyFont="1">
      <alignment readingOrder="0" shrinkToFit="0" vertical="center" wrapText="1"/>
    </xf>
    <xf borderId="0" fillId="9" fontId="5" numFmtId="0" xfId="0" applyAlignment="1" applyFill="1" applyFont="1">
      <alignment readingOrder="0" shrinkToFit="0" vertical="center" wrapText="1"/>
    </xf>
    <xf borderId="0" fillId="0" fontId="5" numFmtId="0" xfId="0" applyAlignment="1" applyFont="1">
      <alignment shrinkToFit="0" vertical="center" wrapText="1"/>
    </xf>
    <xf borderId="0" fillId="0" fontId="10" numFmtId="0" xfId="0" applyAlignment="1" applyFont="1">
      <alignment readingOrder="0"/>
    </xf>
    <xf borderId="0" fillId="0" fontId="1" numFmtId="0" xfId="0" applyAlignment="1" applyFont="1">
      <alignment horizontal="left" readingOrder="0" shrinkToFit="0" vertical="center" wrapText="1"/>
    </xf>
    <xf borderId="0" fillId="0" fontId="11" numFmtId="0" xfId="0" applyAlignment="1" applyFont="1">
      <alignment shrinkToFit="0" wrapText="1"/>
    </xf>
    <xf borderId="0" fillId="0" fontId="1" numFmtId="0" xfId="0" applyAlignment="1" applyFont="1">
      <alignment shrinkToFit="0" wrapText="1"/>
    </xf>
    <xf borderId="0" fillId="10" fontId="5" numFmtId="0" xfId="0" applyAlignment="1" applyFill="1" applyFont="1">
      <alignment horizontal="left" readingOrder="0" shrinkToFit="0" vertical="center" wrapText="1"/>
    </xf>
    <xf borderId="0" fillId="10" fontId="5" numFmtId="0" xfId="0" applyAlignment="1" applyFont="1">
      <alignment readingOrder="0" shrinkToFit="0" vertical="center" wrapText="1"/>
    </xf>
    <xf borderId="0" fillId="0" fontId="12" numFmtId="0" xfId="0" applyAlignment="1" applyFont="1">
      <alignment shrinkToFit="0" vertical="center" wrapText="1"/>
    </xf>
    <xf borderId="0" fillId="8" fontId="2" numFmtId="0" xfId="0" applyAlignment="1" applyFont="1">
      <alignment readingOrder="0" shrinkToFit="0" vertical="center" wrapText="1"/>
    </xf>
    <xf borderId="0" fillId="8" fontId="5" numFmtId="0" xfId="0" applyAlignment="1" applyFont="1">
      <alignment horizontal="left" readingOrder="0" shrinkToFit="0" vertical="center" wrapText="1"/>
    </xf>
    <xf borderId="0" fillId="0" fontId="5" numFmtId="0" xfId="0" applyAlignment="1" applyFont="1">
      <alignment readingOrder="0" shrinkToFit="0" vertical="center" wrapText="1"/>
    </xf>
    <xf borderId="0" fillId="8" fontId="13" numFmtId="0" xfId="0" applyAlignment="1" applyFont="1">
      <alignment shrinkToFit="0" wrapText="1"/>
    </xf>
    <xf borderId="0" fillId="2" fontId="5" numFmtId="0" xfId="0" applyAlignment="1" applyFont="1">
      <alignment shrinkToFit="0" vertical="center" wrapText="1"/>
    </xf>
    <xf borderId="0" fillId="0" fontId="14" numFmtId="0" xfId="0" applyAlignment="1" applyFont="1">
      <alignment readingOrder="0" shrinkToFit="0" vertical="center" wrapText="1"/>
    </xf>
    <xf borderId="0" fillId="0" fontId="1" numFmtId="0" xfId="0" applyAlignment="1" applyFont="1">
      <alignment shrinkToFit="0" vertical="center" wrapText="1"/>
    </xf>
    <xf borderId="0" fillId="11" fontId="5" numFmtId="0" xfId="0" applyAlignment="1" applyFill="1" applyFont="1">
      <alignment readingOrder="0" shrinkToFit="0" vertical="center" wrapText="1"/>
    </xf>
    <xf borderId="0" fillId="2" fontId="15" numFmtId="0" xfId="0" applyAlignment="1" applyFont="1">
      <alignment shrinkToFit="0" vertical="center" wrapText="1"/>
    </xf>
    <xf borderId="0" fillId="11" fontId="13" numFmtId="0" xfId="0" applyAlignment="1" applyFont="1">
      <alignment readingOrder="0" shrinkToFit="0" vertical="center" wrapText="1"/>
    </xf>
    <xf borderId="0" fillId="11" fontId="13" numFmtId="0" xfId="0" applyAlignment="1" applyFont="1">
      <alignment shrinkToFit="0" vertical="center" wrapText="1"/>
    </xf>
    <xf borderId="0" fillId="0" fontId="1" numFmtId="164" xfId="0" applyAlignment="1" applyFont="1" applyNumberFormat="1">
      <alignment horizontal="left" readingOrder="0" shrinkToFit="0" vertical="center" wrapText="1"/>
    </xf>
    <xf borderId="0" fillId="0" fontId="7" numFmtId="0" xfId="0" applyAlignment="1" applyFont="1">
      <alignment readingOrder="0"/>
    </xf>
    <xf borderId="0" fillId="12" fontId="5" numFmtId="0" xfId="0" applyAlignment="1" applyFill="1" applyFont="1">
      <alignment readingOrder="0" shrinkToFit="0" vertical="center" wrapText="1"/>
    </xf>
    <xf borderId="0" fillId="0" fontId="1" numFmtId="0" xfId="0" applyAlignment="1" applyFont="1">
      <alignment shrinkToFit="0" wrapText="1"/>
    </xf>
    <xf borderId="0" fillId="0" fontId="16" numFmtId="0" xfId="0" applyAlignment="1" applyFont="1">
      <alignment shrinkToFit="0" wrapText="1"/>
    </xf>
    <xf borderId="0" fillId="6" fontId="17" numFmtId="0" xfId="0" applyAlignment="1" applyFont="1">
      <alignment readingOrder="0"/>
    </xf>
    <xf borderId="0" fillId="0" fontId="5" numFmtId="0" xfId="0" applyAlignment="1" applyFont="1">
      <alignment readingOrder="0" shrinkToFit="0" wrapText="1"/>
    </xf>
    <xf borderId="0" fillId="2" fontId="18" numFmtId="0" xfId="0" applyAlignment="1" applyFont="1">
      <alignment readingOrder="0" shrinkToFit="0" vertical="center" wrapText="1"/>
    </xf>
    <xf borderId="0" fillId="2" fontId="3" numFmtId="0" xfId="0" applyAlignment="1" applyFont="1">
      <alignment horizontal="left" readingOrder="0" vertical="center"/>
    </xf>
    <xf borderId="0" fillId="6" fontId="19" numFmtId="0" xfId="0" applyAlignment="1" applyFont="1">
      <alignment readingOrder="0"/>
    </xf>
    <xf borderId="0" fillId="6" fontId="19" numFmtId="0" xfId="0" applyAlignment="1" applyFont="1">
      <alignment readingOrder="0" shrinkToFit="0" wrapText="1"/>
    </xf>
    <xf borderId="0" fillId="0" fontId="1" numFmtId="0" xfId="0" applyAlignment="1" applyFont="1">
      <alignment readingOrder="0" shrinkToFit="0" wrapText="1"/>
    </xf>
    <xf borderId="0" fillId="6" fontId="19" numFmtId="0" xfId="0" applyAlignment="1" applyFont="1">
      <alignment readingOrder="0" shrinkToFit="0" wrapText="0"/>
    </xf>
    <xf borderId="0" fillId="13" fontId="3" numFmtId="0" xfId="0" applyAlignment="1" applyFill="1" applyFont="1">
      <alignment horizontal="left" readingOrder="0" shrinkToFit="0" vertical="center" wrapText="1"/>
    </xf>
    <xf borderId="0" fillId="4" fontId="3" numFmtId="0" xfId="0" applyAlignment="1" applyFont="1">
      <alignment shrinkToFit="0" vertical="center" wrapText="1"/>
    </xf>
    <xf borderId="0" fillId="0" fontId="20" numFmtId="0" xfId="0" applyAlignment="1" applyFont="1">
      <alignment horizontal="left" readingOrder="0" shrinkToFit="0" vertical="center" wrapText="1"/>
    </xf>
    <xf borderId="0" fillId="6" fontId="1" numFmtId="0" xfId="0" applyAlignment="1" applyFont="1">
      <alignment readingOrder="0" shrinkToFit="0" vertical="center" wrapText="1"/>
    </xf>
    <xf borderId="0" fillId="6" fontId="1" numFmtId="0" xfId="0" applyAlignment="1" applyFont="1">
      <alignment horizontal="left" readingOrder="0" shrinkToFit="0" vertical="center" wrapText="1"/>
    </xf>
    <xf borderId="0" fillId="0" fontId="21" numFmtId="0" xfId="0" applyAlignment="1" applyFont="1">
      <alignment readingOrder="0"/>
    </xf>
    <xf borderId="0" fillId="0" fontId="1" numFmtId="0" xfId="0" applyAlignment="1" applyFont="1">
      <alignment vertical="center"/>
    </xf>
    <xf borderId="0" fillId="0" fontId="1" numFmtId="0" xfId="0" applyAlignment="1" applyFont="1">
      <alignment readingOrder="0" vertical="center"/>
    </xf>
    <xf borderId="0" fillId="2" fontId="3" numFmtId="0" xfId="0" applyAlignment="1" applyFont="1">
      <alignment horizontal="left" readingOrder="0"/>
    </xf>
    <xf borderId="0" fillId="4" fontId="1" numFmtId="0" xfId="0" applyAlignment="1" applyFont="1">
      <alignment readingOrder="0"/>
    </xf>
    <xf borderId="0" fillId="0" fontId="1" numFmtId="0" xfId="0" applyAlignment="1" applyFont="1">
      <alignment horizontal="left" shrinkToFit="0" vertical="center" wrapText="1"/>
    </xf>
    <xf borderId="0" fillId="0" fontId="1" numFmtId="0" xfId="0" applyAlignment="1" applyFont="1">
      <alignment horizontal="left" shrinkToFit="0" vertical="center" wrapText="1"/>
    </xf>
    <xf borderId="0" fillId="6" fontId="22" numFmtId="0" xfId="0" applyFont="1"/>
    <xf borderId="0" fillId="0" fontId="23" numFmtId="0" xfId="0" applyAlignment="1" applyFont="1">
      <alignment horizontal="left" shrinkToFit="0" vertical="center" wrapText="1"/>
    </xf>
    <xf borderId="0" fillId="0" fontId="6" numFmtId="0" xfId="0" applyAlignment="1" applyFont="1">
      <alignment horizontal="left" shrinkToFit="0" vertical="center" wrapText="1"/>
    </xf>
    <xf borderId="0" fillId="0" fontId="24" numFmtId="0" xfId="0" applyAlignment="1" applyFont="1">
      <alignment horizontal="center" shrinkToFit="0" vertical="center" wrapText="1"/>
    </xf>
    <xf borderId="0" fillId="0" fontId="1" numFmtId="0" xfId="0" applyAlignment="1" applyFont="1">
      <alignment horizontal="left" shrinkToFit="0" vertical="bottom" wrapText="1"/>
    </xf>
    <xf borderId="0" fillId="0" fontId="23" numFmtId="0" xfId="0" applyAlignment="1" applyFont="1">
      <alignment horizontal="left" shrinkToFit="0" vertical="bottom" wrapText="1"/>
    </xf>
    <xf borderId="0" fillId="0" fontId="1" numFmtId="0" xfId="0" applyAlignment="1" applyFont="1">
      <alignment horizontal="left" vertical="center"/>
    </xf>
    <xf borderId="0" fillId="6" fontId="22" numFmtId="0" xfId="0" applyAlignment="1" applyFont="1">
      <alignment horizontal="left"/>
    </xf>
    <xf borderId="0" fillId="0" fontId="3" numFmtId="0" xfId="0" applyFont="1"/>
    <xf borderId="0" fillId="13" fontId="3" numFmtId="0" xfId="0" applyAlignment="1" applyFont="1">
      <alignment horizontal="left" readingOrder="0"/>
    </xf>
    <xf borderId="0" fillId="4" fontId="3" numFmtId="0" xfId="0" applyAlignment="1" applyFont="1">
      <alignment readingOrder="0"/>
    </xf>
    <xf borderId="0" fillId="6" fontId="3" numFmtId="0" xfId="0" applyAlignment="1" applyFont="1">
      <alignment readingOrder="0"/>
    </xf>
    <xf borderId="0" fillId="6" fontId="1" numFmtId="0" xfId="0" applyAlignment="1" applyFont="1">
      <alignment readingOrder="0"/>
    </xf>
    <xf borderId="0" fillId="6" fontId="25" numFmtId="0" xfId="0" applyAlignment="1" applyFont="1">
      <alignment horizontal="left" readingOrder="0" shrinkToFit="0" vertical="center" wrapText="1"/>
    </xf>
    <xf borderId="0" fillId="6" fontId="1" numFmtId="0" xfId="0" applyFont="1"/>
    <xf borderId="0" fillId="6" fontId="26" numFmtId="0" xfId="0" applyAlignment="1" applyFont="1">
      <alignment horizontal="left" readingOrder="0" shrinkToFit="0" vertical="center" wrapText="1"/>
    </xf>
    <xf borderId="0" fillId="6" fontId="6" numFmtId="0" xfId="0" applyAlignment="1" applyFont="1">
      <alignment readingOrder="0" shrinkToFit="0" vertical="center" wrapText="1"/>
    </xf>
    <xf borderId="0" fillId="6" fontId="27" numFmtId="0" xfId="0" applyAlignment="1" applyFont="1">
      <alignment shrinkToFit="0" vertical="center" wrapText="1"/>
    </xf>
    <xf borderId="0" fillId="6" fontId="1" numFmtId="0" xfId="0" applyAlignment="1" applyFont="1">
      <alignment horizontal="left" shrinkToFit="0" vertical="center" wrapText="1"/>
    </xf>
    <xf borderId="0" fillId="6" fontId="28" numFmtId="0" xfId="0" applyAlignment="1" applyFont="1">
      <alignment readingOrder="0" shrinkToFit="0" vertical="center" wrapText="1"/>
    </xf>
    <xf borderId="0" fillId="6" fontId="29" numFmtId="0" xfId="0" applyAlignment="1" applyFont="1">
      <alignment shrinkToFit="0" vertical="center" wrapText="1"/>
    </xf>
    <xf borderId="0" fillId="6" fontId="30" numFmtId="0" xfId="0" applyAlignment="1" applyFont="1">
      <alignment readingOrder="0" shrinkToFit="0" vertical="center" wrapText="1"/>
    </xf>
    <xf borderId="0" fillId="6" fontId="31" numFmtId="0" xfId="0" applyAlignment="1" applyFont="1">
      <alignment horizontal="left" readingOrder="0" shrinkToFit="0" vertical="center" wrapText="1"/>
    </xf>
    <xf borderId="0" fillId="6" fontId="32" numFmtId="0" xfId="0" applyAlignment="1" applyFont="1">
      <alignment readingOrder="0" shrinkToFit="0" vertical="center" wrapText="1"/>
    </xf>
    <xf borderId="0" fillId="6" fontId="1" numFmtId="0" xfId="0" applyAlignment="1" applyFont="1">
      <alignment vertical="center"/>
    </xf>
    <xf borderId="0" fillId="14" fontId="1" numFmtId="0" xfId="0" applyAlignment="1" applyFill="1" applyFont="1">
      <alignment readingOrder="0" shrinkToFit="0" wrapText="1"/>
    </xf>
    <xf borderId="0" fillId="6" fontId="1" numFmtId="0" xfId="0" applyAlignment="1" applyFont="1">
      <alignment vertical="center"/>
    </xf>
    <xf borderId="0" fillId="6" fontId="33" numFmtId="0" xfId="0" applyAlignment="1" applyFont="1">
      <alignment shrinkToFit="0" vertical="center" wrapText="1"/>
    </xf>
    <xf borderId="0" fillId="6" fontId="34" numFmtId="0" xfId="0" applyAlignment="1" applyFont="1">
      <alignment shrinkToFit="0" vertical="center" wrapText="1"/>
    </xf>
    <xf borderId="0" fillId="6" fontId="34" numFmtId="0" xfId="0" applyAlignment="1" applyFont="1">
      <alignment readingOrder="0" shrinkToFit="0" vertical="center" wrapText="1"/>
    </xf>
    <xf borderId="0" fillId="0" fontId="34" numFmtId="0" xfId="0" applyAlignment="1" applyFont="1">
      <alignment shrinkToFit="0" wrapText="1"/>
    </xf>
    <xf borderId="0" fillId="13" fontId="3" numFmtId="0" xfId="0" applyAlignment="1" applyFont="1">
      <alignment horizontal="left" readingOrder="0" shrinkToFit="0" wrapText="1"/>
    </xf>
    <xf borderId="0" fillId="0" fontId="3" numFmtId="0" xfId="0" applyAlignment="1" applyFont="1">
      <alignment readingOrder="0"/>
    </xf>
    <xf borderId="0" fillId="15" fontId="1" numFmtId="0" xfId="0" applyAlignment="1" applyFill="1" applyFont="1">
      <alignment horizontal="left" shrinkToFit="0" vertical="center" wrapText="1"/>
    </xf>
    <xf borderId="0" fillId="6" fontId="22" numFmtId="0" xfId="0" applyFont="1"/>
    <xf borderId="0" fillId="16" fontId="35" numFmtId="0" xfId="0" applyAlignment="1" applyFill="1" applyFont="1">
      <alignment readingOrder="0" shrinkToFit="0" vertical="center" wrapText="1"/>
    </xf>
    <xf borderId="0" fillId="16" fontId="1" numFmtId="0" xfId="0" applyAlignment="1" applyFont="1">
      <alignment vertical="center"/>
    </xf>
    <xf borderId="0" fillId="16" fontId="36" numFmtId="0" xfId="0" applyAlignment="1" applyFont="1">
      <alignment shrinkToFit="0" vertical="center" wrapText="1"/>
    </xf>
    <xf borderId="0" fillId="16" fontId="1" numFmtId="0" xfId="0" applyAlignment="1" applyFont="1">
      <alignment shrinkToFit="0" vertical="center" wrapText="1"/>
    </xf>
    <xf borderId="0" fillId="0" fontId="6" numFmtId="0" xfId="0" applyAlignment="1" applyFont="1">
      <alignment horizontal="left" shrinkToFit="0" vertical="center" wrapText="1"/>
    </xf>
    <xf borderId="0" fillId="16" fontId="1" numFmtId="0" xfId="0" applyAlignment="1" applyFont="1">
      <alignment readingOrder="0" shrinkToFit="0" wrapText="1"/>
    </xf>
    <xf borderId="0" fillId="16" fontId="37" numFmtId="0" xfId="0" applyAlignment="1" applyFont="1">
      <alignment readingOrder="0" shrinkToFit="0" vertical="center" wrapText="1"/>
    </xf>
    <xf borderId="0" fillId="0" fontId="1" numFmtId="0" xfId="0" applyAlignment="1" applyFont="1">
      <alignment shrinkToFit="0" vertical="bottom" wrapText="1"/>
    </xf>
    <xf borderId="0" fillId="17" fontId="1" numFmtId="0" xfId="0" applyAlignment="1" applyFill="1" applyFont="1">
      <alignment readingOrder="0" shrinkToFit="0" wrapText="1"/>
    </xf>
    <xf borderId="0" fillId="0" fontId="38" numFmtId="0" xfId="0" applyAlignment="1" applyFont="1">
      <alignment readingOrder="0" shrinkToFit="0" vertical="bottom" wrapText="1"/>
    </xf>
    <xf borderId="0" fillId="0" fontId="1" numFmtId="0" xfId="0" applyAlignment="1" applyFont="1">
      <alignment horizontal="left" readingOrder="0" vertical="center"/>
    </xf>
    <xf borderId="0" fillId="6" fontId="39" numFmtId="0" xfId="0" applyAlignment="1" applyFont="1">
      <alignment horizontal="left" readingOrder="0" shrinkToFit="0" wrapText="1"/>
    </xf>
    <xf borderId="0" fillId="14" fontId="1" numFmtId="0" xfId="0" applyAlignment="1" applyFont="1">
      <alignment readingOrder="0"/>
    </xf>
    <xf borderId="0" fillId="14" fontId="1" numFmtId="0" xfId="0" applyAlignment="1" applyFont="1">
      <alignment shrinkToFit="0" wrapText="1"/>
    </xf>
    <xf borderId="0" fillId="2" fontId="1" numFmtId="0" xfId="0" applyAlignment="1" applyFont="1">
      <alignment readingOrder="0" shrinkToFit="0" wrapText="1"/>
    </xf>
    <xf borderId="0" fillId="0" fontId="1" numFmtId="0" xfId="0" applyAlignment="1" applyFont="1">
      <alignment horizontal="left" readingOrder="0" shrinkToFit="0" vertical="center" wrapText="1"/>
    </xf>
    <xf borderId="0" fillId="18" fontId="1" numFmtId="0" xfId="0" applyAlignment="1" applyFill="1" applyFont="1">
      <alignment readingOrder="0" shrinkToFit="0" wrapText="1"/>
    </xf>
    <xf borderId="0" fillId="16" fontId="1" numFmtId="0" xfId="0" applyAlignment="1" applyFont="1">
      <alignment horizontal="left" readingOrder="0" shrinkToFit="0" vertical="center" wrapText="1"/>
    </xf>
    <xf borderId="0" fillId="16" fontId="1" numFmtId="0" xfId="0" applyAlignment="1" applyFont="1">
      <alignment horizontal="left" readingOrder="0" shrinkToFit="0" vertical="center" wrapText="1"/>
    </xf>
    <xf borderId="0" fillId="16" fontId="1" numFmtId="0" xfId="0" applyAlignment="1" applyFont="1">
      <alignment shrinkToFit="0" vertical="center" wrapText="1"/>
    </xf>
    <xf borderId="0" fillId="10" fontId="1" numFmtId="0" xfId="0" applyAlignment="1" applyFont="1">
      <alignment horizontal="left" readingOrder="0" shrinkToFit="0" vertical="center" wrapText="1"/>
    </xf>
    <xf borderId="0" fillId="0" fontId="40" numFmtId="0" xfId="0" applyAlignment="1" applyFont="1">
      <alignment horizontal="center" readingOrder="0" shrinkToFit="0" vertical="center" wrapText="1"/>
    </xf>
    <xf borderId="0" fillId="10" fontId="1" numFmtId="0" xfId="0" applyAlignment="1" applyFont="1">
      <alignment shrinkToFit="0" vertical="center" wrapText="1"/>
    </xf>
    <xf borderId="0" fillId="10" fontId="6" numFmtId="0" xfId="0" applyAlignment="1" applyFont="1">
      <alignment shrinkToFit="0" vertical="center" wrapText="1"/>
    </xf>
    <xf borderId="0" fillId="16" fontId="6" numFmtId="0" xfId="0" applyAlignment="1" applyFont="1">
      <alignment shrinkToFit="0" vertical="center" wrapText="1"/>
    </xf>
    <xf borderId="0" fillId="16" fontId="41" numFmtId="0" xfId="0" applyAlignment="1" applyFont="1">
      <alignment shrinkToFit="0" vertical="center" wrapText="1"/>
    </xf>
    <xf borderId="0" fillId="16" fontId="1" numFmtId="0" xfId="0" applyAlignment="1" applyFont="1">
      <alignment readingOrder="0"/>
    </xf>
    <xf borderId="0" fillId="19" fontId="42" numFmtId="0" xfId="0" applyAlignment="1" applyFill="1" applyFont="1">
      <alignment readingOrder="0" shrinkToFit="0" vertical="center" wrapText="1"/>
    </xf>
    <xf borderId="0" fillId="19" fontId="1" numFmtId="0" xfId="0" applyAlignment="1" applyFont="1">
      <alignment readingOrder="0" shrinkToFit="0" vertical="center" wrapText="1"/>
    </xf>
    <xf borderId="0" fillId="10" fontId="43" numFmtId="0" xfId="0" applyAlignment="1" applyFont="1">
      <alignment readingOrder="0" shrinkToFit="0" vertical="center" wrapText="1"/>
    </xf>
    <xf borderId="0" fillId="10" fontId="1" numFmtId="0" xfId="0" applyAlignment="1" applyFont="1">
      <alignment readingOrder="0" shrinkToFit="0" vertical="center" wrapText="1"/>
    </xf>
    <xf borderId="0" fillId="10" fontId="44" numFmtId="0" xfId="0" applyAlignment="1" applyFont="1">
      <alignment readingOrder="0" shrinkToFit="0" vertical="center" wrapText="1"/>
    </xf>
    <xf borderId="0" fillId="10" fontId="1" numFmtId="0" xfId="0" applyAlignment="1" applyFont="1">
      <alignment horizontal="left" readingOrder="0" shrinkToFit="0" vertical="center" wrapText="1"/>
    </xf>
    <xf borderId="0" fillId="10" fontId="45" numFmtId="0" xfId="0" applyAlignment="1" applyFont="1">
      <alignment readingOrder="0" shrinkToFit="0" vertical="center" wrapText="1"/>
    </xf>
    <xf borderId="0" fillId="16" fontId="46" numFmtId="0" xfId="0" applyAlignment="1" applyFont="1">
      <alignment horizontal="left" shrinkToFit="0" wrapText="1"/>
    </xf>
    <xf borderId="0" fillId="10" fontId="1" numFmtId="0" xfId="0" applyFont="1"/>
    <xf borderId="0" fillId="9" fontId="3" numFmtId="0" xfId="0" applyAlignment="1" applyFont="1">
      <alignment readingOrder="0"/>
    </xf>
    <xf borderId="0" fillId="18" fontId="1" numFmtId="0" xfId="0" applyAlignment="1" applyFont="1">
      <alignment readingOrder="0"/>
    </xf>
    <xf borderId="0" fillId="18" fontId="1" numFmtId="0" xfId="0" applyAlignment="1" applyFont="1">
      <alignment horizontal="left" readingOrder="0" shrinkToFit="0" vertical="center" wrapText="1"/>
    </xf>
    <xf borderId="0" fillId="20" fontId="1" numFmtId="0" xfId="0" applyAlignment="1" applyFill="1" applyFont="1">
      <alignment horizontal="left" readingOrder="0" shrinkToFit="0" vertical="center" wrapText="1"/>
    </xf>
    <xf borderId="0" fillId="0" fontId="47" numFmtId="0" xfId="0" applyAlignment="1" applyFont="1">
      <alignment horizontal="left" readingOrder="0" shrinkToFit="0" vertical="center" wrapText="1"/>
    </xf>
    <xf borderId="0" fillId="0" fontId="1" numFmtId="0" xfId="0" applyAlignment="1" applyFont="1">
      <alignment horizontal="left"/>
    </xf>
    <xf borderId="0" fillId="2" fontId="1" numFmtId="0" xfId="0" applyAlignment="1" applyFont="1">
      <alignment horizontal="left" readingOrder="0" shrinkToFit="0" vertical="center" wrapText="1"/>
    </xf>
    <xf borderId="0" fillId="19" fontId="1" numFmtId="0" xfId="0" applyAlignment="1" applyFont="1">
      <alignment shrinkToFit="0" vertical="center" wrapText="1"/>
    </xf>
    <xf borderId="0" fillId="16" fontId="46" numFmtId="0" xfId="0" applyAlignment="1" applyFont="1">
      <alignment horizontal="left"/>
    </xf>
    <xf borderId="0" fillId="16" fontId="1" numFmtId="0" xfId="0" applyAlignment="1" applyFont="1">
      <alignment horizontal="left" readingOrder="0" vertical="center"/>
    </xf>
    <xf borderId="0" fillId="16" fontId="39" numFmtId="0" xfId="0" applyAlignment="1" applyFont="1">
      <alignment horizontal="left" readingOrder="0" vertical="center"/>
    </xf>
    <xf borderId="0" fillId="16" fontId="48" numFmtId="0" xfId="0" applyAlignment="1" applyFont="1">
      <alignment horizontal="left" readingOrder="0" shrinkToFit="0" vertical="center" wrapText="0"/>
    </xf>
    <xf borderId="0" fillId="0" fontId="1" numFmtId="0" xfId="0" applyAlignment="1" applyFont="1">
      <alignment horizontal="left" readingOrder="0" shrinkToFit="0" wrapText="1"/>
    </xf>
    <xf borderId="0" fillId="0" fontId="49" numFmtId="0" xfId="0" applyAlignment="1" applyFont="1">
      <alignment horizontal="center" readingOrder="0" shrinkToFit="0" vertical="center" wrapText="1"/>
    </xf>
    <xf borderId="0" fillId="16" fontId="50" numFmtId="0" xfId="0" applyAlignment="1" applyFont="1">
      <alignment horizontal="left" readingOrder="0" shrinkToFit="0" vertical="center" wrapText="1"/>
    </xf>
    <xf borderId="0" fillId="19" fontId="1" numFmtId="0" xfId="0" applyAlignment="1" applyFont="1">
      <alignment shrinkToFit="0" vertical="center" wrapText="1"/>
    </xf>
    <xf borderId="0" fillId="2" fontId="1" numFmtId="0" xfId="0" applyAlignment="1" applyFont="1">
      <alignment horizontal="left" readingOrder="0" shrinkToFit="0" wrapText="1"/>
    </xf>
    <xf borderId="0" fillId="0" fontId="51"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0" fontId="1" numFmtId="0" xfId="0" applyAlignment="1" applyFont="1">
      <alignment horizontal="left" readingOrder="0" vertical="center"/>
    </xf>
    <xf borderId="0" fillId="16" fontId="6" numFmtId="0" xfId="0" applyAlignment="1" applyFont="1">
      <alignment shrinkToFit="0" vertical="center" wrapText="1"/>
    </xf>
    <xf borderId="0" fillId="19" fontId="52" numFmtId="0" xfId="0" applyAlignment="1" applyFont="1">
      <alignment shrinkToFit="0" vertical="center" wrapText="1"/>
    </xf>
    <xf borderId="0" fillId="16" fontId="1" numFmtId="0" xfId="0" applyAlignment="1" applyFont="1">
      <alignment readingOrder="0" shrinkToFit="0" vertical="center" wrapText="1"/>
    </xf>
    <xf borderId="0" fillId="2" fontId="2" numFmtId="0" xfId="0" applyAlignment="1" applyFont="1">
      <alignment horizontal="left" readingOrder="0"/>
    </xf>
    <xf borderId="0" fillId="0" fontId="1" numFmtId="0" xfId="0" applyFont="1"/>
    <xf borderId="0" fillId="19" fontId="53" numFmtId="0" xfId="0" applyAlignment="1" applyFont="1">
      <alignment readingOrder="0" shrinkToFit="0" vertical="center" wrapText="1"/>
    </xf>
    <xf borderId="0" fillId="21" fontId="46" numFmtId="0" xfId="0" applyAlignment="1" applyFill="1" applyFont="1">
      <alignment horizontal="left"/>
    </xf>
    <xf borderId="0" fillId="0" fontId="54" numFmtId="0" xfId="0" applyAlignment="1" applyFont="1">
      <alignment horizontal="left" shrinkToFit="0" vertical="center" wrapText="1"/>
    </xf>
    <xf borderId="0" fillId="16" fontId="55" numFmtId="0" xfId="0" applyAlignment="1" applyFont="1">
      <alignment horizontal="left" shrinkToFit="0" vertical="center" wrapText="1"/>
    </xf>
    <xf borderId="0" fillId="16" fontId="56" numFmtId="0" xfId="0" applyAlignment="1" applyFont="1">
      <alignment readingOrder="0" shrinkToFit="0" vertical="center" wrapText="1"/>
    </xf>
    <xf borderId="0" fillId="16" fontId="57" numFmtId="0" xfId="0" applyAlignment="1" applyFont="1">
      <alignment horizontal="left" readingOrder="0" shrinkToFit="0" vertical="center" wrapText="1"/>
    </xf>
    <xf borderId="0" fillId="0" fontId="58" numFmtId="0" xfId="0" applyAlignment="1" applyFont="1">
      <alignment horizontal="left" readingOrder="0" shrinkToFit="0" vertical="center" wrapText="1"/>
    </xf>
    <xf borderId="0" fillId="2" fontId="1" numFmtId="0" xfId="0" applyAlignment="1" applyFont="1">
      <alignment readingOrder="0" vertical="center"/>
    </xf>
    <xf borderId="0" fillId="16" fontId="59" numFmtId="0" xfId="0" applyAlignment="1" applyFont="1">
      <alignment horizontal="left" shrinkToFit="0" vertical="center" wrapText="1"/>
    </xf>
    <xf borderId="0" fillId="17" fontId="1" numFmtId="0" xfId="0" applyAlignment="1" applyFont="1">
      <alignment readingOrder="0" vertical="center"/>
    </xf>
    <xf borderId="0" fillId="16" fontId="60" numFmtId="0" xfId="0" applyAlignment="1" applyFont="1">
      <alignment horizontal="left" readingOrder="0" shrinkToFit="0" vertical="center" wrapText="1"/>
    </xf>
    <xf borderId="0" fillId="16" fontId="61" numFmtId="0" xfId="0" applyAlignment="1" applyFont="1">
      <alignment horizontal="left" readingOrder="0" shrinkToFit="0" vertical="center" wrapText="1"/>
    </xf>
    <xf borderId="0" fillId="22" fontId="1" numFmtId="0" xfId="0" applyAlignment="1" applyFill="1" applyFont="1">
      <alignment readingOrder="0" vertical="center"/>
    </xf>
    <xf borderId="0" fillId="22" fontId="1" numFmtId="0" xfId="0" applyAlignment="1" applyFont="1">
      <alignment horizontal="left" shrinkToFit="0" vertical="center" wrapText="1"/>
    </xf>
    <xf borderId="0" fillId="16" fontId="1" numFmtId="0" xfId="0" applyAlignment="1" applyFont="1">
      <alignment readingOrder="0" vertical="center"/>
    </xf>
    <xf borderId="0" fillId="4" fontId="1" numFmtId="0" xfId="0" applyAlignment="1" applyFont="1">
      <alignment readingOrder="0" shrinkToFit="0" wrapText="1"/>
    </xf>
    <xf borderId="0" fillId="23" fontId="1" numFmtId="0" xfId="0" applyAlignment="1" applyFill="1" applyFont="1">
      <alignment horizontal="left" shrinkToFit="0" vertical="center" wrapText="1"/>
    </xf>
    <xf borderId="0" fillId="22" fontId="1" numFmtId="0" xfId="0" applyAlignment="1" applyFont="1">
      <alignment readingOrder="0" shrinkToFit="0" wrapText="1"/>
    </xf>
    <xf borderId="0" fillId="22" fontId="1" numFmtId="0" xfId="0" applyAlignment="1" applyFont="1">
      <alignment shrinkToFit="0" vertical="center" wrapText="1"/>
    </xf>
    <xf borderId="0" fillId="22" fontId="1" numFmtId="0" xfId="0" applyAlignment="1" applyFont="1">
      <alignment readingOrder="0" shrinkToFit="0" vertical="center" wrapText="1"/>
    </xf>
    <xf borderId="0" fillId="16" fontId="21" numFmtId="0" xfId="0" applyAlignment="1" applyFont="1">
      <alignment readingOrder="0"/>
    </xf>
    <xf borderId="0" fillId="13" fontId="3" numFmtId="0" xfId="0" applyAlignment="1" applyFont="1">
      <alignment horizontal="left" readingOrder="0" vertical="center"/>
    </xf>
    <xf borderId="0" fillId="22" fontId="1" numFmtId="0" xfId="0" applyAlignment="1" applyFont="1">
      <alignment readingOrder="0"/>
    </xf>
    <xf borderId="0" fillId="2" fontId="1" numFmtId="0" xfId="0" applyAlignment="1" applyFont="1">
      <alignment horizontal="left" readingOrder="0" vertical="center"/>
    </xf>
    <xf borderId="0" fillId="24" fontId="1" numFmtId="0" xfId="0" applyAlignment="1" applyFill="1" applyFont="1">
      <alignment readingOrder="0"/>
    </xf>
    <xf borderId="0" fillId="24" fontId="1" numFmtId="0" xfId="0" applyAlignment="1" applyFont="1">
      <alignment horizontal="left" readingOrder="0" vertical="center"/>
    </xf>
    <xf borderId="0" fillId="25" fontId="1" numFmtId="0" xfId="0" applyAlignment="1" applyFill="1" applyFont="1">
      <alignment readingOrder="0"/>
    </xf>
    <xf borderId="0" fillId="25" fontId="1" numFmtId="0" xfId="0" applyAlignment="1" applyFont="1">
      <alignment horizontal="left" readingOrder="0" vertical="center"/>
    </xf>
    <xf borderId="0" fillId="21" fontId="39" numFmtId="0" xfId="0" applyAlignment="1" applyFont="1">
      <alignment horizontal="left" readingOrder="0" vertical="center"/>
    </xf>
    <xf borderId="0" fillId="21" fontId="48" numFmtId="0" xfId="0" applyAlignment="1" applyFont="1">
      <alignment horizontal="left" readingOrder="0" shrinkToFit="0" vertical="center" wrapText="0"/>
    </xf>
    <xf borderId="0" fillId="16" fontId="1" numFmtId="0" xfId="0" applyAlignment="1" applyFont="1">
      <alignment vertical="center"/>
    </xf>
    <xf borderId="0" fillId="21" fontId="46" numFmtId="0" xfId="0" applyAlignment="1" applyFont="1">
      <alignment vertical="bottom"/>
    </xf>
    <xf borderId="0" fillId="16" fontId="1" numFmtId="0" xfId="0" applyFont="1"/>
    <xf borderId="0" fillId="0" fontId="1" numFmtId="0" xfId="0" applyAlignment="1" applyFont="1">
      <alignment vertical="bottom"/>
    </xf>
    <xf borderId="0" fillId="16" fontId="6" numFmtId="0" xfId="0" applyAlignment="1" applyFont="1">
      <alignment horizontal="left" readingOrder="0"/>
    </xf>
    <xf borderId="0" fillId="2"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drive.google.com/file/d/11YjDpih_Fd1OxNf4ulhWk4IUCyF5FtJw/view?usp=sharing" TargetMode="External"/><Relationship Id="rId42" Type="http://schemas.openxmlformats.org/officeDocument/2006/relationships/hyperlink" Target="https://drive.google.com/file/d/1bqUaHvhkN3nClikEDH8cKpaamFoH2Skg/view?usp=sharing" TargetMode="External"/><Relationship Id="rId41" Type="http://schemas.openxmlformats.org/officeDocument/2006/relationships/hyperlink" Target="https://drive.google.com/file/d/18jUTF9lALeDHUSd69sloRE_Bq80-qHhH/view?usp=sharing" TargetMode="External"/><Relationship Id="rId44" Type="http://schemas.openxmlformats.org/officeDocument/2006/relationships/hyperlink" Target="https://drive.google.com/file/d/1k2YL8M6ASIxEREEoeRXltxvfIZjcjBB1/view?usp=sharing" TargetMode="External"/><Relationship Id="rId43" Type="http://schemas.openxmlformats.org/officeDocument/2006/relationships/hyperlink" Target="https://drive.google.com/file/d/1WV_PJlYaqqMIATHtnkqhdTX90GADWMuS/view?usp=sharing" TargetMode="External"/><Relationship Id="rId46" Type="http://schemas.openxmlformats.org/officeDocument/2006/relationships/hyperlink" Target="https://drive.google.com/file/d/121Gpggf7wFWx23HLpQMofTeKx6bHhbsI/view?usp=sharing" TargetMode="External"/><Relationship Id="rId45" Type="http://schemas.openxmlformats.org/officeDocument/2006/relationships/hyperlink" Target="https://drive.google.com/file/d/1NdlrqeqeWK2LyC0FiW4A_Ojtj3tDuVfd/view?usp=sharing" TargetMode="External"/><Relationship Id="rId48" Type="http://schemas.openxmlformats.org/officeDocument/2006/relationships/hyperlink" Target="https://drive.google.com/file/d/1Bd6GhZRsci6g-6MFaPWfOONP-_4BAZdA/view?usp=sharing" TargetMode="External"/><Relationship Id="rId47" Type="http://schemas.openxmlformats.org/officeDocument/2006/relationships/hyperlink" Target="https://drive.google.com/file/d/1kHJJBwOopxiO4WnGbmbO0pSZEv72cbGK/view?usp=sharing" TargetMode="External"/><Relationship Id="rId49" Type="http://schemas.openxmlformats.org/officeDocument/2006/relationships/hyperlink" Target="https://drive.google.com/file/d/1wXQCSZDipN6Mx7OKxaTpYJEsLZuF76tF/view?usp=sharing" TargetMode="External"/><Relationship Id="rId31" Type="http://schemas.openxmlformats.org/officeDocument/2006/relationships/hyperlink" Target="https://drive.google.com/file/d/1DAwiZwdN9hSvg_4txKa_XoRcoihJyfEw/view?usp=sharing" TargetMode="External"/><Relationship Id="rId30" Type="http://schemas.openxmlformats.org/officeDocument/2006/relationships/hyperlink" Target="https://drive.google.com/file/d/1J3Umo59d90-GmDZoO2-KFjcodS4Kn-TO/view?usp=sharing" TargetMode="External"/><Relationship Id="rId33" Type="http://schemas.openxmlformats.org/officeDocument/2006/relationships/hyperlink" Target="https://drive.google.com/file/d/1Tp9iNiwUcrxR3swqbSa__EDTW0vQlO-3/view?usp=sharing" TargetMode="External"/><Relationship Id="rId32" Type="http://schemas.openxmlformats.org/officeDocument/2006/relationships/hyperlink" Target="https://drive.google.com/file/d/161xUWYjGjuvwm8d6lr2atOOAqCl_xpJm/view?usp=sharing" TargetMode="External"/><Relationship Id="rId35" Type="http://schemas.openxmlformats.org/officeDocument/2006/relationships/hyperlink" Target="https://drive.google.com/file/d/1nKv8TbILNGLEJiX-d_6ZvZfQqZowSwPs/view?usp=sharing" TargetMode="External"/><Relationship Id="rId34" Type="http://schemas.openxmlformats.org/officeDocument/2006/relationships/hyperlink" Target="https://drive.google.com/file/d/1ZWtLZthFACYdGT4d4PdNHV_-YlkasHub/view?usp=sharing" TargetMode="External"/><Relationship Id="rId37" Type="http://schemas.openxmlformats.org/officeDocument/2006/relationships/hyperlink" Target="https://drive.google.com/file/d/1tifYuV9iBUCRtSkK6pw53X3LlSnkfzrz/view?usp=sharing" TargetMode="External"/><Relationship Id="rId36" Type="http://schemas.openxmlformats.org/officeDocument/2006/relationships/hyperlink" Target="https://drive.google.com/file/d/16MA29OSJoQtaS49PPAg881wVyutsXHGW/view?usp=sharing" TargetMode="External"/><Relationship Id="rId39" Type="http://schemas.openxmlformats.org/officeDocument/2006/relationships/hyperlink" Target="https://drive.google.com/file/d/1SY_h_QvjDucwcBzA02XNpI3s9XhUIhJY/view?usp=sharing" TargetMode="External"/><Relationship Id="rId38" Type="http://schemas.openxmlformats.org/officeDocument/2006/relationships/hyperlink" Target="https://drive.google.com/file/d/1ryAvUa6sYQs3zWMmiyLRliLjXaRtGQRU/view?usp=sharing" TargetMode="External"/><Relationship Id="rId20" Type="http://schemas.openxmlformats.org/officeDocument/2006/relationships/hyperlink" Target="https://drive.google.com/file/d/1ExqG9rgzuejxZ5-YOvifll55DSJtGVnp/view?usp=sharing" TargetMode="External"/><Relationship Id="rId22" Type="http://schemas.openxmlformats.org/officeDocument/2006/relationships/hyperlink" Target="https://drive.google.com/file/d/13X1GG2qU3J_ztnUZ5VmSTRZ-L1YI7NRD/view?usp=sharing" TargetMode="External"/><Relationship Id="rId21" Type="http://schemas.openxmlformats.org/officeDocument/2006/relationships/hyperlink" Target="https://drive.google.com/file/d/1eGkSv2DCkD66Qrlvm7hleL39OaSPHTF1/view?usp=sharing" TargetMode="External"/><Relationship Id="rId24" Type="http://schemas.openxmlformats.org/officeDocument/2006/relationships/hyperlink" Target="https://drive.google.com/file/d/1JZeXUjZmLSdzeGY9UpGsjOL9vLTggqBP/view?usp=sharing" TargetMode="External"/><Relationship Id="rId23" Type="http://schemas.openxmlformats.org/officeDocument/2006/relationships/hyperlink" Target="https://drive.google.com/file/d/10vKiUhctzfWp9OTIH6hTpQZsCGlWymjX/view?usp=sharing" TargetMode="External"/><Relationship Id="rId26" Type="http://schemas.openxmlformats.org/officeDocument/2006/relationships/hyperlink" Target="https://drive.google.com/file/d/1jHYyIkEBin4RP9MCWJ_Km-C-duuln0TU/view?usp=sharing" TargetMode="External"/><Relationship Id="rId25" Type="http://schemas.openxmlformats.org/officeDocument/2006/relationships/hyperlink" Target="https://drive.google.com/file/d/19ILXfDpf0O8GVHc40iiaTAiKyDpYUScP/view?usp=sharing" TargetMode="External"/><Relationship Id="rId28" Type="http://schemas.openxmlformats.org/officeDocument/2006/relationships/hyperlink" Target="https://drive.google.com/file/d/1l7BWLeYGIGjpMOpfycEiguzTV5zMUpii/view?usp=sharing" TargetMode="External"/><Relationship Id="rId27" Type="http://schemas.openxmlformats.org/officeDocument/2006/relationships/hyperlink" Target="https://drive.google.com/file/d/1qiW7Z4RnNzmTBrlx9EUnsZJMUaEyMSKh/view?usp=sharing" TargetMode="External"/><Relationship Id="rId29" Type="http://schemas.openxmlformats.org/officeDocument/2006/relationships/hyperlink" Target="https://drive.google.com/file/d/1cxtxY_G0TtRVyEJ3EZaURnYRKUEGCAu7/view?usp=sharing" TargetMode="External"/><Relationship Id="rId11" Type="http://schemas.openxmlformats.org/officeDocument/2006/relationships/hyperlink" Target="https://drive.google.com/file/d/1xrkqr9aVsdJCvzXfRRNTATbJGuEjyi-e/view?usp=sharing" TargetMode="External"/><Relationship Id="rId10" Type="http://schemas.openxmlformats.org/officeDocument/2006/relationships/hyperlink" Target="https://drive.google.com/file/d/1v02fUUYogFlBFZ0rXcdVFZAHbth-9qfh/view?usp=sharing" TargetMode="External"/><Relationship Id="rId13" Type="http://schemas.openxmlformats.org/officeDocument/2006/relationships/hyperlink" Target="https://drive.google.com/file/d/1lrC_FA3FzU0jz9jd_TgKFCZNFE0aqhJQ/view?usp=sharing" TargetMode="External"/><Relationship Id="rId12" Type="http://schemas.openxmlformats.org/officeDocument/2006/relationships/hyperlink" Target="https://drive.google.com/file/d/14Nb077U3kg66xUJSL4TsvSDnxiseGFSd/view?usp=sharing" TargetMode="External"/><Relationship Id="rId15" Type="http://schemas.openxmlformats.org/officeDocument/2006/relationships/hyperlink" Target="https://drive.google.com/file/d/1rYm33obt0dJzNojPHvSxMtUzuuJrjCw2/view?usp=sharing" TargetMode="External"/><Relationship Id="rId14" Type="http://schemas.openxmlformats.org/officeDocument/2006/relationships/hyperlink" Target="https://drive.google.com/file/d/1pxbRxBJ92Wn1WyBVjVgaLhS9tiopQ-Iz/view?usp=sharing" TargetMode="External"/><Relationship Id="rId17" Type="http://schemas.openxmlformats.org/officeDocument/2006/relationships/hyperlink" Target="https://drive.google.com/file/d/1artd1WjEk4-z0HYuRIsvRq01QMnWQNgm/view?usp=sharing" TargetMode="External"/><Relationship Id="rId16" Type="http://schemas.openxmlformats.org/officeDocument/2006/relationships/hyperlink" Target="https://drive.google.com/file/d/1qZuM0w0GM8r1v0LDE6pTellhJH_TKecC/view?usp=sharing" TargetMode="External"/><Relationship Id="rId19" Type="http://schemas.openxmlformats.org/officeDocument/2006/relationships/hyperlink" Target="https://drive.google.com/file/d/1NAPwIuUdWikItj48IGz1xYdvNKkDQJ7X/view?usp=sharing" TargetMode="External"/><Relationship Id="rId18" Type="http://schemas.openxmlformats.org/officeDocument/2006/relationships/hyperlink" Target="https://drive.google.com/file/d/1Hb8Dly25bTb6M5kubwGynurW_fIt6TN9/view?usp=sharing" TargetMode="External"/><Relationship Id="rId1" Type="http://schemas.openxmlformats.org/officeDocument/2006/relationships/comments" Target="../comments7.xml"/><Relationship Id="rId2" Type="http://schemas.openxmlformats.org/officeDocument/2006/relationships/hyperlink" Target="https://drive.google.com/file/d/1zDbeSL3dcr1TgzduWh1zgsgExdb8MuPZ/view?usp=sharing" TargetMode="External"/><Relationship Id="rId3" Type="http://schemas.openxmlformats.org/officeDocument/2006/relationships/hyperlink" Target="https://drive.google.com/file/d/1RbWKgJZbAYDN6cktq9KYkup9QYWE4I25/view?usp=sharing" TargetMode="External"/><Relationship Id="rId4" Type="http://schemas.openxmlformats.org/officeDocument/2006/relationships/hyperlink" Target="https://drive.google.com/file/d/1dvgdmGWf6lf94R5yqKZILOdERwArVmyR/view?usp=sharing" TargetMode="External"/><Relationship Id="rId9" Type="http://schemas.openxmlformats.org/officeDocument/2006/relationships/hyperlink" Target="https://drive.google.com/file/d/1wO73nVXsTvWeWF2fCqrmVbn1mXq4pvXS/view?usp=sharing" TargetMode="External"/><Relationship Id="rId5" Type="http://schemas.openxmlformats.org/officeDocument/2006/relationships/hyperlink" Target="https://drive.google.com/file/d/1YZldQqNxr5AOc77wwVvRdOFgA3-bKPdA/view?usp=sharing" TargetMode="External"/><Relationship Id="rId6" Type="http://schemas.openxmlformats.org/officeDocument/2006/relationships/hyperlink" Target="https://drive.google.com/file/d/1BXdaiPhWl5CnZBAqMfYtRZRXYUxN0ySN/view?usp=sharing" TargetMode="External"/><Relationship Id="rId7" Type="http://schemas.openxmlformats.org/officeDocument/2006/relationships/hyperlink" Target="https://drive.google.com/file/d/1Mw6XqKhJLyt-DXbczccw52SJH6zuCvVB/view?usp=sharing" TargetMode="External"/><Relationship Id="rId8" Type="http://schemas.openxmlformats.org/officeDocument/2006/relationships/hyperlink" Target="https://drive.google.com/file/d/1XZNAsbCYg9ZbrTEkqkKltRGC3nBMuzcp/view?usp=sharing" TargetMode="External"/><Relationship Id="rId62" Type="http://schemas.openxmlformats.org/officeDocument/2006/relationships/hyperlink" Target="https://drive.google.com/file/d/1wdoReD3nhrbLCMgzDXaGXekanfxgZNU1/view?usp=sharing" TargetMode="External"/><Relationship Id="rId61" Type="http://schemas.openxmlformats.org/officeDocument/2006/relationships/hyperlink" Target="https://drive.google.com/file/d/11aV03XRbb9Vp_AwwR3dlT4rG0ixnNRf5/view?usp=sharing" TargetMode="External"/><Relationship Id="rId64" Type="http://schemas.openxmlformats.org/officeDocument/2006/relationships/hyperlink" Target="https://drive.google.com/file/d/1EhF1W1pKhlOP5tKpx0pYvRFofOhCjQ6H/view?usp=sharing" TargetMode="External"/><Relationship Id="rId63" Type="http://schemas.openxmlformats.org/officeDocument/2006/relationships/hyperlink" Target="https://drive.google.com/file/d/1AUOUZiTIQyJjAYuGpzU6o2vcpGpNYXZl/view?usp=sharing" TargetMode="External"/><Relationship Id="rId66" Type="http://schemas.openxmlformats.org/officeDocument/2006/relationships/vmlDrawing" Target="../drawings/vmlDrawing7.vml"/><Relationship Id="rId65" Type="http://schemas.openxmlformats.org/officeDocument/2006/relationships/drawing" Target="../drawings/drawing10.xml"/><Relationship Id="rId60" Type="http://schemas.openxmlformats.org/officeDocument/2006/relationships/hyperlink" Target="https://drive.google.com/file/d/1BCEDFhdu_-7dC4jbbhsMp5aM3xM_Iah3/view?usp=sharing" TargetMode="External"/><Relationship Id="rId51" Type="http://schemas.openxmlformats.org/officeDocument/2006/relationships/hyperlink" Target="https://drive.google.com/file/d/12UES2WYkz_FGzpmllKxsqZs56fJKHo6M/view?usp=sharing" TargetMode="External"/><Relationship Id="rId50" Type="http://schemas.openxmlformats.org/officeDocument/2006/relationships/hyperlink" Target="https://drive.google.com/file/d/1x9K0Cq6d-v4rga3WUsxsTp2Xpk4qewsx/view?usp=sharing" TargetMode="External"/><Relationship Id="rId53" Type="http://schemas.openxmlformats.org/officeDocument/2006/relationships/hyperlink" Target="https://drive.google.com/file/d/1gaXWGg5MRGRf_PeRic1kQ-bj1WqihNfj/view?usp=sharing" TargetMode="External"/><Relationship Id="rId52" Type="http://schemas.openxmlformats.org/officeDocument/2006/relationships/hyperlink" Target="https://drive.google.com/file/d/1OPlnlg2p-ePDVntC82iLReFCBbgWjNGj/view?usp=sharing" TargetMode="External"/><Relationship Id="rId55" Type="http://schemas.openxmlformats.org/officeDocument/2006/relationships/hyperlink" Target="https://drive.google.com/file/d/1QkmjCo8SXqWHojcBJumzpHnuBT_oOni5/view?usp=sharing" TargetMode="External"/><Relationship Id="rId54" Type="http://schemas.openxmlformats.org/officeDocument/2006/relationships/hyperlink" Target="https://drive.google.com/file/d/10UMyxGO8uAK-WIY0qY6IfWa87-KkSmPE/view?usp=sharing" TargetMode="External"/><Relationship Id="rId57" Type="http://schemas.openxmlformats.org/officeDocument/2006/relationships/hyperlink" Target="https://drive.google.com/file/d/1tvSCPIz6hBuSb7I025SWPV3pCNnl6dBR/view?usp=sharing" TargetMode="External"/><Relationship Id="rId56" Type="http://schemas.openxmlformats.org/officeDocument/2006/relationships/hyperlink" Target="https://drive.google.com/file/d/1XwbtQ3IGfzcX7RXq8LlRHbvt-o6SVGz0/view?usp=sharing" TargetMode="External"/><Relationship Id="rId59" Type="http://schemas.openxmlformats.org/officeDocument/2006/relationships/hyperlink" Target="https://drive.google.com/file/d/1fV2Use5ygLSIYS40GQi8wQlNrUn1pB7T/view?usp=sharing" TargetMode="External"/><Relationship Id="rId58" Type="http://schemas.openxmlformats.org/officeDocument/2006/relationships/hyperlink" Target="https://drive.google.com/file/d/12kPVx7zQWdbm0ny2k0SMdbLMpuKfqZH2/view?usp=sharing"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drive.google.com/file/d/1wvgvLzfkoJjBUdbPyim270h65m7dzfdZ/view?usp=sharing" TargetMode="External"/><Relationship Id="rId42" Type="http://schemas.openxmlformats.org/officeDocument/2006/relationships/vmlDrawing" Target="../drawings/vmlDrawing8.vml"/><Relationship Id="rId41" Type="http://schemas.openxmlformats.org/officeDocument/2006/relationships/drawing" Target="../drawings/drawing11.xml"/><Relationship Id="rId31" Type="http://schemas.openxmlformats.org/officeDocument/2006/relationships/hyperlink" Target="https://drive.google.com/file/d/1ISKJgYugRY-icneYxHKFt4o9_B12K6Nc/view?usp=sharing" TargetMode="External"/><Relationship Id="rId30" Type="http://schemas.openxmlformats.org/officeDocument/2006/relationships/hyperlink" Target="https://drive.google.com/file/d/1M5e3q0_mqznk-XsRhRQFRQ0SefoLB7n-/view?usp=sharing" TargetMode="External"/><Relationship Id="rId33" Type="http://schemas.openxmlformats.org/officeDocument/2006/relationships/hyperlink" Target="https://drive.google.com/file/d/1paiqmAHCk3D3idcSbFQZohtZPhQbRI75/view?usp=sharing" TargetMode="External"/><Relationship Id="rId32" Type="http://schemas.openxmlformats.org/officeDocument/2006/relationships/hyperlink" Target="https://drive.google.com/file/d/1ACAH5P3Bg82GAR6qYLRlOb3WIu1cdKLa/view?usp=sharing" TargetMode="External"/><Relationship Id="rId35" Type="http://schemas.openxmlformats.org/officeDocument/2006/relationships/hyperlink" Target="https://drive.google.com/file/d/1bP05FNMkdchcSHEMiXENARpFGN5PqDMt/view?usp=sharing" TargetMode="External"/><Relationship Id="rId34" Type="http://schemas.openxmlformats.org/officeDocument/2006/relationships/hyperlink" Target="https://drive.google.com/file/d/1uC-YZIS-e-jmlbNUtkMBlyxGGlwKQpvX/view?usp=sharing" TargetMode="External"/><Relationship Id="rId37" Type="http://schemas.openxmlformats.org/officeDocument/2006/relationships/hyperlink" Target="https://drive.google.com/file/d/1Fkge47NC21caFZSjSV8oxZ553d86PoKF/view?usp=sharing" TargetMode="External"/><Relationship Id="rId36" Type="http://schemas.openxmlformats.org/officeDocument/2006/relationships/hyperlink" Target="https://drive.google.com/file/d/12wbkKEVidvthW6b5Ol79AQ7uO_hHOexQ/view?usp=sharing" TargetMode="External"/><Relationship Id="rId39" Type="http://schemas.openxmlformats.org/officeDocument/2006/relationships/hyperlink" Target="https://drive.google.com/file/d/18Io3-GZ7cSIsADLU7e96z4S934i1DACp/view?usp=sharing" TargetMode="External"/><Relationship Id="rId38" Type="http://schemas.openxmlformats.org/officeDocument/2006/relationships/hyperlink" Target="https://drive.google.com/file/d/1e32n5DimLPYCocH8gSuZvE0-npvnp9c1/view?usp=sharing" TargetMode="External"/><Relationship Id="rId20" Type="http://schemas.openxmlformats.org/officeDocument/2006/relationships/hyperlink" Target="https://drive.google.com/file/d/1L73b8ZVtC3ZLQ50Vwf1qznnHi1o-zdTR/view?usp=sharing" TargetMode="External"/><Relationship Id="rId22" Type="http://schemas.openxmlformats.org/officeDocument/2006/relationships/hyperlink" Target="https://drive.google.com/file/d/1CdAdKh3GPeMJSipaP21vfrb165jTdj66/view?usp=sharing" TargetMode="External"/><Relationship Id="rId21" Type="http://schemas.openxmlformats.org/officeDocument/2006/relationships/hyperlink" Target="https://drive.google.com/file/d/1mQvkJw8-5JFYqIONol7CRcd3YHMsI1WC/view?usp=sharing" TargetMode="External"/><Relationship Id="rId24" Type="http://schemas.openxmlformats.org/officeDocument/2006/relationships/hyperlink" Target="https://drive.google.com/file/d/1h0x5dBe3k0VQwIU978mbFHMFNGSDMSVh/view?usp=sharing" TargetMode="External"/><Relationship Id="rId23" Type="http://schemas.openxmlformats.org/officeDocument/2006/relationships/hyperlink" Target="https://drive.google.com/file/d/1pWJ5-4RuVZbzcYQp0-vmqfCuAavIezg6/view?usp=sharing" TargetMode="External"/><Relationship Id="rId26" Type="http://schemas.openxmlformats.org/officeDocument/2006/relationships/hyperlink" Target="https://drive.google.com/file/d/16Q9sx2Y4IUl1F5zwOXCEaVzS8OAWZByT/view?usp=sharing" TargetMode="External"/><Relationship Id="rId25" Type="http://schemas.openxmlformats.org/officeDocument/2006/relationships/hyperlink" Target="https://drive.google.com/file/d/1sAhfSBCPCiZwItXc4jCaqg7apms6-Dt4/view?usp=sharing" TargetMode="External"/><Relationship Id="rId28" Type="http://schemas.openxmlformats.org/officeDocument/2006/relationships/hyperlink" Target="https://drive.google.com/file/d/1Ktyi5y1YFuTSCemEIGS1YRrStQLz9wW4/view?usp=sharing" TargetMode="External"/><Relationship Id="rId27" Type="http://schemas.openxmlformats.org/officeDocument/2006/relationships/hyperlink" Target="https://drive.google.com/file/d/1rO49_o5Do0uJYbMvytLoVpkxQ1UOHsHO/view?usp=sharing" TargetMode="External"/><Relationship Id="rId29" Type="http://schemas.openxmlformats.org/officeDocument/2006/relationships/hyperlink" Target="https://drive.google.com/file/d/1AJ_UMn6k-LVlFYpxEB__mmcKR2EGzj4E/view?usp=sharing" TargetMode="External"/><Relationship Id="rId11" Type="http://schemas.openxmlformats.org/officeDocument/2006/relationships/hyperlink" Target="https://drive.google.com/file/d/17mFDVSLj_NBudEarlupLkCggq6DYBYvO/view?usp=sharing" TargetMode="External"/><Relationship Id="rId10" Type="http://schemas.openxmlformats.org/officeDocument/2006/relationships/hyperlink" Target="https://drive.google.com/file/d/1cpVcy7W0reUYRtjwePNKr6mVGHAeWNLh/view?usp=sharing" TargetMode="External"/><Relationship Id="rId13" Type="http://schemas.openxmlformats.org/officeDocument/2006/relationships/hyperlink" Target="https://drive.google.com/file/d/1a85eCDTkaqD6bTpmUpytHwl3rxnHva5K/view?usp=sharing" TargetMode="External"/><Relationship Id="rId12" Type="http://schemas.openxmlformats.org/officeDocument/2006/relationships/hyperlink" Target="https://drive.google.com/file/d/1VjAqVCSP8nN5wR7MJRmtWhb69yQMr_67/view?usp=sharing" TargetMode="External"/><Relationship Id="rId15" Type="http://schemas.openxmlformats.org/officeDocument/2006/relationships/hyperlink" Target="https://drive.google.com/file/d/1JoqUyrCDpUTuOA_DJN8R03cM9vwl19P3/view?usp=sharing" TargetMode="External"/><Relationship Id="rId14" Type="http://schemas.openxmlformats.org/officeDocument/2006/relationships/hyperlink" Target="https://drive.google.com/file/d/11Y0b1t6glE9Svwo7izywCDCNkoK23Gq5/view?usp=sharing" TargetMode="External"/><Relationship Id="rId17" Type="http://schemas.openxmlformats.org/officeDocument/2006/relationships/hyperlink" Target="https://drive.google.com/file/d/1ExhsWZwy_cDrF0bpY8vCcI6ZR1AnwRlg/view?usp=sharing" TargetMode="External"/><Relationship Id="rId16" Type="http://schemas.openxmlformats.org/officeDocument/2006/relationships/hyperlink" Target="https://drive.google.com/file/d/1EoeinDURYt7KiCEUSei89_dbH-MgJaDB/view?usp=sharing" TargetMode="External"/><Relationship Id="rId19" Type="http://schemas.openxmlformats.org/officeDocument/2006/relationships/hyperlink" Target="https://drive.google.com/file/d/13xaDfMQzvSn37o0Tq5BSZMkibs8xIjB9/view?usp=sharing" TargetMode="External"/><Relationship Id="rId18" Type="http://schemas.openxmlformats.org/officeDocument/2006/relationships/hyperlink" Target="https://drive.google.com/file/d/1GU6mpt13tlYKwqQQKDYx1piUeB5LivCF/view?usp=sharing" TargetMode="External"/><Relationship Id="rId1" Type="http://schemas.openxmlformats.org/officeDocument/2006/relationships/comments" Target="../comments8.xml"/><Relationship Id="rId2" Type="http://schemas.openxmlformats.org/officeDocument/2006/relationships/hyperlink" Target="https://drive.google.com/file/d/1pvTskixxNaooWfsLhMzLwoV7GlOmKhg5/view?usp=sharing" TargetMode="External"/><Relationship Id="rId3" Type="http://schemas.openxmlformats.org/officeDocument/2006/relationships/hyperlink" Target="https://drive.google.com/file/d/1KNx5_zNvbmrSJG_wM0o7ibLJSrL7eChd/view?usp=sharing" TargetMode="External"/><Relationship Id="rId4" Type="http://schemas.openxmlformats.org/officeDocument/2006/relationships/hyperlink" Target="https://drive.google.com/file/d/1EEDTWZW_g6Hxfh_8IrZz4l_kSqZTpS8t/view?usp=sharing" TargetMode="External"/><Relationship Id="rId9" Type="http://schemas.openxmlformats.org/officeDocument/2006/relationships/hyperlink" Target="https://drive.google.com/file/d/1YnHMIqrZwJTpmMc-T84Xa_UqVsEc1UhQ/view?usp=sharing" TargetMode="External"/><Relationship Id="rId5" Type="http://schemas.openxmlformats.org/officeDocument/2006/relationships/hyperlink" Target="https://drive.google.com/file/d/1TyydGxJOEfIykIjKQybjUYL0V7ciyNFH/view?usp=sharing" TargetMode="External"/><Relationship Id="rId6" Type="http://schemas.openxmlformats.org/officeDocument/2006/relationships/hyperlink" Target="https://drive.google.com/file/d/1W3N_Wf63Vw35BWbW4NZobGVg92L5Elgo/view?usp=sharing" TargetMode="External"/><Relationship Id="rId7" Type="http://schemas.openxmlformats.org/officeDocument/2006/relationships/hyperlink" Target="https://drive.google.com/file/d/1GNRBjppjBk4-zmej-wwYb1a7Bl5iFCoI/view?usp=sharing" TargetMode="External"/><Relationship Id="rId8" Type="http://schemas.openxmlformats.org/officeDocument/2006/relationships/hyperlink" Target="https://drive.google.com/file/d/1LUyQYBl7IrX7Qncv41xgDibnBevya9s7/view?usp=sharing" TargetMode="External"/></Relationships>
</file>

<file path=xl/worksheets/_rels/sheet12.xml.rels><?xml version="1.0" encoding="UTF-8" standalone="yes"?><Relationships xmlns="http://schemas.openxmlformats.org/package/2006/relationships"><Relationship Id="rId31" Type="http://schemas.openxmlformats.org/officeDocument/2006/relationships/hyperlink" Target="https://drive.google.com/file/d/1ouvTyNPw2Ml6BmA5MUaRPYYV-_dWsWJD/view?usp=sharing" TargetMode="External"/><Relationship Id="rId30" Type="http://schemas.openxmlformats.org/officeDocument/2006/relationships/hyperlink" Target="https://drive.google.com/file/d/11WRolQcEiEw-gF5mTSUgxfTAisZHfhYm/view?usp=sharing" TargetMode="External"/><Relationship Id="rId33" Type="http://schemas.openxmlformats.org/officeDocument/2006/relationships/vmlDrawing" Target="../drawings/vmlDrawing9.vml"/><Relationship Id="rId32" Type="http://schemas.openxmlformats.org/officeDocument/2006/relationships/drawing" Target="../drawings/drawing12.xml"/><Relationship Id="rId20" Type="http://schemas.openxmlformats.org/officeDocument/2006/relationships/hyperlink" Target="https://drive.google.com/file/d/1mSqqIjx1TA_NRP0its5JkfAcW-VyjsU0/view?usp=sharing" TargetMode="External"/><Relationship Id="rId22" Type="http://schemas.openxmlformats.org/officeDocument/2006/relationships/hyperlink" Target="https://drive.google.com/file/d/1JWQTxxEL8-MZ3Php1P65zIPMAwd3KyzB/view?usp=sharing" TargetMode="External"/><Relationship Id="rId21" Type="http://schemas.openxmlformats.org/officeDocument/2006/relationships/hyperlink" Target="https://drive.google.com/file/d/1hNKML7R5hV0Hvumgd6YxNYR0Gvcgmi7x/view?usp=sharing" TargetMode="External"/><Relationship Id="rId24" Type="http://schemas.openxmlformats.org/officeDocument/2006/relationships/hyperlink" Target="https://drive.google.com/file/d/12do2VNMY_W40O9ujInnfq1WnKlyHdBJC/view?usp=sharing" TargetMode="External"/><Relationship Id="rId23" Type="http://schemas.openxmlformats.org/officeDocument/2006/relationships/hyperlink" Target="https://drive.google.com/file/d/1U1a_Lwrbtc5dprvQm1DsxZ3ojs7Antws/view?usp=sharing" TargetMode="External"/><Relationship Id="rId26" Type="http://schemas.openxmlformats.org/officeDocument/2006/relationships/hyperlink" Target="https://drive.google.com/file/d/1PcR5jbVHo7QBSNrfnkyVBeBcXZ-KwQ77/view?usp=sharing" TargetMode="External"/><Relationship Id="rId25" Type="http://schemas.openxmlformats.org/officeDocument/2006/relationships/hyperlink" Target="https://drive.google.com/file/d/1WT9JgdQmTAEaA1kbVYiP6NLAzQm08v_G/view?usp=sharing" TargetMode="External"/><Relationship Id="rId28" Type="http://schemas.openxmlformats.org/officeDocument/2006/relationships/hyperlink" Target="https://drive.google.com/file/d/1dUvk6Ba-64FMvPyQF9VWsPClJN8duSC0/view?usp=sharing" TargetMode="External"/><Relationship Id="rId27" Type="http://schemas.openxmlformats.org/officeDocument/2006/relationships/hyperlink" Target="https://drive.google.com/file/d/1MCnZUzh6bIOdFF937grkHcVCw6hSR0vT/view?usp=sharing" TargetMode="External"/><Relationship Id="rId29" Type="http://schemas.openxmlformats.org/officeDocument/2006/relationships/hyperlink" Target="https://drive.google.com/file/d/1VqoATGonj8DMyy3hiJlwaUpdBfF_nEwW/view?usp=sharing" TargetMode="External"/><Relationship Id="rId11" Type="http://schemas.openxmlformats.org/officeDocument/2006/relationships/hyperlink" Target="https://drive.google.com/file/d/1BnSDlVieCq7VmvjuFdTHgkiRdqvaved9/view?usp=sharing" TargetMode="External"/><Relationship Id="rId10" Type="http://schemas.openxmlformats.org/officeDocument/2006/relationships/hyperlink" Target="https://drive.google.com/file/d/1NWOkMUQ5KQYV2e172ciJ-OU03XdoIZsH/view?usp=sharing" TargetMode="External"/><Relationship Id="rId13" Type="http://schemas.openxmlformats.org/officeDocument/2006/relationships/hyperlink" Target="https://drive.google.com/file/d/1H-GMNlZ0PwMf6pFLBPjUQs37XmlrlgjJ/view?usp=sharing" TargetMode="External"/><Relationship Id="rId12" Type="http://schemas.openxmlformats.org/officeDocument/2006/relationships/hyperlink" Target="https://drive.google.com/file/d/1BnSDlVieCq7VmvjuFdTHgkiRdqvaved9/view?usp=sharing" TargetMode="External"/><Relationship Id="rId15" Type="http://schemas.openxmlformats.org/officeDocument/2006/relationships/hyperlink" Target="https://drive.google.com/file/d/1hQx_2QAX-HWzQzvE15ilc2YA7hp4NLvc/view?usp=sharing" TargetMode="External"/><Relationship Id="rId14" Type="http://schemas.openxmlformats.org/officeDocument/2006/relationships/hyperlink" Target="https://drive.google.com/file/d/1pjAffWqunyp4FkdVlWgkWFR32c0GG-tW/view?usp=sharing" TargetMode="External"/><Relationship Id="rId17" Type="http://schemas.openxmlformats.org/officeDocument/2006/relationships/hyperlink" Target="https://drive.google.com/file/d/1kIb6WoqJDfR2O72NPYbmJF8eMeOWI_8N/view?usp=sharing" TargetMode="External"/><Relationship Id="rId16" Type="http://schemas.openxmlformats.org/officeDocument/2006/relationships/hyperlink" Target="https://drive.google.com/file/d/1EukIHZj_L6fNsYhijwJQu13CeChJ25T3/view?usp=sharing" TargetMode="External"/><Relationship Id="rId19" Type="http://schemas.openxmlformats.org/officeDocument/2006/relationships/hyperlink" Target="https://drive.google.com/file/d/17eYTsDBlDuDFL01Sb04WiZY6T3ll081n/view?usp=sharing" TargetMode="External"/><Relationship Id="rId18" Type="http://schemas.openxmlformats.org/officeDocument/2006/relationships/hyperlink" Target="https://drive.google.com/file/d/1bcee7B7I_4CtM06famJkYlqUOUZ6QE45/view?usp=sharing" TargetMode="External"/><Relationship Id="rId1" Type="http://schemas.openxmlformats.org/officeDocument/2006/relationships/comments" Target="../comments9.xml"/><Relationship Id="rId2" Type="http://schemas.openxmlformats.org/officeDocument/2006/relationships/hyperlink" Target="https://drive.google.com/file/d/1USUIfk7MkXapW3nC-ik2AbySeZWASLxc/view?usp=sharing" TargetMode="External"/><Relationship Id="rId3" Type="http://schemas.openxmlformats.org/officeDocument/2006/relationships/hyperlink" Target="https://drive.google.com/file/d/1Stf2DhdX5IGs3VSRLAAH4s3T2QwyJ3LE/view?usp=sharing" TargetMode="External"/><Relationship Id="rId4" Type="http://schemas.openxmlformats.org/officeDocument/2006/relationships/hyperlink" Target="https://drive.google.com/file/d/1tYOX8K4vvKOuxO_Wv8pV_35NohmmclGD/view?usp=sharing" TargetMode="External"/><Relationship Id="rId9" Type="http://schemas.openxmlformats.org/officeDocument/2006/relationships/hyperlink" Target="https://drive.google.com/file/d/1nm2AebMIk61cd6lFRWBfRBnoBDjte99M/view?usp=sharing" TargetMode="External"/><Relationship Id="rId5" Type="http://schemas.openxmlformats.org/officeDocument/2006/relationships/hyperlink" Target="https://drive.google.com/file/d/1ZZrx5y0rwab3bmxW3dCNGcCsOUk9RUza/view?usp=sharing" TargetMode="External"/><Relationship Id="rId6" Type="http://schemas.openxmlformats.org/officeDocument/2006/relationships/hyperlink" Target="https://drive.google.com/file/d/1vcdjpUYRKBEgUaz6PFvFGr-gkY_0rCyg/view?usp=sharing" TargetMode="External"/><Relationship Id="rId7" Type="http://schemas.openxmlformats.org/officeDocument/2006/relationships/hyperlink" Target="https://drive.google.com/file/d/1PQDW9zu2eCr0KBkygRR04LIAvMNennQQ/view?usp=sharing" TargetMode="External"/><Relationship Id="rId8" Type="http://schemas.openxmlformats.org/officeDocument/2006/relationships/hyperlink" Target="https://drive.google.com/file/d/1B4d9_FTYhn_Gu-g9iIZ_OqCy0P0OWD0D/view?usp=sharing"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drive.google.com/file/d/1lKNDHUpEKhqt3GxClu1llq_agupUtKdh/view?usp=sharing" TargetMode="External"/><Relationship Id="rId42" Type="http://schemas.openxmlformats.org/officeDocument/2006/relationships/hyperlink" Target="https://drive.google.com/file/d/1KUfzvJwTTJ-oW_lTC4zfTQaOMSfhEhSm/view?usp=sharing" TargetMode="External"/><Relationship Id="rId41" Type="http://schemas.openxmlformats.org/officeDocument/2006/relationships/hyperlink" Target="https://drive.google.com/file/d/1nmEmGmzo6Er5S1Lq94HAzgvwvz1jDgo6/view?usp=sharing" TargetMode="External"/><Relationship Id="rId44" Type="http://schemas.openxmlformats.org/officeDocument/2006/relationships/hyperlink" Target="https://drive.google.com/file/d/1pzw72KskUqRxdgghhoW0Hh8TXmOD-PNo/view?usp=sharing" TargetMode="External"/><Relationship Id="rId43" Type="http://schemas.openxmlformats.org/officeDocument/2006/relationships/hyperlink" Target="https://drive.google.com/file/d/1jWqkpojM_neAu7T_oveqRo0HxBma1lnT/view?usp=sharing" TargetMode="External"/><Relationship Id="rId46" Type="http://schemas.openxmlformats.org/officeDocument/2006/relationships/hyperlink" Target="https://drive.google.com/file/d/1LA2EWJ9B1aBZBGdRhbvRWZsCzsI7rLAB/view?usp=sharing" TargetMode="External"/><Relationship Id="rId45" Type="http://schemas.openxmlformats.org/officeDocument/2006/relationships/hyperlink" Target="https://drive.google.com/file/d/1fA48iXqqkY1HNKwJQQoZsJNhLW3IvYw4/view?usp=sharing" TargetMode="External"/><Relationship Id="rId48" Type="http://schemas.openxmlformats.org/officeDocument/2006/relationships/hyperlink" Target="https://drive.google.com/file/d/13DL3d7I3L_wAx4hYvribtel29cdpI5Kq/view?usp=sharing" TargetMode="External"/><Relationship Id="rId47" Type="http://schemas.openxmlformats.org/officeDocument/2006/relationships/hyperlink" Target="https://drive.google.com/file/d/13JiqS13CLt6RZoIvhjfe_dfj6CD004A_/view?usp=sharing" TargetMode="External"/><Relationship Id="rId49" Type="http://schemas.openxmlformats.org/officeDocument/2006/relationships/hyperlink" Target="https://drive.google.com/file/d/1wXaHZw9fCqsHXxGV5DqTXfizWECguZgI/view?usp=sharing" TargetMode="External"/><Relationship Id="rId31" Type="http://schemas.openxmlformats.org/officeDocument/2006/relationships/hyperlink" Target="https://drive.google.com/file/d/1EjK9pUSdS5VAOapa97nPQjOuwQHLtX62/view?usp=sharing" TargetMode="External"/><Relationship Id="rId30" Type="http://schemas.openxmlformats.org/officeDocument/2006/relationships/hyperlink" Target="https://drive.google.com/file/d/1jOSTKP0NrK9DCkQSo9MM_ompVyZIlnmw/view?usp=sharing" TargetMode="External"/><Relationship Id="rId33" Type="http://schemas.openxmlformats.org/officeDocument/2006/relationships/hyperlink" Target="https://drive.google.com/file/d/1FILLQgTKdCuykIDqXacvIskTOuY6IKlV/view?usp=sharing" TargetMode="External"/><Relationship Id="rId32" Type="http://schemas.openxmlformats.org/officeDocument/2006/relationships/hyperlink" Target="https://drive.google.com/file/d/1psqITzxz1xZE4EpQ5rM3ZyjVq0qolVxS/view?usp=sharing" TargetMode="External"/><Relationship Id="rId35" Type="http://schemas.openxmlformats.org/officeDocument/2006/relationships/hyperlink" Target="https://drive.google.com/file/d/1NoRHwQV2btg8gpui5kpVtN0xX5fH14NA/view?usp=sharing" TargetMode="External"/><Relationship Id="rId34" Type="http://schemas.openxmlformats.org/officeDocument/2006/relationships/hyperlink" Target="https://drive.google.com/file/d/10-zUIaIXZMn_cHxcZZylB-kT7FkeZCD5/view?usp=sharing" TargetMode="External"/><Relationship Id="rId37" Type="http://schemas.openxmlformats.org/officeDocument/2006/relationships/hyperlink" Target="https://drive.google.com/file/d/1OhZV4Ku-VfvPEHpP6z7sp3YOusgq_6C4/view?usp=sharing" TargetMode="External"/><Relationship Id="rId36" Type="http://schemas.openxmlformats.org/officeDocument/2006/relationships/hyperlink" Target="https://drive.google.com/file/d/17aJ9gRw9OISdMASbHGBhxmwVjGk9ASc2/view?usp=sharing" TargetMode="External"/><Relationship Id="rId39" Type="http://schemas.openxmlformats.org/officeDocument/2006/relationships/hyperlink" Target="https://drive.google.com/file/d/1txFkhSaq_JWFEOZSF1tGHH5lABlDWJB9/view?usp=sharing" TargetMode="External"/><Relationship Id="rId38" Type="http://schemas.openxmlformats.org/officeDocument/2006/relationships/hyperlink" Target="https://drive.google.com/file/d/1mrhLvtvzSnInFO2fqQa8w7d9-zyUYExd/view?usp=sharing" TargetMode="External"/><Relationship Id="rId20" Type="http://schemas.openxmlformats.org/officeDocument/2006/relationships/hyperlink" Target="https://drive.google.com/file/d/1PHk5NXBSUWsuX1RL-DDYb2LX45-9suXO/view?usp=sharing" TargetMode="External"/><Relationship Id="rId22" Type="http://schemas.openxmlformats.org/officeDocument/2006/relationships/hyperlink" Target="https://drive.google.com/file/d/1jg4WZGSVlUUlQqzP6--9drFxw8Vs2WD4/view?usp=sharing" TargetMode="External"/><Relationship Id="rId21" Type="http://schemas.openxmlformats.org/officeDocument/2006/relationships/hyperlink" Target="https://drive.google.com/file/d/1EQjt_VfUh-Rgao0Jsgfpu1sb53OholjC/view?usp=sharing" TargetMode="External"/><Relationship Id="rId24" Type="http://schemas.openxmlformats.org/officeDocument/2006/relationships/hyperlink" Target="https://drive.google.com/file/d/13qJmw1h2DW2P4S7KUrPKXhx8AsOBWkUq/view?usp=sharing" TargetMode="External"/><Relationship Id="rId23" Type="http://schemas.openxmlformats.org/officeDocument/2006/relationships/hyperlink" Target="https://drive.google.com/file/d/1atQVgPY8H1_bzmLavB2M14I7LexIesr6/view?usp=sharing" TargetMode="External"/><Relationship Id="rId26" Type="http://schemas.openxmlformats.org/officeDocument/2006/relationships/hyperlink" Target="https://drive.google.com/file/d/18Lt_hymI1Th4GgJ-H4dNG3GwMWA-sysx/view?usp=sharing" TargetMode="External"/><Relationship Id="rId25" Type="http://schemas.openxmlformats.org/officeDocument/2006/relationships/hyperlink" Target="https://drive.google.com/file/d/1N_LOss2KWYwpGxcv8iJ6thm8kbFiDIoL/view?usp=sharing" TargetMode="External"/><Relationship Id="rId28" Type="http://schemas.openxmlformats.org/officeDocument/2006/relationships/hyperlink" Target="https://drive.google.com/file/d/1tGhza3EQ1uDTA2w2hu2sMq8XY5EFNVhJ/view?usp=sharing" TargetMode="External"/><Relationship Id="rId27" Type="http://schemas.openxmlformats.org/officeDocument/2006/relationships/hyperlink" Target="https://drive.google.com/file/d/1xKmy3OhhXCBB9cHDARaTTFJnNI6zHXyJ/view?usp=sharing" TargetMode="External"/><Relationship Id="rId29" Type="http://schemas.openxmlformats.org/officeDocument/2006/relationships/hyperlink" Target="https://drive.google.com/file/d/1tGhza3EQ1uDTA2w2hu2sMq8XY5EFNVhJ/view?usp=sharing" TargetMode="External"/><Relationship Id="rId11" Type="http://schemas.openxmlformats.org/officeDocument/2006/relationships/hyperlink" Target="https://drive.google.com/file/d/1PLCdRhfKfPNGwImyfLq0pM0m89mKL_po/view?usp=sharing" TargetMode="External"/><Relationship Id="rId10" Type="http://schemas.openxmlformats.org/officeDocument/2006/relationships/hyperlink" Target="https://drive.google.com/file/d/1SaNtp3YZoYm9nup0L8jsPj2r7tYumMGR/view?usp=sharing" TargetMode="External"/><Relationship Id="rId13" Type="http://schemas.openxmlformats.org/officeDocument/2006/relationships/hyperlink" Target="https://drive.google.com/file/d/107_5ZoCuvx4hRn4iNXOjjkZrfo4Z3IQC/view?usp=sharing" TargetMode="External"/><Relationship Id="rId12" Type="http://schemas.openxmlformats.org/officeDocument/2006/relationships/hyperlink" Target="https://drive.google.com/file/d/165QVHY6L_UdpjhCaOekUadZe_C_oI1A-/view?usp=sharing" TargetMode="External"/><Relationship Id="rId15" Type="http://schemas.openxmlformats.org/officeDocument/2006/relationships/hyperlink" Target="https://drive.google.com/file/d/1s-zAkHopSm2bLlnmblSsyvTZLoYs3UiB/view?usp=sharing" TargetMode="External"/><Relationship Id="rId14" Type="http://schemas.openxmlformats.org/officeDocument/2006/relationships/hyperlink" Target="https://drive.google.com/file/d/1iJmI-ZsFzV_eQS7hwR7wic8UZDeCj2Ze/view?usp=sharing" TargetMode="External"/><Relationship Id="rId17" Type="http://schemas.openxmlformats.org/officeDocument/2006/relationships/hyperlink" Target="https://drive.google.com/file/d/1BJ9B97IypwtcOqrpVG-cKEVf6gF9q9g3/view?usp=sharing" TargetMode="External"/><Relationship Id="rId16" Type="http://schemas.openxmlformats.org/officeDocument/2006/relationships/hyperlink" Target="https://drive.google.com/file/d/1SFFgpX5Ek_4RJltJdap0e1WimOyg1put/view?usp=sharing" TargetMode="External"/><Relationship Id="rId19" Type="http://schemas.openxmlformats.org/officeDocument/2006/relationships/hyperlink" Target="https://drive.google.com/file/d/1DAlivQl1WLd0EKAz8ARJfsvnU2KvfkCC/view?usp=sharing" TargetMode="External"/><Relationship Id="rId18" Type="http://schemas.openxmlformats.org/officeDocument/2006/relationships/hyperlink" Target="https://drive.google.com/file/d/1xeRHFBuKzqjTWakfcPWCZbofafJVb-JI/view?usp=sharing" TargetMode="External"/><Relationship Id="rId1" Type="http://schemas.openxmlformats.org/officeDocument/2006/relationships/comments" Target="../comments10.xml"/><Relationship Id="rId2" Type="http://schemas.openxmlformats.org/officeDocument/2006/relationships/hyperlink" Target="https://drive.google.com/file/d/13pczNJALadIbr5l4b_J5BQKfU_59eYot/view?usp=sharing" TargetMode="External"/><Relationship Id="rId3" Type="http://schemas.openxmlformats.org/officeDocument/2006/relationships/hyperlink" Target="https://drive.google.com/file/d/1q38zVR0zreq9Y7nUezHEG80AKD3HM6sx/view?usp=sharing" TargetMode="External"/><Relationship Id="rId4" Type="http://schemas.openxmlformats.org/officeDocument/2006/relationships/hyperlink" Target="https://drive.google.com/file/d/1rh4jbsR2tE88uCqK4ERwG0eePwbNUXl2/view?usp=sharing" TargetMode="External"/><Relationship Id="rId9" Type="http://schemas.openxmlformats.org/officeDocument/2006/relationships/hyperlink" Target="https://drive.google.com/file/d/1FPruzLG6p5mby0flDGX8fMV8dT0e0AxG/view?usp=sharing" TargetMode="External"/><Relationship Id="rId5" Type="http://schemas.openxmlformats.org/officeDocument/2006/relationships/hyperlink" Target="https://drive.google.com/file/d/1H4a4R8k11TxDX4evNDq7FInB4oV6WyO_/view?usp=sharing" TargetMode="External"/><Relationship Id="rId6" Type="http://schemas.openxmlformats.org/officeDocument/2006/relationships/hyperlink" Target="https://drive.google.com/file/d/1MyAnQMVmc_K_6bfwgliTn1EZ-_Izb0kb/view?usp=sharing" TargetMode="External"/><Relationship Id="rId7" Type="http://schemas.openxmlformats.org/officeDocument/2006/relationships/hyperlink" Target="https://drive.google.com/file/d/1mq-cQFpUQYQCb6d6YWRJ6jQ2BWrnG2NU/view?usp=sharing" TargetMode="External"/><Relationship Id="rId8" Type="http://schemas.openxmlformats.org/officeDocument/2006/relationships/hyperlink" Target="https://drive.google.com/file/d/1Gy50yWyThYVx6mZMr8a7z_StVsu9jXbz/view?usp=sharing" TargetMode="External"/><Relationship Id="rId62" Type="http://schemas.openxmlformats.org/officeDocument/2006/relationships/drawing" Target="../drawings/drawing13.xml"/><Relationship Id="rId61" Type="http://schemas.openxmlformats.org/officeDocument/2006/relationships/hyperlink" Target="https://drive.google.com/file/d/11T2sxW37E42BUoHGmOT7nDmgS4oukEmN/view?usp=sharing" TargetMode="External"/><Relationship Id="rId63" Type="http://schemas.openxmlformats.org/officeDocument/2006/relationships/vmlDrawing" Target="../drawings/vmlDrawing10.vml"/><Relationship Id="rId60" Type="http://schemas.openxmlformats.org/officeDocument/2006/relationships/hyperlink" Target="https://drive.google.com/file/d/1LBk4yFQgveVWluA_nQ68W3sHNNxWHm-9/view?usp=sharing" TargetMode="External"/><Relationship Id="rId51" Type="http://schemas.openxmlformats.org/officeDocument/2006/relationships/hyperlink" Target="https://drive.google.com/file/d/1TLF9e9a2zYswZ6s_1OMkHLMuPosgPQs3/view?usp=sharing" TargetMode="External"/><Relationship Id="rId50" Type="http://schemas.openxmlformats.org/officeDocument/2006/relationships/hyperlink" Target="https://drive.google.com/file/d/1gX6qHFCgW2xUz7wgIdKi9Pg4hJpBwO0D/view?usp=sharing" TargetMode="External"/><Relationship Id="rId53" Type="http://schemas.openxmlformats.org/officeDocument/2006/relationships/hyperlink" Target="https://drive.google.com/file/d/1RkLdPV3DZBoG3jpmMQ1T8jbavuQMJgny/view?usp=sharing" TargetMode="External"/><Relationship Id="rId52" Type="http://schemas.openxmlformats.org/officeDocument/2006/relationships/hyperlink" Target="https://drive.google.com/file/d/1F2qz4w2sNeSSf4NfErglfAy2egaZiJZs/view?usp=sharing" TargetMode="External"/><Relationship Id="rId55" Type="http://schemas.openxmlformats.org/officeDocument/2006/relationships/hyperlink" Target="https://drive.google.com/file/d/1qbrnzo3Xh-oCyiAmLN_gH2J-Cj0S5yLc/view?usp=sharing" TargetMode="External"/><Relationship Id="rId54" Type="http://schemas.openxmlformats.org/officeDocument/2006/relationships/hyperlink" Target="https://drive.google.com/file/d/1uHUvf_zST06uIQNMlwutTtGjzpoirCvy/view?usp=sharing" TargetMode="External"/><Relationship Id="rId57" Type="http://schemas.openxmlformats.org/officeDocument/2006/relationships/hyperlink" Target="https://drive.google.com/file/d/1Rxiih2iujQyoY0YTAYiVpfcUQY5BxF36/view?usp=sharing" TargetMode="External"/><Relationship Id="rId56" Type="http://schemas.openxmlformats.org/officeDocument/2006/relationships/hyperlink" Target="https://drive.google.com/file/d/1TkUipIcdzwc_CsxTxu6vsWBkexY1f4ud/view?usp=sharing" TargetMode="External"/><Relationship Id="rId59" Type="http://schemas.openxmlformats.org/officeDocument/2006/relationships/hyperlink" Target="https://drive.google.com/file/d/1pyJNtqZgnf8Xw_zY-uzXkF6UuhuoLjuk/view?usp=sharing" TargetMode="External"/><Relationship Id="rId58" Type="http://schemas.openxmlformats.org/officeDocument/2006/relationships/hyperlink" Target="https://drive.google.com/file/d/1Rxiih2iujQyoY0YTAYiVpfcUQY5BxF36/view?usp=sharing" TargetMode="External"/></Relationships>
</file>

<file path=xl/worksheets/_rels/sheet14.xml.rels><?xml version="1.0" encoding="UTF-8" standalone="yes"?><Relationships xmlns="http://schemas.openxmlformats.org/package/2006/relationships"><Relationship Id="rId31" Type="http://schemas.openxmlformats.org/officeDocument/2006/relationships/drawing" Target="../drawings/drawing14.xml"/><Relationship Id="rId30" Type="http://schemas.openxmlformats.org/officeDocument/2006/relationships/hyperlink" Target="https://drive.google.com/file/d/1AOQK9lyzTIPglkBigjZ5eL7axI66vgu6/view?usp=sharing" TargetMode="External"/><Relationship Id="rId32" Type="http://schemas.openxmlformats.org/officeDocument/2006/relationships/vmlDrawing" Target="../drawings/vmlDrawing11.vml"/><Relationship Id="rId20" Type="http://schemas.openxmlformats.org/officeDocument/2006/relationships/hyperlink" Target="https://drive.google.com/file/d/1t_CfwAvS43xD77gDAddOTgK9p37MQg3F/view?usp=sharing" TargetMode="External"/><Relationship Id="rId22" Type="http://schemas.openxmlformats.org/officeDocument/2006/relationships/hyperlink" Target="https://drive.google.com/file/d/1y34BvjFho6yI-REWXKrnSLwleqfWMlXf/view?usp=sharing" TargetMode="External"/><Relationship Id="rId21" Type="http://schemas.openxmlformats.org/officeDocument/2006/relationships/hyperlink" Target="https://drive.google.com/file/d/1yXOiCmbXuPuC2rA8xK6nlll6F7-1Kaph/view?usp=sharing" TargetMode="External"/><Relationship Id="rId24" Type="http://schemas.openxmlformats.org/officeDocument/2006/relationships/hyperlink" Target="https://drive.google.com/file/d/1YYoxBD3F6tYMaw3Hoj4qoNPCrbExeW4Z/view?usp=sharing" TargetMode="External"/><Relationship Id="rId23" Type="http://schemas.openxmlformats.org/officeDocument/2006/relationships/hyperlink" Target="https://drive.google.com/file/d/1eXuge8kvkWSupoU1zgssjScjB3Gq9mG0/view?usp=sharing" TargetMode="External"/><Relationship Id="rId26" Type="http://schemas.openxmlformats.org/officeDocument/2006/relationships/hyperlink" Target="https://drive.google.com/file/d/1V_KiKj41jfFoABvNSJJ9_zR7WZX2fWv1/view?usp=sharing" TargetMode="External"/><Relationship Id="rId25" Type="http://schemas.openxmlformats.org/officeDocument/2006/relationships/hyperlink" Target="https://drive.google.com/file/d/1wyPfIpq6hc7AgyjO2MfnNjQapEIECLY_/view?usp=sharing" TargetMode="External"/><Relationship Id="rId28" Type="http://schemas.openxmlformats.org/officeDocument/2006/relationships/hyperlink" Target="https://drive.google.com/file/d/17jbw10E9lVllYQcR2cWk0oiQQRtKfuaC/view?usp=sharing" TargetMode="External"/><Relationship Id="rId27" Type="http://schemas.openxmlformats.org/officeDocument/2006/relationships/hyperlink" Target="https://drive.google.com/file/d/1MCYtxyffrwJL7WTHWqisoJfseXMFCBEG/view?usp=sharing" TargetMode="External"/><Relationship Id="rId29" Type="http://schemas.openxmlformats.org/officeDocument/2006/relationships/hyperlink" Target="https://drive.google.com/file/d/1GNqEr9yk-_-2Ol6rEo1Fw3QafjcUNsAY/view?usp=sharing" TargetMode="External"/><Relationship Id="rId11" Type="http://schemas.openxmlformats.org/officeDocument/2006/relationships/hyperlink" Target="https://drive.google.com/file/d/1cE32Bs-p2mxsasfUkmKT65AxmoLIM5oa/view?usp=sharing" TargetMode="External"/><Relationship Id="rId10" Type="http://schemas.openxmlformats.org/officeDocument/2006/relationships/hyperlink" Target="https://drive.google.com/file/d/1GFmcpBD0Bu9j9QjYu2RgTXUBSstfGLHI/view?usp=sharing" TargetMode="External"/><Relationship Id="rId13" Type="http://schemas.openxmlformats.org/officeDocument/2006/relationships/hyperlink" Target="https://drive.google.com/file/d/186I4j5klRfFdwEPfqKZBsrmaT57HtxMm/view?usp=sharing" TargetMode="External"/><Relationship Id="rId12" Type="http://schemas.openxmlformats.org/officeDocument/2006/relationships/hyperlink" Target="https://drive.google.com/file/d/1MXDPIQk9nM7dLUVL9XaBHoY1otczJTYl/view?usp=sharing" TargetMode="External"/><Relationship Id="rId15" Type="http://schemas.openxmlformats.org/officeDocument/2006/relationships/hyperlink" Target="https://drive.google.com/file/d/14QdW6KtlbeyJykHPMI0Shv_3wABkxI5A/view?usp=sharing" TargetMode="External"/><Relationship Id="rId14" Type="http://schemas.openxmlformats.org/officeDocument/2006/relationships/hyperlink" Target="https://drive.google.com/file/d/1JTqYuJ3P1rqfHQ5g4H4z4eD7x4HTNAzp/view?usp=sharing" TargetMode="External"/><Relationship Id="rId17" Type="http://schemas.openxmlformats.org/officeDocument/2006/relationships/hyperlink" Target="https://drive.google.com/file/d/1GUlc1nugZ612JDDrHHQEccnTWgd6PgXp/view?usp=sharing" TargetMode="External"/><Relationship Id="rId16" Type="http://schemas.openxmlformats.org/officeDocument/2006/relationships/hyperlink" Target="https://drive.google.com/file/d/1RqxaGi4MlsTQUUZSIQuo7TiBhVbr3WmU/view?usp=sharing" TargetMode="External"/><Relationship Id="rId19" Type="http://schemas.openxmlformats.org/officeDocument/2006/relationships/hyperlink" Target="https://drive.google.com/file/d/1kYqdfukeUHf89kuW1ecvpgLMlkjnDi-1/view?usp=sharing" TargetMode="External"/><Relationship Id="rId18" Type="http://schemas.openxmlformats.org/officeDocument/2006/relationships/hyperlink" Target="https://drive.google.com/file/d/1UEtuv3LapnBcu98Sz7CnyvqvsE5lN9Qb/view?usp=sharing" TargetMode="External"/><Relationship Id="rId1" Type="http://schemas.openxmlformats.org/officeDocument/2006/relationships/comments" Target="../comments11.xml"/><Relationship Id="rId2" Type="http://schemas.openxmlformats.org/officeDocument/2006/relationships/hyperlink" Target="https://drive.google.com/file/d/1lI_vQovuNDluAncB-4wEIflIuKnmZqDf/view?usp=sharing" TargetMode="External"/><Relationship Id="rId3" Type="http://schemas.openxmlformats.org/officeDocument/2006/relationships/hyperlink" Target="https://drive.google.com/file/d/1KEl3JJKWIKfpsbI6ChauDiBFjEKqgLBa/view?usp=sharing" TargetMode="External"/><Relationship Id="rId4" Type="http://schemas.openxmlformats.org/officeDocument/2006/relationships/hyperlink" Target="https://drive.google.com/file/d/1S8ICjx8zQLrtlHBOolu0zY8kDGbo5JOo/view?usp=sharing" TargetMode="External"/><Relationship Id="rId9" Type="http://schemas.openxmlformats.org/officeDocument/2006/relationships/hyperlink" Target="https://drive.google.com/file/d/1YvHe-v_StN_JcdZZNEF5sShA0VTMq08W/view?usp=sharing" TargetMode="External"/><Relationship Id="rId5" Type="http://schemas.openxmlformats.org/officeDocument/2006/relationships/hyperlink" Target="https://drive.google.com/file/d/1s91K91Di5dj7dRdVquAeBUXHIZRnhkL2/view?usp=sharing" TargetMode="External"/><Relationship Id="rId6" Type="http://schemas.openxmlformats.org/officeDocument/2006/relationships/hyperlink" Target="https://drive.google.com/file/d/1DhDGSGzAlWZBE6vCUuISqNLDiOOSZDhC/view?usp=sharing" TargetMode="External"/><Relationship Id="rId7" Type="http://schemas.openxmlformats.org/officeDocument/2006/relationships/hyperlink" Target="https://drive.google.com/file/d/1sfRHTSxh-KjGwYBcaOgdI0K5nRSxFx7t/view?usp=sharing" TargetMode="External"/><Relationship Id="rId8" Type="http://schemas.openxmlformats.org/officeDocument/2006/relationships/hyperlink" Target="https://drive.google.com/file/d/1AjUf8fMbkqd6VnlkOIEOMaN748GANa9A/view?usp=sharing"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drive.google.com/file/d/1IhjzEqJZXgtbMQatjx4ykrJCdWs-Oe2A/view?usp=sharing" TargetMode="External"/><Relationship Id="rId2" Type="http://schemas.openxmlformats.org/officeDocument/2006/relationships/hyperlink" Target="https://drive.google.com/file/d/1WkrSiLiwSV1oky7A9ezDtTnkOqCZY34O/view?usp=sharing" TargetMode="External"/><Relationship Id="rId3" Type="http://schemas.openxmlformats.org/officeDocument/2006/relationships/hyperlink" Target="https://drive.google.com/file/d/1RTf3pe4h499gZm5Z1SLM7AoHMcE9xJSc/view?usp=sharing" TargetMode="External"/><Relationship Id="rId4" Type="http://schemas.openxmlformats.org/officeDocument/2006/relationships/hyperlink" Target="https://drive.google.com/file/d/1uRJkCoXdpaKKSZIBz2ZnuQ5nmP7q8htD/view?usp=sharing" TargetMode="External"/><Relationship Id="rId5"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8.xml"/><Relationship Id="rId3"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rbdiDEm1Nhhm8gVhTPsAmbBxcS-Ive_r/view?usp=sharing" TargetMode="External"/><Relationship Id="rId190" Type="http://schemas.openxmlformats.org/officeDocument/2006/relationships/hyperlink" Target="https://drive.google.com/file/d/1Ul6u14wobQ2oGT_O9kfDhIvk4w9aQ_ra/view?usp=sharing" TargetMode="External"/><Relationship Id="rId42" Type="http://schemas.openxmlformats.org/officeDocument/2006/relationships/hyperlink" Target="https://drive.google.com/file/d/1feJwwwt-OJNmuNb2grlHbkKrh-9mXcg4/view?usp=sharing" TargetMode="External"/><Relationship Id="rId41" Type="http://schemas.openxmlformats.org/officeDocument/2006/relationships/hyperlink" Target="https://drive.google.com/file/d/1R5r2WyizVTmKwIhNUefhkCqWMAom_Jry/view?usp=sharing" TargetMode="External"/><Relationship Id="rId44" Type="http://schemas.openxmlformats.org/officeDocument/2006/relationships/hyperlink" Target="https://drive.google.com/file/d/1MEpeF13nvcJcedq7BwJI8u3H-_aHPGVE/view?usp=sharing" TargetMode="External"/><Relationship Id="rId194" Type="http://schemas.openxmlformats.org/officeDocument/2006/relationships/hyperlink" Target="https://drive.google.com/file/d/1vGPy9CmPDQbpmD25hIoEulUGeKxt12pa/view?usp=sharing" TargetMode="External"/><Relationship Id="rId43" Type="http://schemas.openxmlformats.org/officeDocument/2006/relationships/hyperlink" Target="https://drive.google.com/file/d/1WvSs6WUqju_hwiqtzZPAh1YH-UfQB-DN/view?usp=sharing" TargetMode="External"/><Relationship Id="rId193" Type="http://schemas.openxmlformats.org/officeDocument/2006/relationships/hyperlink" Target="https://drive.google.com/file/d/1kydspFzhHP4CHRat_5_7ui3lIIX0yyJ5/view?usp=sharing" TargetMode="External"/><Relationship Id="rId46" Type="http://schemas.openxmlformats.org/officeDocument/2006/relationships/hyperlink" Target="https://drive.google.com/file/d/12AR5xP4yJo-Xv9z-zBLGy0VyWkcFSi4r/view?usp=sharing" TargetMode="External"/><Relationship Id="rId192" Type="http://schemas.openxmlformats.org/officeDocument/2006/relationships/hyperlink" Target="https://drive.google.com/file/d/1VAH6uA_zyo3SbOrrwyoZIQq-7uMDJYx3/view?usp=sharing" TargetMode="External"/><Relationship Id="rId45" Type="http://schemas.openxmlformats.org/officeDocument/2006/relationships/hyperlink" Target="https://drive.google.com/file/d/1WlVk9Clq_tnYqhGr3PvBHYnHQqFWWsRa/view?usp=sharing" TargetMode="External"/><Relationship Id="rId191" Type="http://schemas.openxmlformats.org/officeDocument/2006/relationships/hyperlink" Target="https://drive.google.com/file/d/1jCmiPn_JO3ODFT1uAqY3SblCoWWMbWB_/view?usp=sharing" TargetMode="External"/><Relationship Id="rId48" Type="http://schemas.openxmlformats.org/officeDocument/2006/relationships/hyperlink" Target="https://drive.google.com/file/d/1mUtXHtVwAeC0wWLp38eq-tk0pZ7QV-Mm/view?usp=sharing" TargetMode="External"/><Relationship Id="rId187" Type="http://schemas.openxmlformats.org/officeDocument/2006/relationships/hyperlink" Target="https://drive.google.com/file/d/1QPeXtk94vKf7gyYgTt9IcfBpsbA3UbBi/view?usp=sharing" TargetMode="External"/><Relationship Id="rId47" Type="http://schemas.openxmlformats.org/officeDocument/2006/relationships/hyperlink" Target="https://drive.google.com/file/d/1zxsul5UzY5gXxHNuUsYCR6ekd6FBXu5y/view?usp=sharing" TargetMode="External"/><Relationship Id="rId186" Type="http://schemas.openxmlformats.org/officeDocument/2006/relationships/hyperlink" Target="https://drive.google.com/file/d/1FwftKTBj8M7sp6sxnHIOn9cxjm8CKjGv/view?usp=sharing" TargetMode="External"/><Relationship Id="rId185" Type="http://schemas.openxmlformats.org/officeDocument/2006/relationships/hyperlink" Target="https://drive.google.com/file/d/1OCah2NtyAUcfh_Z_ttdDny34ApkWvQdb/view?usp=sharing" TargetMode="External"/><Relationship Id="rId49" Type="http://schemas.openxmlformats.org/officeDocument/2006/relationships/hyperlink" Target="https://drive.google.com/file/d/10MUugtg3TeAwPsVBVF6a3mUPq7SwnypR/view?usp=sharing" TargetMode="External"/><Relationship Id="rId184" Type="http://schemas.openxmlformats.org/officeDocument/2006/relationships/hyperlink" Target="https://drive.google.com/file/d/1QNOOiWcGFrpyKGPvvGOLDaA64p54GbGr/view?usp=sharing" TargetMode="External"/><Relationship Id="rId189" Type="http://schemas.openxmlformats.org/officeDocument/2006/relationships/hyperlink" Target="https://drive.google.com/file/d/1wJdCetXbsALPydWwHt3SCVuHGGrbC2KH/view?usp=sharing" TargetMode="External"/><Relationship Id="rId188" Type="http://schemas.openxmlformats.org/officeDocument/2006/relationships/hyperlink" Target="https://drive.google.com/file/d/1MUVij8g2uLxsc7QkQU45XjfTU4qC1piW/view?usp=sharing" TargetMode="External"/><Relationship Id="rId31" Type="http://schemas.openxmlformats.org/officeDocument/2006/relationships/hyperlink" Target="https://drive.google.com/file/d/1WS65z1IWxEaZy53FITmZDIxPZnMECQ5m/view?usp=sharing" TargetMode="External"/><Relationship Id="rId30" Type="http://schemas.openxmlformats.org/officeDocument/2006/relationships/hyperlink" Target="https://drive.google.com/file/d/1ohXj7NYbUomUUn6UfQVbxupi85dy9svd/view?usp=sharing" TargetMode="External"/><Relationship Id="rId33" Type="http://schemas.openxmlformats.org/officeDocument/2006/relationships/hyperlink" Target="https://drive.google.com/file/d/1c-oqWZIX-1sWlfevyrBAX5xfOtOIfNYj/view?usp=sharing" TargetMode="External"/><Relationship Id="rId183" Type="http://schemas.openxmlformats.org/officeDocument/2006/relationships/hyperlink" Target="https://drive.google.com/file/d/1G18Iw7erHL-LqTqiA-9sOjwgO064SQLP/view?usp=sharing" TargetMode="External"/><Relationship Id="rId32" Type="http://schemas.openxmlformats.org/officeDocument/2006/relationships/hyperlink" Target="https://drive.google.com/file/d/1LcogSXRnp98NAEJkmKH9is9AdKH9mr5u/view?usp=sharing" TargetMode="External"/><Relationship Id="rId182" Type="http://schemas.openxmlformats.org/officeDocument/2006/relationships/hyperlink" Target="https://drive.google.com/file/d/1I--gSp3vusaQP6ZdxxHVYtBoktbZDXjC/view?usp=sharing" TargetMode="External"/><Relationship Id="rId35" Type="http://schemas.openxmlformats.org/officeDocument/2006/relationships/hyperlink" Target="https://drive.google.com/file/d/1L9nCocNfuGzTZ8cX3vD6lYTWvpEvPQ5l/view?usp=sharing" TargetMode="External"/><Relationship Id="rId181" Type="http://schemas.openxmlformats.org/officeDocument/2006/relationships/hyperlink" Target="https://drive.google.com/file/d/1JwdPDIwxgrfa1j6D4VWe6a-zSqP_mVJE/view?usp=sharing" TargetMode="External"/><Relationship Id="rId34" Type="http://schemas.openxmlformats.org/officeDocument/2006/relationships/hyperlink" Target="https://drive.google.com/file/d/1OSlu-xA-Q-ctSami9Avlbuu36iClkkK2/view?usp=sharing" TargetMode="External"/><Relationship Id="rId180" Type="http://schemas.openxmlformats.org/officeDocument/2006/relationships/hyperlink" Target="https://drive.google.com/file/d/1Q4RIUp9y86sBK6lYojBMXTQ3k7QaGz1o/view?usp=sharing" TargetMode="External"/><Relationship Id="rId37" Type="http://schemas.openxmlformats.org/officeDocument/2006/relationships/hyperlink" Target="https://drive.google.com/file/d/1cCl6AGNz2KNV_T2OSJaEOwREGJIH1zfH/view?usp=sharing" TargetMode="External"/><Relationship Id="rId176" Type="http://schemas.openxmlformats.org/officeDocument/2006/relationships/hyperlink" Target="https://drive.google.com/file/d/1ExhsWZwy_cDrF0bpY8vCcI6ZR1AnwRlg/view?usp=sharing" TargetMode="External"/><Relationship Id="rId36" Type="http://schemas.openxmlformats.org/officeDocument/2006/relationships/hyperlink" Target="https://drive.google.com/file/d/1KQUR0Cg0_hWiLAKb52dIz603p7xdxX0z/view?usp=sharing" TargetMode="External"/><Relationship Id="rId175" Type="http://schemas.openxmlformats.org/officeDocument/2006/relationships/hyperlink" Target="https://drive.google.com/file/d/1tGCo3sc5hb_9DvAh3l9DC0P0vxxdu_E8/view?usp=sharing" TargetMode="External"/><Relationship Id="rId39" Type="http://schemas.openxmlformats.org/officeDocument/2006/relationships/hyperlink" Target="https://drive.google.com/file/d/1auP0nOQ9oiY5u6YwpHXz3P68Y_v6PXQQ/view?usp=sharing" TargetMode="External"/><Relationship Id="rId174" Type="http://schemas.openxmlformats.org/officeDocument/2006/relationships/hyperlink" Target="https://drive.google.com/file/d/1h21FIvzTIoQp3Co2yfaas2AzC0EYoXJ5/view?usp=sharing" TargetMode="External"/><Relationship Id="rId38" Type="http://schemas.openxmlformats.org/officeDocument/2006/relationships/hyperlink" Target="https://drive.google.com/file/d/1rxVYNchGvtPCP616SCw5jZ_mMIIW02rB/view?usp=sharing" TargetMode="External"/><Relationship Id="rId173" Type="http://schemas.openxmlformats.org/officeDocument/2006/relationships/hyperlink" Target="https://drive.google.com/file/d/1rhWK_Aec1uf_f1_TdCeteomTNisruv1O/view?usp=sharing" TargetMode="External"/><Relationship Id="rId179" Type="http://schemas.openxmlformats.org/officeDocument/2006/relationships/hyperlink" Target="https://drive.google.com/file/d/1Blg-zz6f8AGuOqzRASY1jdUP27L8WHDc/view?usp=sharing" TargetMode="External"/><Relationship Id="rId178" Type="http://schemas.openxmlformats.org/officeDocument/2006/relationships/hyperlink" Target="https://drive.google.com/file/d/18G986WR1zuQ0TqI_-t-wYkwb1L9RytV2/view?usp=sharing" TargetMode="External"/><Relationship Id="rId177" Type="http://schemas.openxmlformats.org/officeDocument/2006/relationships/hyperlink" Target="https://drive.google.com/file/d/1W9QsvM-rEIxq3EollrKBBPqSmLsG5CjT/view?usp=sharing" TargetMode="External"/><Relationship Id="rId20" Type="http://schemas.openxmlformats.org/officeDocument/2006/relationships/hyperlink" Target="https://drive.google.com/file/d/1wrOYghKgbVDw9I-jzlIrTy11rSHYCAEt/view?usp=sharing" TargetMode="External"/><Relationship Id="rId22" Type="http://schemas.openxmlformats.org/officeDocument/2006/relationships/hyperlink" Target="https://drive.google.com/file/d/1zxoZo2wMjphw4NNFzYab5XPmU2YSFK2o/view?usp=sharing" TargetMode="External"/><Relationship Id="rId21" Type="http://schemas.openxmlformats.org/officeDocument/2006/relationships/hyperlink" Target="https://drive.google.com/file/d/1Ge9_ZiaJ5Hb5gv60czG10XdUodWnpNGa/view?usp=sharing" TargetMode="External"/><Relationship Id="rId24" Type="http://schemas.openxmlformats.org/officeDocument/2006/relationships/hyperlink" Target="https://drive.google.com/file/d/1Ov5FQ-4FDjRIAgl_hei15J-pfK5z5bWh/view?usp=sharing" TargetMode="External"/><Relationship Id="rId23" Type="http://schemas.openxmlformats.org/officeDocument/2006/relationships/hyperlink" Target="https://drive.google.com/file/d/1DS4BDVqgBEJgYxicbeJ7NgQr7xJdvdyd/view?usp=sharing" TargetMode="External"/><Relationship Id="rId26" Type="http://schemas.openxmlformats.org/officeDocument/2006/relationships/hyperlink" Target="https://drive.google.com/file/d/1_BEX6IrS2QdAwuc7Uc3jD-fk_4yLlMdQ/view?usp=sharing" TargetMode="External"/><Relationship Id="rId25" Type="http://schemas.openxmlformats.org/officeDocument/2006/relationships/hyperlink" Target="https://drive.google.com/file/d/1FJDY67JLoAHYst4cIggMAUdhM_c1V7Wz/view?usp=sharing" TargetMode="External"/><Relationship Id="rId28" Type="http://schemas.openxmlformats.org/officeDocument/2006/relationships/hyperlink" Target="https://drive.google.com/file/d/1fT3HhPpW_3xuoo2SrZT_u3JNGZ1Mf3mw/view?usp=sharing" TargetMode="External"/><Relationship Id="rId27" Type="http://schemas.openxmlformats.org/officeDocument/2006/relationships/hyperlink" Target="https://drive.google.com/file/d/1_Csmsu9xyQ744m99o8w6Z8N-Vjgk6n_0/view?usp=sharing" TargetMode="External"/><Relationship Id="rId29" Type="http://schemas.openxmlformats.org/officeDocument/2006/relationships/hyperlink" Target="https://drive.google.com/file/d/1fDOOMUhQ726vMmpwOa674VS63kvrU6iE/view?usp=sharing" TargetMode="External"/><Relationship Id="rId11" Type="http://schemas.openxmlformats.org/officeDocument/2006/relationships/hyperlink" Target="https://drive.google.com/file/d/1zRWlrXtl7_asDFaxvFGJxN2hPlFYZoCD/view?usp=sharing" TargetMode="External"/><Relationship Id="rId10" Type="http://schemas.openxmlformats.org/officeDocument/2006/relationships/hyperlink" Target="https://drive.google.com/file/d/1KtofP7vcAwg-PhnDTgb9do8Uxj2hOVfn/view?usp=sharing" TargetMode="External"/><Relationship Id="rId13" Type="http://schemas.openxmlformats.org/officeDocument/2006/relationships/hyperlink" Target="https://drive.google.com/file/d/1h5kXIst2890523sEQIecXNblbsUakAh-/view?usp=sharing" TargetMode="External"/><Relationship Id="rId12" Type="http://schemas.openxmlformats.org/officeDocument/2006/relationships/hyperlink" Target="https://drive.google.com/file/d/1zRWlrXtl7_asDFaxvFGJxN2hPlFYZoCD/view?usp=sharing" TargetMode="External"/><Relationship Id="rId15" Type="http://schemas.openxmlformats.org/officeDocument/2006/relationships/hyperlink" Target="https://drive.google.com/file/d/1B9UedI34lWVB9XMAdtPT0PbFfn_Rh5TX/view?usp=sharing" TargetMode="External"/><Relationship Id="rId198" Type="http://schemas.openxmlformats.org/officeDocument/2006/relationships/hyperlink" Target="https://drive.google.com/file/d/1gMr4BiUQhH8ClpWr3fcVzJ8xQsZ9wEBj/view?usp=sharing" TargetMode="External"/><Relationship Id="rId14" Type="http://schemas.openxmlformats.org/officeDocument/2006/relationships/hyperlink" Target="https://drive.google.com/file/d/19A9AbCJKUVRox7RnOBlOtPkv3pelrSlp/view?usp=sharing" TargetMode="External"/><Relationship Id="rId197" Type="http://schemas.openxmlformats.org/officeDocument/2006/relationships/hyperlink" Target="https://drive.google.com/file/d/1XDKsKhWNGI0fQgL-ZWlHUppIpmrknyZ-/view?usp=sharing" TargetMode="External"/><Relationship Id="rId17" Type="http://schemas.openxmlformats.org/officeDocument/2006/relationships/hyperlink" Target="https://drive.google.com/file/d/1QK-LTRJ4Wz-JpQur1kOKB_bCtj1F_SZF/view?usp=sharing" TargetMode="External"/><Relationship Id="rId196" Type="http://schemas.openxmlformats.org/officeDocument/2006/relationships/hyperlink" Target="https://drive.google.com/file/d/1dK-FI_kRg06d5jfTuz_BkBG9aODE4znO/view?usp=sharing" TargetMode="External"/><Relationship Id="rId16" Type="http://schemas.openxmlformats.org/officeDocument/2006/relationships/hyperlink" Target="https://drive.google.com/file/d/1vFlhmJV9TkZaWuDShCBJzSZXn-71XpGD/view?usp=sharing" TargetMode="External"/><Relationship Id="rId195" Type="http://schemas.openxmlformats.org/officeDocument/2006/relationships/hyperlink" Target="https://drive.google.com/file/d/1BS2fltvzKoTJfCBTi9FdoNpNIxRRrkmR/view?usp=sharing" TargetMode="External"/><Relationship Id="rId19" Type="http://schemas.openxmlformats.org/officeDocument/2006/relationships/hyperlink" Target="https://drive.google.com/file/d/12MErZqfiNTK40H__Ofha03yiqD_0X5La/view?usp=sharing" TargetMode="External"/><Relationship Id="rId18" Type="http://schemas.openxmlformats.org/officeDocument/2006/relationships/hyperlink" Target="https://drive.google.com/file/d/1dX4xja_nNxzsmUFL2HbdkKMp6vKrBTvQ/view?usp=sharing" TargetMode="External"/><Relationship Id="rId199" Type="http://schemas.openxmlformats.org/officeDocument/2006/relationships/hyperlink" Target="https://drive.google.com/file/d/1hDS1EbDL72goIIZxgIMQAFJYUb7ZF047/view?usp=sharing" TargetMode="External"/><Relationship Id="rId84" Type="http://schemas.openxmlformats.org/officeDocument/2006/relationships/hyperlink" Target="https://drive.google.com/file/d/1WtTzqOj7PqQpNa2c7D2fvsAb-KUGbVi7/view?usp=sharing" TargetMode="External"/><Relationship Id="rId83" Type="http://schemas.openxmlformats.org/officeDocument/2006/relationships/hyperlink" Target="https://drive.google.com/file/d/1cXo_L-RTVhFIE5W2zVWJY-fWCcZrnWBb/view?usp=sharing" TargetMode="External"/><Relationship Id="rId86" Type="http://schemas.openxmlformats.org/officeDocument/2006/relationships/hyperlink" Target="https://drive.google.com/file/d/1ySpvVshVitmRuTO48n8xTZ35Vt5Seyas/view?usp=sharing" TargetMode="External"/><Relationship Id="rId85" Type="http://schemas.openxmlformats.org/officeDocument/2006/relationships/hyperlink" Target="https://drive.google.com/file/d/1s2wzJ9s2iNUEbaNZGG-LN661-gEX8I0a/view?usp=sharing" TargetMode="External"/><Relationship Id="rId88" Type="http://schemas.openxmlformats.org/officeDocument/2006/relationships/hyperlink" Target="https://drive.google.com/file/d/1S00ZSD3pgI7Up6sXFvvM2XZIJWellj1Q/view?usp=sharing" TargetMode="External"/><Relationship Id="rId150" Type="http://schemas.openxmlformats.org/officeDocument/2006/relationships/hyperlink" Target="https://drive.google.com/file/d/1VgvN3R9Sb8-ClaDQ08n32ZIYtqOilDKm/view?usp=sharing" TargetMode="External"/><Relationship Id="rId87" Type="http://schemas.openxmlformats.org/officeDocument/2006/relationships/hyperlink" Target="https://drive.google.com/file/d/1AA5ppxKet5z1lV3oYK7Bzp00hFxqQUfM/view?usp=sharing" TargetMode="External"/><Relationship Id="rId89" Type="http://schemas.openxmlformats.org/officeDocument/2006/relationships/hyperlink" Target="https://drive.google.com/file/d/1OF7xerZitUSoKNyMCc1dk0roQsvuppkj/view?usp=sharing" TargetMode="External"/><Relationship Id="rId80" Type="http://schemas.openxmlformats.org/officeDocument/2006/relationships/hyperlink" Target="https://drive.google.com/file/d/1VwPLt7s7E7G786Y3Gq4Z8dSScFmB_upG/view?usp=sharing" TargetMode="External"/><Relationship Id="rId82" Type="http://schemas.openxmlformats.org/officeDocument/2006/relationships/hyperlink" Target="https://drive.google.com/file/d/1faL6TK92zaICULJM8ayLSaOlRNd9Qzgq/view?usp=sharing" TargetMode="External"/><Relationship Id="rId81" Type="http://schemas.openxmlformats.org/officeDocument/2006/relationships/hyperlink" Target="https://drive.google.com/file/d/1-aZhMf01oVCM8jDSF2uy-DSNCrCI1S7Y/view?usp=sharing" TargetMode="External"/><Relationship Id="rId1" Type="http://schemas.openxmlformats.org/officeDocument/2006/relationships/comments" Target="../comments1.xml"/><Relationship Id="rId2" Type="http://schemas.openxmlformats.org/officeDocument/2006/relationships/hyperlink" Target="https://drive.google.com/file/d/1hhfwJdl2jD-RvJkxhN_WD4aNoOAgRaGQ/view?usp=sharing" TargetMode="External"/><Relationship Id="rId3" Type="http://schemas.openxmlformats.org/officeDocument/2006/relationships/hyperlink" Target="https://drive.google.com/file/d/11HigCamHCISmCm_o5HCIxNEU0QCuHRcX/view?usp=sharing" TargetMode="External"/><Relationship Id="rId149" Type="http://schemas.openxmlformats.org/officeDocument/2006/relationships/hyperlink" Target="https://drive.google.com/file/d/1nW2nT8knGenJ6ycYbGqExf8LOwJs_KUT/view?usp=sharing" TargetMode="External"/><Relationship Id="rId4" Type="http://schemas.openxmlformats.org/officeDocument/2006/relationships/hyperlink" Target="https://drive.google.com/file/d/1G6mTmTHDTD-UrvSxDiJ6w4aoG-_zvmUQ/view?usp=sharing" TargetMode="External"/><Relationship Id="rId148" Type="http://schemas.openxmlformats.org/officeDocument/2006/relationships/hyperlink" Target="https://drive.google.com/file/d/1X4NG8UB1UdGb9-pYPEygtdBQQ1T9sS72/view?usp=sharing" TargetMode="External"/><Relationship Id="rId9" Type="http://schemas.openxmlformats.org/officeDocument/2006/relationships/hyperlink" Target="https://drive.google.com/file/d/1JRCZ-WmRFgHaC0hzVworZWD7yqa438YU/view?usp=sharing" TargetMode="External"/><Relationship Id="rId143" Type="http://schemas.openxmlformats.org/officeDocument/2006/relationships/hyperlink" Target="https://drive.google.com/file/d/1OEYxkAOmLkUqM40800AvkvHfrgvNpUcL/view?usp=sharing" TargetMode="External"/><Relationship Id="rId142" Type="http://schemas.openxmlformats.org/officeDocument/2006/relationships/hyperlink" Target="https://drive.google.com/file/d/1Tn-oWJucCE4hnOa_tfh1-luMoha6lJ6v/view?usp=sharing" TargetMode="External"/><Relationship Id="rId141" Type="http://schemas.openxmlformats.org/officeDocument/2006/relationships/hyperlink" Target="https://drive.google.com/file/d/1nzcDA8Qf0tB6t21exH26ehP6bxhSz3ko/view?usp=sharing" TargetMode="External"/><Relationship Id="rId140" Type="http://schemas.openxmlformats.org/officeDocument/2006/relationships/hyperlink" Target="https://drive.google.com/file/d/1cgskaf3DdDUx2w6sqDGpa4leBoXEex5U/view?usp=sharing" TargetMode="External"/><Relationship Id="rId5" Type="http://schemas.openxmlformats.org/officeDocument/2006/relationships/hyperlink" Target="https://drive.google.com/file/d/12rQyRyHeJJ7Oqkv41CBY0lEeNVUN1HnN/view?usp=sharing" TargetMode="External"/><Relationship Id="rId147" Type="http://schemas.openxmlformats.org/officeDocument/2006/relationships/hyperlink" Target="https://drive.google.com/file/d/1-XIjYSygotK62pXziuWmroGq9DPoIUOU/view?usp=sharing" TargetMode="External"/><Relationship Id="rId6" Type="http://schemas.openxmlformats.org/officeDocument/2006/relationships/hyperlink" Target="https://drive.google.com/file/d/1mLitREh0n-IZUgK5Ffnq7GEiHirSfixy/view?usp=sharing" TargetMode="External"/><Relationship Id="rId146" Type="http://schemas.openxmlformats.org/officeDocument/2006/relationships/hyperlink" Target="https://drive.google.com/file/d/1eW1rlORrv30grzyi-mSOimzt09yWbW_H/view?usp=sharing" TargetMode="External"/><Relationship Id="rId7" Type="http://schemas.openxmlformats.org/officeDocument/2006/relationships/hyperlink" Target="https://drive.google.com/file/d/18x1iav_d1peK9gP4V1bTgx9KRi5XR2To/view?usp=sharing" TargetMode="External"/><Relationship Id="rId145" Type="http://schemas.openxmlformats.org/officeDocument/2006/relationships/hyperlink" Target="https://drive.google.com/file/d/1Akk8kL4OItC3DiKC-qBWGCtm2KltfY_F/view?usp=sharing" TargetMode="External"/><Relationship Id="rId8" Type="http://schemas.openxmlformats.org/officeDocument/2006/relationships/hyperlink" Target="https://drive.google.com/file/d/1XxRO9wbZGFroFcyrK6i1hj-bifVEPyO5/view?usp=sharing" TargetMode="External"/><Relationship Id="rId144" Type="http://schemas.openxmlformats.org/officeDocument/2006/relationships/hyperlink" Target="https://drive.google.com/file/d/1TH3TaHphtyzTntTpHJVISs7IX79WnWgq/view?usp=sharing" TargetMode="External"/><Relationship Id="rId73" Type="http://schemas.openxmlformats.org/officeDocument/2006/relationships/hyperlink" Target="https://drive.google.com/file/d/1mDVKzrwb5_U54jfAdvIPlhUyV_fRXPAY/view?usp=sharing" TargetMode="External"/><Relationship Id="rId72" Type="http://schemas.openxmlformats.org/officeDocument/2006/relationships/hyperlink" Target="https://drive.google.com/file/d/1azLkuTIIydrbeec1HjMZyGWEYgjpAdug/view?usp=sharing" TargetMode="External"/><Relationship Id="rId75" Type="http://schemas.openxmlformats.org/officeDocument/2006/relationships/hyperlink" Target="https://drive.google.com/file/d/1OafYrPoIja-B3U683L7GRLIiHB-xNCp9/view?usp=sharing" TargetMode="External"/><Relationship Id="rId74" Type="http://schemas.openxmlformats.org/officeDocument/2006/relationships/hyperlink" Target="https://drive.google.com/file/d/1TxNhE3te0pt-OwNgpVqhgMDvkaAiEjZ5/view?usp=sharing" TargetMode="External"/><Relationship Id="rId77" Type="http://schemas.openxmlformats.org/officeDocument/2006/relationships/hyperlink" Target="https://drive.google.com/file/d/1vTintRiqQ69EHhqkgzl-JM4EYqyL0a10/view?usp=sharing" TargetMode="External"/><Relationship Id="rId76" Type="http://schemas.openxmlformats.org/officeDocument/2006/relationships/hyperlink" Target="https://drive.google.com/file/d/1OwXFfddxQ9YsvB5IgaUF2A27fy1Gf7f2/view?usp=sharing" TargetMode="External"/><Relationship Id="rId79" Type="http://schemas.openxmlformats.org/officeDocument/2006/relationships/hyperlink" Target="https://drive.google.com/file/d/1HRqw6cNEOgIRBu7pB9jl2XjQ0AGBqXtg/view?usp=sharing" TargetMode="External"/><Relationship Id="rId78" Type="http://schemas.openxmlformats.org/officeDocument/2006/relationships/hyperlink" Target="https://drive.google.com/file/d/1VtYemhxWuuzGiA0ebvaGB3FXS6h1pRva/view?usp=sharing" TargetMode="External"/><Relationship Id="rId71" Type="http://schemas.openxmlformats.org/officeDocument/2006/relationships/hyperlink" Target="https://drive.google.com/file/d/1ieXRqhPGkMEoTxPWaotSEnZp-ql-9QgA/view?usp=sharing" TargetMode="External"/><Relationship Id="rId70" Type="http://schemas.openxmlformats.org/officeDocument/2006/relationships/hyperlink" Target="https://drive.google.com/file/d/1I_STZv8C9Ozn6j9O7BApbKpxicVgLs8M/view?usp=sharing" TargetMode="External"/><Relationship Id="rId139" Type="http://schemas.openxmlformats.org/officeDocument/2006/relationships/hyperlink" Target="https://drive.google.com/file/d/1wzrWLY0p9R6RlaiaKkNBPbjRWBUbqY3J/view?usp=sharing" TargetMode="External"/><Relationship Id="rId138" Type="http://schemas.openxmlformats.org/officeDocument/2006/relationships/hyperlink" Target="https://drive.google.com/file/d/1Ws70rnorR5Jc_IgqGgJVK7ywONmUEZ5k/view?usp=sharing" TargetMode="External"/><Relationship Id="rId137" Type="http://schemas.openxmlformats.org/officeDocument/2006/relationships/hyperlink" Target="https://drive.google.com/file/d/14S-DnnUTdXUp3J-zL8N8ULHFGc3l8slt/view?usp=sharing" TargetMode="External"/><Relationship Id="rId132" Type="http://schemas.openxmlformats.org/officeDocument/2006/relationships/hyperlink" Target="https://drive.google.com/file/d/1yCMDZuH_CNsvoolROASgWbW0jEYXpQyC/view?usp=sharing" TargetMode="External"/><Relationship Id="rId131" Type="http://schemas.openxmlformats.org/officeDocument/2006/relationships/hyperlink" Target="https://drive.google.com/file/d/16slTGuzrorTAkejm4PEoJUO6pe4_mGmV/view?usp=sharing" TargetMode="External"/><Relationship Id="rId130" Type="http://schemas.openxmlformats.org/officeDocument/2006/relationships/hyperlink" Target="https://drive.google.com/file/d/1pu7roHef5Y7fsAVD6bo4Mr4ovoaiq9IB/view?usp=sharing" TargetMode="External"/><Relationship Id="rId136" Type="http://schemas.openxmlformats.org/officeDocument/2006/relationships/hyperlink" Target="https://drive.google.com/file/d/16OElEtDgj-lmbn6NCnfWWr08pJAh2RUo/view?usp=sharing" TargetMode="External"/><Relationship Id="rId135" Type="http://schemas.openxmlformats.org/officeDocument/2006/relationships/hyperlink" Target="https://drive.google.com/file/d/15y3gN85XUwL_tbbvrOiVxYAzFW9ATtab/view?usp=sharing" TargetMode="External"/><Relationship Id="rId134" Type="http://schemas.openxmlformats.org/officeDocument/2006/relationships/hyperlink" Target="https://drive.google.com/file/d/1I_W5jsITl0z_Rgd3fZMMjw7Ll0zdrnFA/view?usp=sharing" TargetMode="External"/><Relationship Id="rId133" Type="http://schemas.openxmlformats.org/officeDocument/2006/relationships/hyperlink" Target="https://drive.google.com/file/d/1EcR_Ba_jrF4o2ZcpxMB_UJ-pe87JWany/view?usp=sharing" TargetMode="External"/><Relationship Id="rId62" Type="http://schemas.openxmlformats.org/officeDocument/2006/relationships/hyperlink" Target="https://drive.google.com/file/d/11OOW5dJGk1ixmowu8t3XHmv-cuz6sh4_/view?usp=sharing" TargetMode="External"/><Relationship Id="rId61" Type="http://schemas.openxmlformats.org/officeDocument/2006/relationships/hyperlink" Target="https://drive.google.com/file/d/1_ntjLE5_Yj4Gq2Fb3tSVxm-SGY57Ff7k/view?usp=sharing" TargetMode="External"/><Relationship Id="rId64" Type="http://schemas.openxmlformats.org/officeDocument/2006/relationships/hyperlink" Target="https://drive.google.com/file/d/1hj5lpb-_Rdm5zGyBiHObDq4HeN71pnVJ/view?usp=sharing" TargetMode="External"/><Relationship Id="rId63" Type="http://schemas.openxmlformats.org/officeDocument/2006/relationships/hyperlink" Target="https://drive.google.com/file/d/1dIYt7PFtK7J-r-y6OJRV6Zo2gXwlmADi/view?usp=sharing" TargetMode="External"/><Relationship Id="rId66" Type="http://schemas.openxmlformats.org/officeDocument/2006/relationships/hyperlink" Target="https://drive.google.com/file/d/1Z9LzZDOdjxccA8HCXayAS63nUq-d2yRC/view?usp=sharing" TargetMode="External"/><Relationship Id="rId172" Type="http://schemas.openxmlformats.org/officeDocument/2006/relationships/hyperlink" Target="https://drive.google.com/file/d/1sarNuou0VTHdbk_QV4QvxnE4YrgX5FRd/view?usp=sharing" TargetMode="External"/><Relationship Id="rId65" Type="http://schemas.openxmlformats.org/officeDocument/2006/relationships/hyperlink" Target="https://drive.google.com/file/d/1De9r6edTkCINrAVOuZ7_q3MOItD9Whqj/view?usp=sharing" TargetMode="External"/><Relationship Id="rId171" Type="http://schemas.openxmlformats.org/officeDocument/2006/relationships/hyperlink" Target="https://drive.google.com/file/d/1MaY-HwZ_wti6JIWfz6GhrYDK33EKIFy6/view?usp=sharing" TargetMode="External"/><Relationship Id="rId68" Type="http://schemas.openxmlformats.org/officeDocument/2006/relationships/hyperlink" Target="https://drive.google.com/file/d/1kILYZIso8jhEbUcNzi8g8Ob8hkbBZlCa/view?usp=sharing" TargetMode="External"/><Relationship Id="rId170" Type="http://schemas.openxmlformats.org/officeDocument/2006/relationships/hyperlink" Target="https://drive.google.com/file/d/1J35o3zTXfWzn4fP0719XLIcMzKKHimu1/view?usp=sharing" TargetMode="External"/><Relationship Id="rId67" Type="http://schemas.openxmlformats.org/officeDocument/2006/relationships/hyperlink" Target="https://drive.google.com/file/d/19d0-PHZyLkCR1J7zxDIcwuEdyKqYiq9Z/view?usp=sharing" TargetMode="External"/><Relationship Id="rId60" Type="http://schemas.openxmlformats.org/officeDocument/2006/relationships/hyperlink" Target="https://drive.google.com/file/d/1yIaGxYqgQjyT81Gj6v-PH1Z9a7GX73QP/view?usp=sharing" TargetMode="External"/><Relationship Id="rId165" Type="http://schemas.openxmlformats.org/officeDocument/2006/relationships/hyperlink" Target="https://drive.google.com/file/d/1DdDVqpubyz1-t84fZpIYj2yWJn5rlCXo/view?usp=sharing" TargetMode="External"/><Relationship Id="rId69" Type="http://schemas.openxmlformats.org/officeDocument/2006/relationships/hyperlink" Target="https://drive.google.com/file/d/1kdm-1kndBVrQnArUtYYKMxpKbbzdp-gW/view?usp=sharing" TargetMode="External"/><Relationship Id="rId164" Type="http://schemas.openxmlformats.org/officeDocument/2006/relationships/hyperlink" Target="https://drive.google.com/file/d/1tOta_Oj_H7Wb2ef3Hv_cX9QggM-GO-RV/view?usp=sharing" TargetMode="External"/><Relationship Id="rId163" Type="http://schemas.openxmlformats.org/officeDocument/2006/relationships/hyperlink" Target="https://drive.google.com/file/d/1aLHkzMAuSuxZzi8wDOsdjA5g9m-L4wzB/view?usp=sharing" TargetMode="External"/><Relationship Id="rId162" Type="http://schemas.openxmlformats.org/officeDocument/2006/relationships/hyperlink" Target="https://drive.google.com/file/d/1mYfMx9w1_btqRVT9c5fkskXzTMnL-mVr/view?usp=sharing" TargetMode="External"/><Relationship Id="rId169" Type="http://schemas.openxmlformats.org/officeDocument/2006/relationships/hyperlink" Target="https://drive.google.com/file/d/1A0DcDcVm6SwfX5WD8hxHz1B5L7q2mKCp/view?usp=sharing" TargetMode="External"/><Relationship Id="rId168" Type="http://schemas.openxmlformats.org/officeDocument/2006/relationships/hyperlink" Target="https://drive.google.com/file/d/1JQHOXCPRZs3Pb5paLuzDL2Qfs93EkXko/view?usp=sharing" TargetMode="External"/><Relationship Id="rId167" Type="http://schemas.openxmlformats.org/officeDocument/2006/relationships/hyperlink" Target="https://drive.google.com/file/d/1JQHOXCPRZs3Pb5paLuzDL2Qfs93EkXko/view?usp=sharing" TargetMode="External"/><Relationship Id="rId166" Type="http://schemas.openxmlformats.org/officeDocument/2006/relationships/hyperlink" Target="https://drive.google.com/file/d/1DdDVqpubyz1-t84fZpIYj2yWJn5rlCXo/view?usp=sharing" TargetMode="External"/><Relationship Id="rId51" Type="http://schemas.openxmlformats.org/officeDocument/2006/relationships/hyperlink" Target="https://drive.google.com/file/d/1xiZ9dh4aCUl2CBP7AKeE_N_LYEl_zfpb/view?usp=sharing" TargetMode="External"/><Relationship Id="rId50" Type="http://schemas.openxmlformats.org/officeDocument/2006/relationships/hyperlink" Target="https://drive.google.com/file/d/1uaPCSsYRhdc2nWA0yWV2vvCue7eVPEKf/view?usp=sharing" TargetMode="External"/><Relationship Id="rId53" Type="http://schemas.openxmlformats.org/officeDocument/2006/relationships/hyperlink" Target="https://drive.google.com/file/d/10wM1LPddqhmGoqnK5d_Oy2wpLXhoS1bM/view?usp=sharing" TargetMode="External"/><Relationship Id="rId52" Type="http://schemas.openxmlformats.org/officeDocument/2006/relationships/hyperlink" Target="https://drive.google.com/file/d/1_qMBPjQRFzS2RKpVSinWIcL7a9NHwx_e/view?usp=sharing" TargetMode="External"/><Relationship Id="rId55" Type="http://schemas.openxmlformats.org/officeDocument/2006/relationships/hyperlink" Target="https://drive.google.com/file/d/1Sj3HlJV-b9aCbUVJXUOnTEPwftFG6sMR/view?usp=sharing" TargetMode="External"/><Relationship Id="rId161" Type="http://schemas.openxmlformats.org/officeDocument/2006/relationships/hyperlink" Target="https://drive.google.com/file/d/1Jxb-NRaFI_YfEg7LSGTBRuhiguSXGsk9/view?usp=sharing" TargetMode="External"/><Relationship Id="rId54" Type="http://schemas.openxmlformats.org/officeDocument/2006/relationships/hyperlink" Target="https://drive.google.com/file/d/1tGktUum7xf_RAsYSRgLRB9CRpklRF1bP/view?usp=sharing" TargetMode="External"/><Relationship Id="rId160" Type="http://schemas.openxmlformats.org/officeDocument/2006/relationships/hyperlink" Target="https://drive.google.com/file/d/19S1ZNZfp83IunDw643ThusV58cSqTNU_/view?usp=sharing" TargetMode="External"/><Relationship Id="rId57" Type="http://schemas.openxmlformats.org/officeDocument/2006/relationships/hyperlink" Target="https://drive.google.com/file/d/182V8WY3T3AVcHMS2CRQTPiNGaY5Ihhdn/view?usp=sharing" TargetMode="External"/><Relationship Id="rId56" Type="http://schemas.openxmlformats.org/officeDocument/2006/relationships/hyperlink" Target="https://drive.google.com/file/d/15TjyDtemB_i1orlOpi7ASuS-aoJR3jr8/view?usp=sharing" TargetMode="External"/><Relationship Id="rId159" Type="http://schemas.openxmlformats.org/officeDocument/2006/relationships/hyperlink" Target="https://drive.google.com/file/d/1MSi9_0MbZUvl-hFqpQvB0iFi2gjvTWGl/view?usp=sharing" TargetMode="External"/><Relationship Id="rId59" Type="http://schemas.openxmlformats.org/officeDocument/2006/relationships/hyperlink" Target="https://drive.google.com/file/d/1U2IF22r_P2u7U_PT0ECISg96Glq2Jr_a/view?usp=sharing" TargetMode="External"/><Relationship Id="rId154" Type="http://schemas.openxmlformats.org/officeDocument/2006/relationships/hyperlink" Target="https://drive.google.com/file/d/1bmYVS8AtF31SgYhzxhe_ZeKuYmBZyFFv/view?usp=sharing" TargetMode="External"/><Relationship Id="rId58" Type="http://schemas.openxmlformats.org/officeDocument/2006/relationships/hyperlink" Target="https://drive.google.com/file/d/18bWe8-RQnyoamMjdVacHapo-POMBIYks/view?usp=sharing" TargetMode="External"/><Relationship Id="rId153" Type="http://schemas.openxmlformats.org/officeDocument/2006/relationships/hyperlink" Target="https://drive.google.com/file/d/15eIMPZD4MjD5wXNKiS43dGC9eJ2mHl-v/view?usp=sharing" TargetMode="External"/><Relationship Id="rId152" Type="http://schemas.openxmlformats.org/officeDocument/2006/relationships/hyperlink" Target="https://drive.google.com/file/d/1zMP49aGUkkV0fbGZxV9YqzEtD_v4-3s3/view?usp=sharing" TargetMode="External"/><Relationship Id="rId151" Type="http://schemas.openxmlformats.org/officeDocument/2006/relationships/hyperlink" Target="https://drive.google.com/file/d/17QVldGkKAVY_xaUGDHQD2F1gATstwJ83/view?usp=sharing" TargetMode="External"/><Relationship Id="rId158" Type="http://schemas.openxmlformats.org/officeDocument/2006/relationships/hyperlink" Target="https://drive.google.com/file/d/1G-PRZIJm6hYkhgm3xkx-pgImcl3Qe36h/view?usp=sharing" TargetMode="External"/><Relationship Id="rId157" Type="http://schemas.openxmlformats.org/officeDocument/2006/relationships/hyperlink" Target="https://drive.google.com/file/d/1ilJ29PVQD9pSRlo79cJeUPUG9gkRrk9Z/view?usp=sharing" TargetMode="External"/><Relationship Id="rId156" Type="http://schemas.openxmlformats.org/officeDocument/2006/relationships/hyperlink" Target="https://drive.google.com/file/d/1ZBNzlT4noKUNXfMw5mJAJP1qUSQs18Lg/view?usp=sharing" TargetMode="External"/><Relationship Id="rId155" Type="http://schemas.openxmlformats.org/officeDocument/2006/relationships/hyperlink" Target="https://drive.google.com/file/d/1qDs6t6Nj_X-XL-GS_SN0OgAp5INPzQoW/view?usp=sharing" TargetMode="External"/><Relationship Id="rId107" Type="http://schemas.openxmlformats.org/officeDocument/2006/relationships/hyperlink" Target="https://drive.google.com/file/d/1nTjI7nbmHZlceuF9Clggncvy_8RGtq2d/view?usp=sharing" TargetMode="External"/><Relationship Id="rId228" Type="http://schemas.openxmlformats.org/officeDocument/2006/relationships/hyperlink" Target="https://drive.google.com/file/d/1W_vWlAsKEfGaW7mlvS56ovb28UxM74qT/view?usp=sharing" TargetMode="External"/><Relationship Id="rId106" Type="http://schemas.openxmlformats.org/officeDocument/2006/relationships/hyperlink" Target="https://drive.google.com/file/d/1st4r-6AoeGjWCEH86BeuBM4QaRuKjCxf/view?usp=sharing" TargetMode="External"/><Relationship Id="rId227" Type="http://schemas.openxmlformats.org/officeDocument/2006/relationships/hyperlink" Target="https://drive.google.com/file/d/14VcUxoUqEBopd8gSpr5geMBtVx6nwS3E/view?usp=sharing" TargetMode="External"/><Relationship Id="rId105" Type="http://schemas.openxmlformats.org/officeDocument/2006/relationships/hyperlink" Target="https://drive.google.com/file/d/1Z6pZrmsi95zOSNT5FvirP86bMcsFAo-U/view?usp=sharing" TargetMode="External"/><Relationship Id="rId226" Type="http://schemas.openxmlformats.org/officeDocument/2006/relationships/hyperlink" Target="https://drive.google.com/file/d/1KD1yxMbNIJ67aW0FpstF0LbIBs173hJP/view?usp=sharing" TargetMode="External"/><Relationship Id="rId104" Type="http://schemas.openxmlformats.org/officeDocument/2006/relationships/hyperlink" Target="https://drive.google.com/file/d/1ZupSojBfnih-0idPFn1EiW2vYairhtHn/view?usp=sharing" TargetMode="External"/><Relationship Id="rId225" Type="http://schemas.openxmlformats.org/officeDocument/2006/relationships/hyperlink" Target="https://drive.google.com/file/d/14VcUxoUqEBopd8gSpr5geMBtVx6nwS3E/view?usp=sharing" TargetMode="External"/><Relationship Id="rId109" Type="http://schemas.openxmlformats.org/officeDocument/2006/relationships/hyperlink" Target="https://drive.google.com/file/d/1Ly7S8mSxKxXmQSuEhuXPGrWVsabp-hc8/view?usp=sharing" TargetMode="External"/><Relationship Id="rId108" Type="http://schemas.openxmlformats.org/officeDocument/2006/relationships/hyperlink" Target="https://drive.google.com/file/d/1SEffh_XeTLBUPvGL3sHvjhzyol6t6hpt/view?usp=sharing" TargetMode="External"/><Relationship Id="rId229" Type="http://schemas.openxmlformats.org/officeDocument/2006/relationships/hyperlink" Target="https://drive.google.com/file/d/1J-eDVM6hk1OXMSFLUOk8NRMN-6PdUKiN/view?usp=sharing" TargetMode="External"/><Relationship Id="rId220" Type="http://schemas.openxmlformats.org/officeDocument/2006/relationships/hyperlink" Target="https://drive.google.com/file/d/1ButPNqdWaGV3CDVgt1afTL0Yr7PZKUCU/view?usp=sharing" TargetMode="External"/><Relationship Id="rId103" Type="http://schemas.openxmlformats.org/officeDocument/2006/relationships/hyperlink" Target="https://drive.google.com/file/d/19nLixDJlrrzt_loQVqFcUEQSajUKQ7bV/view?usp=sharing" TargetMode="External"/><Relationship Id="rId224" Type="http://schemas.openxmlformats.org/officeDocument/2006/relationships/hyperlink" Target="https://drive.google.com/file/d/1usT1gXHupAnqmLgZscKu0K8TA-IA9vwI/view?usp=sharing" TargetMode="External"/><Relationship Id="rId102" Type="http://schemas.openxmlformats.org/officeDocument/2006/relationships/hyperlink" Target="https://drive.google.com/file/d/1yvsx2JTI3X-AcqDvPli0MBYyK267XPaz/view?usp=sharing" TargetMode="External"/><Relationship Id="rId223" Type="http://schemas.openxmlformats.org/officeDocument/2006/relationships/hyperlink" Target="https://drive.google.com/file/d/1B-ysBF5pVJ6tMruKXD8fz8pkdwqZzqeb/view?usp=sharing" TargetMode="External"/><Relationship Id="rId101" Type="http://schemas.openxmlformats.org/officeDocument/2006/relationships/hyperlink" Target="https://drive.google.com/file/d/1fSeRGpRnkhxykD5P5QmHxxQH8seyu7tc/view?usp=sharing" TargetMode="External"/><Relationship Id="rId222" Type="http://schemas.openxmlformats.org/officeDocument/2006/relationships/hyperlink" Target="https://drive.google.com/file/d/16Lkhyj5B_mPXJgDcMOueqrOhY4TLHE5G/view?usp=sharing" TargetMode="External"/><Relationship Id="rId100" Type="http://schemas.openxmlformats.org/officeDocument/2006/relationships/hyperlink" Target="https://drive.google.com/file/d/1C3dbjClmGd9Hs6DfBrKUpWl39ZWXQztw/view?usp=sharing" TargetMode="External"/><Relationship Id="rId221" Type="http://schemas.openxmlformats.org/officeDocument/2006/relationships/hyperlink" Target="https://drive.google.com/file/d/1AahFKh_yqfvTEBH8dppj18-62FVvviWa/view?usp=sharing" TargetMode="External"/><Relationship Id="rId217" Type="http://schemas.openxmlformats.org/officeDocument/2006/relationships/hyperlink" Target="https://drive.google.com/file/d/1DkPKxAsVcdvWyRu8gPDGy8iToeyl8cBX/view?usp=sharing" TargetMode="External"/><Relationship Id="rId216" Type="http://schemas.openxmlformats.org/officeDocument/2006/relationships/hyperlink" Target="https://drive.google.com/file/d/1GLU-o6YfLhtTAvIAC_SllQroNPBVgx3f/view?usp=sharing" TargetMode="External"/><Relationship Id="rId215" Type="http://schemas.openxmlformats.org/officeDocument/2006/relationships/hyperlink" Target="https://drive.google.com/file/d/1nYHGpLSh8rXcnxYahST-VlVBS0pg--ZO/view?usp=sharing" TargetMode="External"/><Relationship Id="rId214" Type="http://schemas.openxmlformats.org/officeDocument/2006/relationships/hyperlink" Target="https://drive.google.com/file/d/1RUcHgvJ7tQMCk8t-1Mv2Mq8KuTd02wpL/view?usp=sharing" TargetMode="External"/><Relationship Id="rId219" Type="http://schemas.openxmlformats.org/officeDocument/2006/relationships/hyperlink" Target="https://drive.google.com/file/d/190ZdgWrXAAeA6CUrXzC8AjSeffYUjqRH/view?usp=sharing" TargetMode="External"/><Relationship Id="rId218" Type="http://schemas.openxmlformats.org/officeDocument/2006/relationships/hyperlink" Target="https://drive.google.com/file/d/162iDZ4EjYu7VCj4WJkempV2umhNfkEBa/view?usp=sharing" TargetMode="External"/><Relationship Id="rId213" Type="http://schemas.openxmlformats.org/officeDocument/2006/relationships/hyperlink" Target="https://drive.google.com/file/d/10-f0FIPH5KupGy2d4dabJ_p4d0Hskx6m/view?usp=sharing" TargetMode="External"/><Relationship Id="rId212" Type="http://schemas.openxmlformats.org/officeDocument/2006/relationships/hyperlink" Target="https://drive.google.com/file/d/1PP58q4jcs8_szh-nbR-fFJopfE1dsjf4/view?usp=sharing" TargetMode="External"/><Relationship Id="rId211" Type="http://schemas.openxmlformats.org/officeDocument/2006/relationships/hyperlink" Target="https://drive.google.com/file/d/1V8Xuq-p1fn6B5LV4iucPyAexiZX2cwXl/view?usp=sharing" TargetMode="External"/><Relationship Id="rId210" Type="http://schemas.openxmlformats.org/officeDocument/2006/relationships/hyperlink" Target="https://drive.google.com/file/d/1Wacz1r6EwAZqhsMlKmBLkG2byKKrIROG/view?usp=sharing" TargetMode="External"/><Relationship Id="rId129" Type="http://schemas.openxmlformats.org/officeDocument/2006/relationships/hyperlink" Target="https://drive.google.com/file/d/1Sr26_pRsbd01hIa8I5i8rgjyfatYlf1J/view?usp=sharing" TargetMode="External"/><Relationship Id="rId128" Type="http://schemas.openxmlformats.org/officeDocument/2006/relationships/hyperlink" Target="https://drive.google.com/file/d/1fGOyGZRFA-WHaeCzcZmF_NL859FQ95Pq/view?usp=sharing" TargetMode="External"/><Relationship Id="rId127" Type="http://schemas.openxmlformats.org/officeDocument/2006/relationships/hyperlink" Target="https://drive.google.com/file/d/1uvl9ZXVJGmR-sWeq39T81GAFkuLsALoa/view?usp=sharing" TargetMode="External"/><Relationship Id="rId126" Type="http://schemas.openxmlformats.org/officeDocument/2006/relationships/hyperlink" Target="https://drive.google.com/file/d/1xQ5M4Z7suqUxqIi7a57OOewtAjU91Dww/view?usp=sharing" TargetMode="External"/><Relationship Id="rId121" Type="http://schemas.openxmlformats.org/officeDocument/2006/relationships/hyperlink" Target="https://drive.google.com/file/d/1InOFQqKPM4hTeBxu8kdY_TPKWDTwU2d-/view?usp=sharing" TargetMode="External"/><Relationship Id="rId120" Type="http://schemas.openxmlformats.org/officeDocument/2006/relationships/hyperlink" Target="https://drive.google.com/file/d/1auP0nOQ9oiY5u6YwpHXz3P68Y_v6PXQQ/view?usp=sharing" TargetMode="External"/><Relationship Id="rId125" Type="http://schemas.openxmlformats.org/officeDocument/2006/relationships/hyperlink" Target="https://drive.google.com/file/d/1zd_HlUK48k-I77ulzeS31DLUAyebviMU/view?usp=sharing" TargetMode="External"/><Relationship Id="rId124" Type="http://schemas.openxmlformats.org/officeDocument/2006/relationships/hyperlink" Target="https://drive.google.com/file/d/1x9Y51JiQ5XxfiIA7NVZY7x1fEWX-6iEY/view?usp=sharing" TargetMode="External"/><Relationship Id="rId123" Type="http://schemas.openxmlformats.org/officeDocument/2006/relationships/hyperlink" Target="https://drive.google.com/file/d/1P9BH5-bV0srnOeIztUP_ZZhL6str59-c/view?usp=sharing" TargetMode="External"/><Relationship Id="rId122" Type="http://schemas.openxmlformats.org/officeDocument/2006/relationships/hyperlink" Target="https://drive.google.com/file/d/1vGyTx4vCbn2WoHzaw0irwDneg43zGRk0/view?usp=sharing" TargetMode="External"/><Relationship Id="rId95" Type="http://schemas.openxmlformats.org/officeDocument/2006/relationships/hyperlink" Target="https://drive.google.com/file/d/1sUIK3vQDPz9XjF7BASKxDep9Xsir8Lh8/view?usp=sharing" TargetMode="External"/><Relationship Id="rId94" Type="http://schemas.openxmlformats.org/officeDocument/2006/relationships/hyperlink" Target="https://drive.google.com/file/d/1ZICWSINs6tPILChzNd2lBmdJTWqNVE80/view?usp=sharing" TargetMode="External"/><Relationship Id="rId97" Type="http://schemas.openxmlformats.org/officeDocument/2006/relationships/hyperlink" Target="https://drive.google.com/file/d/1s_JfKYOasvs-_yN1_eK9lOkr_XZ006QY/view?usp=sharing" TargetMode="External"/><Relationship Id="rId96" Type="http://schemas.openxmlformats.org/officeDocument/2006/relationships/hyperlink" Target="https://drive.google.com/file/d/11nxA3oRSl7V5iwSooHc2-EvXU9UIVqym/view?usp=sharing" TargetMode="External"/><Relationship Id="rId99" Type="http://schemas.openxmlformats.org/officeDocument/2006/relationships/hyperlink" Target="https://drive.google.com/file/d/1UTsC0LUXyF7xSKBx67X4XytOorPEe2uq/view?usp=sharing" TargetMode="External"/><Relationship Id="rId98" Type="http://schemas.openxmlformats.org/officeDocument/2006/relationships/hyperlink" Target="https://drive.google.com/file/d/1UJ1d4Npm--M0L0AU6-JzMKFc2GwC_5EP/view?usp=sharing" TargetMode="External"/><Relationship Id="rId91" Type="http://schemas.openxmlformats.org/officeDocument/2006/relationships/hyperlink" Target="https://drive.google.com/file/d/1Z_Dgln9fQwyWZcpEbmaH1PdH7gCk2pbR/view?usp=sharing" TargetMode="External"/><Relationship Id="rId90" Type="http://schemas.openxmlformats.org/officeDocument/2006/relationships/hyperlink" Target="https://drive.google.com/file/d/1n1i9CAGDPb1otbmJ6648uaEUrMzNBucW/view?usp=sharing" TargetMode="External"/><Relationship Id="rId93" Type="http://schemas.openxmlformats.org/officeDocument/2006/relationships/hyperlink" Target="https://drive.google.com/file/d/1cRx56Rb6_dKa7RGdVcPr33-f4Xdpt1B4/view?usp=sharing" TargetMode="External"/><Relationship Id="rId92" Type="http://schemas.openxmlformats.org/officeDocument/2006/relationships/hyperlink" Target="https://drive.google.com/file/d/1b-ZdXBEHsCNvviwTLFTX24Z2oH481h9t/view?usp=sharing" TargetMode="External"/><Relationship Id="rId118" Type="http://schemas.openxmlformats.org/officeDocument/2006/relationships/hyperlink" Target="https://drive.google.com/file/d/1cCl6AGNz2KNV_T2OSJaEOwREGJIH1zfH/view?usp=sharing" TargetMode="External"/><Relationship Id="rId117" Type="http://schemas.openxmlformats.org/officeDocument/2006/relationships/hyperlink" Target="https://drive.google.com/file/d/1KQUR0Cg0_hWiLAKb52dIz603p7xdxX0z/view?usp=sharing" TargetMode="External"/><Relationship Id="rId116" Type="http://schemas.openxmlformats.org/officeDocument/2006/relationships/hyperlink" Target="https://drive.google.com/file/d/1jfgYcvuSKOmY_hFCU_Z5r5ugD-QGQflA/view?usp=sharing" TargetMode="External"/><Relationship Id="rId115" Type="http://schemas.openxmlformats.org/officeDocument/2006/relationships/hyperlink" Target="https://drive.google.com/file/d/1A81qB56CX1e5KhIpIS1DXly2JTzPiCL2/view?usp=sharing" TargetMode="External"/><Relationship Id="rId119" Type="http://schemas.openxmlformats.org/officeDocument/2006/relationships/hyperlink" Target="https://drive.google.com/file/d/1rxVYNchGvtPCP616SCw5jZ_mMIIW02rB/view?usp=sharing" TargetMode="External"/><Relationship Id="rId110" Type="http://schemas.openxmlformats.org/officeDocument/2006/relationships/hyperlink" Target="https://drive.google.com/file/d/1pesYvQrOsGiL9RwxqRRoWs2rEM4hWTnp/view?usp=sharing" TargetMode="External"/><Relationship Id="rId231" Type="http://schemas.openxmlformats.org/officeDocument/2006/relationships/hyperlink" Target="https://drive.google.com/file/d/1nWJlYg6CGPYXHxhH2B9URDLHjszN_Dxg/view?usp=sharing" TargetMode="External"/><Relationship Id="rId230" Type="http://schemas.openxmlformats.org/officeDocument/2006/relationships/hyperlink" Target="https://drive.google.com/file/d/18beW0Zew312aAoCcWHim-gCFnDqPLX-p/view?usp=sharing" TargetMode="External"/><Relationship Id="rId114" Type="http://schemas.openxmlformats.org/officeDocument/2006/relationships/hyperlink" Target="https://drive.google.com/file/d/16qACv2pMzVZNUJRQ4HA_E3MMc2Cy1kx9/view?usp=sharing" TargetMode="External"/><Relationship Id="rId113" Type="http://schemas.openxmlformats.org/officeDocument/2006/relationships/hyperlink" Target="https://drive.google.com/file/d/1z6aVrwv5x2aCljwrYO71IvdlRoCE6yul/view?usp=sharing" TargetMode="External"/><Relationship Id="rId234" Type="http://schemas.openxmlformats.org/officeDocument/2006/relationships/vmlDrawing" Target="../drawings/vmlDrawing1.vml"/><Relationship Id="rId112" Type="http://schemas.openxmlformats.org/officeDocument/2006/relationships/hyperlink" Target="https://drive.google.com/file/d/1q07UJWICIcRKSu9PUUo325Ep2mn4Msp0/view?usp=sharing" TargetMode="External"/><Relationship Id="rId233" Type="http://schemas.openxmlformats.org/officeDocument/2006/relationships/drawing" Target="../drawings/drawing2.xml"/><Relationship Id="rId111" Type="http://schemas.openxmlformats.org/officeDocument/2006/relationships/hyperlink" Target="https://drive.google.com/file/d/1JZhBXHFCFdncEAzj6DrGiK25q7zzi7yA/view?usp=sharing" TargetMode="External"/><Relationship Id="rId232" Type="http://schemas.openxmlformats.org/officeDocument/2006/relationships/hyperlink" Target="https://drive.google.com/file/d/1qgWZfJ_ztKlb3zP_xhTA9sVw1BLrPMW5/view?usp=sharing" TargetMode="External"/><Relationship Id="rId206" Type="http://schemas.openxmlformats.org/officeDocument/2006/relationships/hyperlink" Target="https://drive.google.com/file/d/1ot_CyDenfl2wVhRiTal8gfNgOcp96nnP/view?usp=sharing" TargetMode="External"/><Relationship Id="rId205" Type="http://schemas.openxmlformats.org/officeDocument/2006/relationships/hyperlink" Target="https://drive.google.com/file/d/1vP2k51YMveS6X_tJYcZ3ncDCegSmUkXn/view?usp=sharing" TargetMode="External"/><Relationship Id="rId204" Type="http://schemas.openxmlformats.org/officeDocument/2006/relationships/hyperlink" Target="https://drive.google.com/file/d/1oCeFKlaYa1gEqIk8fi8mpbqL3aGLSE0_/view?usp=sharing" TargetMode="External"/><Relationship Id="rId203" Type="http://schemas.openxmlformats.org/officeDocument/2006/relationships/hyperlink" Target="https://drive.google.com/file/d/1piFvTL4kLjKzA_9Poq8jbTT1qNb222oq/view?usp=sharing" TargetMode="External"/><Relationship Id="rId209" Type="http://schemas.openxmlformats.org/officeDocument/2006/relationships/hyperlink" Target="https://drive.google.com/file/d/1EvWMQ0gCuu_5MoiZadWFgw5pGtz4Xmgc/view?usp=sharing" TargetMode="External"/><Relationship Id="rId208" Type="http://schemas.openxmlformats.org/officeDocument/2006/relationships/hyperlink" Target="https://drive.google.com/file/d/12nqkd8Y9UKeQbiZYjvaxvl6wbs3MKSye/view?usp=sharing" TargetMode="External"/><Relationship Id="rId207" Type="http://schemas.openxmlformats.org/officeDocument/2006/relationships/hyperlink" Target="https://drive.google.com/file/d/1yUpYcYHiwvUI9Jvlk1VQhICRAUSv7DIN/view?usp=sharing" TargetMode="External"/><Relationship Id="rId202" Type="http://schemas.openxmlformats.org/officeDocument/2006/relationships/hyperlink" Target="https://drive.google.com/file/d/1fGoo7dogh1QBcH073NytVIlmn1MESYTz/view?usp=sharing" TargetMode="External"/><Relationship Id="rId201" Type="http://schemas.openxmlformats.org/officeDocument/2006/relationships/hyperlink" Target="https://drive.google.com/file/d/1gXM5RlIKsAMObf_Hfm4i_Vq5yiJAVGD_/view?usp=sharing" TargetMode="External"/><Relationship Id="rId200" Type="http://schemas.openxmlformats.org/officeDocument/2006/relationships/hyperlink" Target="https://drive.google.com/file/d/1pMRJmEzYeefv9zN67uKbZEJemsD3O53U/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U7rgh_kDpDlOpztyYB_o1vdcfpqud98E/view?usp=sharin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1" Type="http://schemas.openxmlformats.org/officeDocument/2006/relationships/hyperlink" Target="https://drive.google.com/file/d/1o57H4g_-cM9JeHigxm3FoAZIVOnLBKc1/view?usp=sharing" TargetMode="External"/><Relationship Id="rId30" Type="http://schemas.openxmlformats.org/officeDocument/2006/relationships/hyperlink" Target="https://drive.google.com/file/d/1o57H4g_-cM9JeHigxm3FoAZIVOnLBKc1/view?usp=sharing" TargetMode="External"/><Relationship Id="rId33" Type="http://schemas.openxmlformats.org/officeDocument/2006/relationships/hyperlink" Target="https://drive.google.com/file/d/1o57H4g_-cM9JeHigxm3FoAZIVOnLBKc1/view?usp=sharing" TargetMode="External"/><Relationship Id="rId32" Type="http://schemas.openxmlformats.org/officeDocument/2006/relationships/hyperlink" Target="https://drive.google.com/file/d/1o57H4g_-cM9JeHigxm3FoAZIVOnLBKc1/view?usp=sharing" TargetMode="External"/><Relationship Id="rId35" Type="http://schemas.openxmlformats.org/officeDocument/2006/relationships/hyperlink" Target="https://drive.google.com/file/d/1o57H4g_-cM9JeHigxm3FoAZIVOnLBKc1/view?usp=sharing" TargetMode="External"/><Relationship Id="rId34" Type="http://schemas.openxmlformats.org/officeDocument/2006/relationships/hyperlink" Target="https://drive.google.com/file/d/1o57H4g_-cM9JeHigxm3FoAZIVOnLBKc1/view?usp=sharing" TargetMode="External"/><Relationship Id="rId37" Type="http://schemas.openxmlformats.org/officeDocument/2006/relationships/hyperlink" Target="https://drive.google.com/file/d/1turI_f5JutgUhnP5Iy1CMsbKpLAkxQur/view?usp=sharing" TargetMode="External"/><Relationship Id="rId36" Type="http://schemas.openxmlformats.org/officeDocument/2006/relationships/hyperlink" Target="https://drive.google.com/file/d/1IOQqMTB_gplAkRAfowEeqMalqobHTWOW/view?usp=sharing" TargetMode="External"/><Relationship Id="rId39" Type="http://schemas.openxmlformats.org/officeDocument/2006/relationships/drawing" Target="../drawings/drawing5.xml"/><Relationship Id="rId38" Type="http://schemas.openxmlformats.org/officeDocument/2006/relationships/hyperlink" Target="https://drive.google.com/file/d/1IOQqMTB_gplAkRAfowEeqMalqobHTWOW/view?usp=sharing" TargetMode="External"/><Relationship Id="rId20" Type="http://schemas.openxmlformats.org/officeDocument/2006/relationships/hyperlink" Target="https://drive.google.com/file/d/1ORYFx3WkCBYNJFc-EOizFFezF0rknIVP/view?usp=sharing" TargetMode="External"/><Relationship Id="rId22" Type="http://schemas.openxmlformats.org/officeDocument/2006/relationships/hyperlink" Target="https://drive.google.com/file/d/1ORYFx3WkCBYNJFc-EOizFFezF0rknIVP/view?usp=sharing" TargetMode="External"/><Relationship Id="rId21" Type="http://schemas.openxmlformats.org/officeDocument/2006/relationships/hyperlink" Target="https://drive.google.com/file/d/1ORYFx3WkCBYNJFc-EOizFFezF0rknIVP/view?usp=sharing" TargetMode="External"/><Relationship Id="rId24" Type="http://schemas.openxmlformats.org/officeDocument/2006/relationships/hyperlink" Target="https://drive.google.com/file/d/1ORYFx3WkCBYNJFc-EOizFFezF0rknIVP/view?usp=sharing" TargetMode="External"/><Relationship Id="rId23" Type="http://schemas.openxmlformats.org/officeDocument/2006/relationships/hyperlink" Target="https://drive.google.com/file/d/1ORYFx3WkCBYNJFc-EOizFFezF0rknIVP/view?usp=sharing" TargetMode="External"/><Relationship Id="rId26" Type="http://schemas.openxmlformats.org/officeDocument/2006/relationships/hyperlink" Target="https://drive.google.com/file/d/1ORYFx3WkCBYNJFc-EOizFFezF0rknIVP/view?usp=sharing" TargetMode="External"/><Relationship Id="rId25" Type="http://schemas.openxmlformats.org/officeDocument/2006/relationships/hyperlink" Target="https://drive.google.com/file/d/1ORYFx3WkCBYNJFc-EOizFFezF0rknIVP/view?usp=sharing" TargetMode="External"/><Relationship Id="rId28" Type="http://schemas.openxmlformats.org/officeDocument/2006/relationships/hyperlink" Target="https://drive.google.com/file/d/1ORYFx3WkCBYNJFc-EOizFFezF0rknIVP/view?usp=sharing" TargetMode="External"/><Relationship Id="rId27" Type="http://schemas.openxmlformats.org/officeDocument/2006/relationships/hyperlink" Target="https://drive.google.com/file/d/1ORYFx3WkCBYNJFc-EOizFFezF0rknIVP/view?usp=sharing" TargetMode="External"/><Relationship Id="rId29" Type="http://schemas.openxmlformats.org/officeDocument/2006/relationships/hyperlink" Target="https://drive.google.com/file/d/1ORYFx3WkCBYNJFc-EOizFFezF0rknIVP/view?usp=sharing" TargetMode="External"/><Relationship Id="rId11" Type="http://schemas.openxmlformats.org/officeDocument/2006/relationships/hyperlink" Target="https://drive.google.com/file/d/1e7fEuP6LIBog64wYH9Q3bG7Su8DKYa_n/view?usp=sharing" TargetMode="External"/><Relationship Id="rId10" Type="http://schemas.openxmlformats.org/officeDocument/2006/relationships/hyperlink" Target="https://drive.google.com/file/d/1e7fEuP6LIBog64wYH9Q3bG7Su8DKYa_n/view?usp=sharing" TargetMode="External"/><Relationship Id="rId13" Type="http://schemas.openxmlformats.org/officeDocument/2006/relationships/hyperlink" Target="https://drive.google.com/file/d/1e7fEuP6LIBog64wYH9Q3bG7Su8DKYa_n/view?usp=sharing" TargetMode="External"/><Relationship Id="rId12" Type="http://schemas.openxmlformats.org/officeDocument/2006/relationships/hyperlink" Target="https://drive.google.com/file/d/1e7fEuP6LIBog64wYH9Q3bG7Su8DKYa_n/view?usp=sharing" TargetMode="External"/><Relationship Id="rId15" Type="http://schemas.openxmlformats.org/officeDocument/2006/relationships/hyperlink" Target="https://drive.google.com/file/d/1ORYFx3WkCBYNJFc-EOizFFezF0rknIVP/view?usp=sharing" TargetMode="External"/><Relationship Id="rId14" Type="http://schemas.openxmlformats.org/officeDocument/2006/relationships/hyperlink" Target="https://drive.google.com/file/d/1e7fEuP6LIBog64wYH9Q3bG7Su8DKYa_n/view?usp=sharing" TargetMode="External"/><Relationship Id="rId17" Type="http://schemas.openxmlformats.org/officeDocument/2006/relationships/hyperlink" Target="https://drive.google.com/file/d/1ORYFx3WkCBYNJFc-EOizFFezF0rknIVP/view?usp=sharing" TargetMode="External"/><Relationship Id="rId16" Type="http://schemas.openxmlformats.org/officeDocument/2006/relationships/hyperlink" Target="https://drive.google.com/file/d/1ORYFx3WkCBYNJFc-EOizFFezF0rknIVP/view?usp=sharing" TargetMode="External"/><Relationship Id="rId19" Type="http://schemas.openxmlformats.org/officeDocument/2006/relationships/hyperlink" Target="https://drive.google.com/file/d/1e7fEuP6LIBog64wYH9Q3bG7Su8DKYa_n/view?usp=sharing" TargetMode="External"/><Relationship Id="rId18" Type="http://schemas.openxmlformats.org/officeDocument/2006/relationships/hyperlink" Target="https://drive.google.com/file/d/1e7fEuP6LIBog64wYH9Q3bG7Su8DKYa_n/view?usp=sharing" TargetMode="External"/><Relationship Id="rId1" Type="http://schemas.openxmlformats.org/officeDocument/2006/relationships/hyperlink" Target="https://drive.google.com/file/d/1qvsmVXtjrU57VAwimdwi59VgNCnBODJk/view?usp=sharing" TargetMode="External"/><Relationship Id="rId2" Type="http://schemas.openxmlformats.org/officeDocument/2006/relationships/hyperlink" Target="https://drive.google.com/file/d/1NM5El6Spo9Y-eZzg7doYD2YSKn578dqP/view?usp=sharing" TargetMode="External"/><Relationship Id="rId3" Type="http://schemas.openxmlformats.org/officeDocument/2006/relationships/hyperlink" Target="https://drive.google.com/file/d/19t25jdNfC2GdXLinE3hWvqhcOKPNsFoN/view?usp=sharing" TargetMode="External"/><Relationship Id="rId4" Type="http://schemas.openxmlformats.org/officeDocument/2006/relationships/hyperlink" Target="https://drive.google.com/file/d/1e7fEuP6LIBog64wYH9Q3bG7Su8DKYa_n/view?usp=sharing" TargetMode="External"/><Relationship Id="rId9" Type="http://schemas.openxmlformats.org/officeDocument/2006/relationships/hyperlink" Target="https://drive.google.com/file/d/1e7fEuP6LIBog64wYH9Q3bG7Su8DKYa_n/view?usp=sharing" TargetMode="External"/><Relationship Id="rId5" Type="http://schemas.openxmlformats.org/officeDocument/2006/relationships/hyperlink" Target="https://drive.google.com/file/d/1e7fEuP6LIBog64wYH9Q3bG7Su8DKYa_n/view?usp=sharing" TargetMode="External"/><Relationship Id="rId6" Type="http://schemas.openxmlformats.org/officeDocument/2006/relationships/hyperlink" Target="https://drive.google.com/file/d/1e7fEuP6LIBog64wYH9Q3bG7Su8DKYa_n/view?usp=sharing" TargetMode="External"/><Relationship Id="rId7" Type="http://schemas.openxmlformats.org/officeDocument/2006/relationships/hyperlink" Target="https://drive.google.com/file/d/1e7fEuP6LIBog64wYH9Q3bG7Su8DKYa_n/view?usp=sharing" TargetMode="External"/><Relationship Id="rId8" Type="http://schemas.openxmlformats.org/officeDocument/2006/relationships/hyperlink" Target="https://drive.google.com/file/d/1e7fEuP6LIBog64wYH9Q3bG7Su8DKYa_n/view?usp=sharin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drive.google.com/file/d/1SQDUOPtnT2xAfJEty7negclHkvRR8csU/view?usp=sharing" TargetMode="External"/><Relationship Id="rId42" Type="http://schemas.openxmlformats.org/officeDocument/2006/relationships/hyperlink" Target="https://drive.google.com/file/d/1dJaz5HJtUR8szCQO1okM6Ka5b2Sm09Oq/view?usp=sharing" TargetMode="External"/><Relationship Id="rId41" Type="http://schemas.openxmlformats.org/officeDocument/2006/relationships/hyperlink" Target="https://drive.google.com/file/d/1JpWcxDn2Is1BpvC7_bBQpY51SYVIhjgK/view?usp=sharing" TargetMode="External"/><Relationship Id="rId44" Type="http://schemas.openxmlformats.org/officeDocument/2006/relationships/hyperlink" Target="https://drive.google.com/file/d/1_s2Hn0X0EfRADwNrqSGN4BfSU9BJ_Zeo/view?usp=sharing" TargetMode="External"/><Relationship Id="rId43" Type="http://schemas.openxmlformats.org/officeDocument/2006/relationships/hyperlink" Target="https://drive.google.com/file/d/1TKO4q8pdU12bxzT6lcjWDYQ3C9_k6Z2K/view?usp=sharing" TargetMode="External"/><Relationship Id="rId46" Type="http://schemas.openxmlformats.org/officeDocument/2006/relationships/hyperlink" Target="https://drive.google.com/file/d/14LQ39XkHhbLiFg8eMiaT9_wWfQySdeWL/view?usp=sharing" TargetMode="External"/><Relationship Id="rId45" Type="http://schemas.openxmlformats.org/officeDocument/2006/relationships/hyperlink" Target="https://drive.google.com/file/d/1xvtApsfUOYbiO7V2zKJ2FDouqdiHK0c3/view?usp=sharing" TargetMode="External"/><Relationship Id="rId48" Type="http://schemas.openxmlformats.org/officeDocument/2006/relationships/hyperlink" Target="https://drive.google.com/file/d/1eeya1yK6ts9oL_Jo3zPqfkO84AnFuYLz/view?usp=sharing" TargetMode="External"/><Relationship Id="rId47" Type="http://schemas.openxmlformats.org/officeDocument/2006/relationships/hyperlink" Target="https://drive.google.com/file/d/1pvvwhcCz876qGwtFcGvAdQQMHGD8wgxI/view?usp=sharing" TargetMode="External"/><Relationship Id="rId49" Type="http://schemas.openxmlformats.org/officeDocument/2006/relationships/hyperlink" Target="https://drive.google.com/file/d/1QsQDPxsafX7h4u6YY-qO_3RvvkizyuOu/view?usp=sharing" TargetMode="External"/><Relationship Id="rId31" Type="http://schemas.openxmlformats.org/officeDocument/2006/relationships/hyperlink" Target="https://drive.google.com/file/d/1KJ665-zZeSt6ptLTPI8A15Tu7x-2p6GG/view?usp=sharing" TargetMode="External"/><Relationship Id="rId30" Type="http://schemas.openxmlformats.org/officeDocument/2006/relationships/hyperlink" Target="https://drive.google.com/file/d/1R5DUz1jTT5v2iziZ-MvvSjBVkzYLVe0H/view?usp=sharing" TargetMode="External"/><Relationship Id="rId33" Type="http://schemas.openxmlformats.org/officeDocument/2006/relationships/hyperlink" Target="https://drive.google.com/file/d/1TUBePd7apx8vIxGEDt9eNdzpGulNCtlD/view?usp=sharing" TargetMode="External"/><Relationship Id="rId32" Type="http://schemas.openxmlformats.org/officeDocument/2006/relationships/hyperlink" Target="https://drive.google.com/file/d/1QEAdSkblTecgRxeNoWLLc54IqRHfKUE_/view?usp=sharing" TargetMode="External"/><Relationship Id="rId35" Type="http://schemas.openxmlformats.org/officeDocument/2006/relationships/hyperlink" Target="https://drive.google.com/file/d/17VnXoAYhNESrXdwYA1n95w-BovTT45Mo/view?usp=sharing" TargetMode="External"/><Relationship Id="rId34" Type="http://schemas.openxmlformats.org/officeDocument/2006/relationships/hyperlink" Target="https://drive.google.com/file/d/173LLyn5QC-yG6vgEYAGrKIbDAYZqBVL7/view?usp=sharing" TargetMode="External"/><Relationship Id="rId37" Type="http://schemas.openxmlformats.org/officeDocument/2006/relationships/hyperlink" Target="https://drive.google.com/file/d/1ZgwEhfFWt35QSgDNUoRO4Lv_OUq2zEKo/view?usp=sharing" TargetMode="External"/><Relationship Id="rId36" Type="http://schemas.openxmlformats.org/officeDocument/2006/relationships/hyperlink" Target="https://drive.google.com/file/d/18p-CVtjEAEAvBRstTscSq45LcrFVYG6H/view?usp=sharing" TargetMode="External"/><Relationship Id="rId39" Type="http://schemas.openxmlformats.org/officeDocument/2006/relationships/hyperlink" Target="https://drive.google.com/file/d/1SrBKWTwtBtfAEyffGhannYiImnD5-d60/view?usp=sharing" TargetMode="External"/><Relationship Id="rId38" Type="http://schemas.openxmlformats.org/officeDocument/2006/relationships/hyperlink" Target="https://drive.google.com/file/d/1GqLgCqg436JT2AB45_raf6kvzfh3ZeG3/view?usp=sharing" TargetMode="External"/><Relationship Id="rId20" Type="http://schemas.openxmlformats.org/officeDocument/2006/relationships/hyperlink" Target="https://drive.google.com/file/d/1LiquEKII-VwMr21fIQMZo2yRQsBN8ecA/view?usp=sharing" TargetMode="External"/><Relationship Id="rId22" Type="http://schemas.openxmlformats.org/officeDocument/2006/relationships/hyperlink" Target="https://drive.google.com/file/d/1NGbFxN0DnxTYM8z7GHJ9Wwra4CnJVj-A/view?usp=sharing" TargetMode="External"/><Relationship Id="rId21" Type="http://schemas.openxmlformats.org/officeDocument/2006/relationships/hyperlink" Target="https://drive.google.com/file/d/1HXeWL5Vj6Ds_g7_Psu3-AFS279sDr_Ry/view?usp=sharing" TargetMode="External"/><Relationship Id="rId24" Type="http://schemas.openxmlformats.org/officeDocument/2006/relationships/hyperlink" Target="https://drive.google.com/file/d/1XrViBnvCAlktyOEyGIMHq6wUVWkFewmL/view?usp=sharing" TargetMode="External"/><Relationship Id="rId23" Type="http://schemas.openxmlformats.org/officeDocument/2006/relationships/hyperlink" Target="https://drive.google.com/file/d/1zL8tHfR7yVTynquxsqp5Uch9UAoKQbLj/view?usp=sharing" TargetMode="External"/><Relationship Id="rId26" Type="http://schemas.openxmlformats.org/officeDocument/2006/relationships/hyperlink" Target="https://drive.google.com/file/d/1wVl4t2rejpAS4NyZIDq67FbA88IIHifY/view?usp=sharing" TargetMode="External"/><Relationship Id="rId25" Type="http://schemas.openxmlformats.org/officeDocument/2006/relationships/hyperlink" Target="https://drive.google.com/file/d/1N5iHu-SrbjdZsbIR43RXxzoXmrLBq8wV/view?usp=sharing" TargetMode="External"/><Relationship Id="rId28" Type="http://schemas.openxmlformats.org/officeDocument/2006/relationships/hyperlink" Target="https://drive.google.com/file/d/1OcLy6UmneTRib77dpSwc6a5KLQwblBfO/view?usp=sharing" TargetMode="External"/><Relationship Id="rId27" Type="http://schemas.openxmlformats.org/officeDocument/2006/relationships/hyperlink" Target="https://drive.google.com/file/d/1rlwEaUV0u3RJeU9NmMQ2Inoy81OdmhfY/view?usp=sharing" TargetMode="External"/><Relationship Id="rId29" Type="http://schemas.openxmlformats.org/officeDocument/2006/relationships/hyperlink" Target="https://drive.google.com/file/d/1ndNtj1lBwJNOeBMB8sAUN3kDEt646fj9/view?usp=sharing" TargetMode="External"/><Relationship Id="rId11" Type="http://schemas.openxmlformats.org/officeDocument/2006/relationships/hyperlink" Target="https://drive.google.com/file/d/1FRXBSowc44neg42OOlf0y64J7hFeKUrO/view?usp=sharing" TargetMode="External"/><Relationship Id="rId10" Type="http://schemas.openxmlformats.org/officeDocument/2006/relationships/hyperlink" Target="https://drive.google.com/file/d/1Hc155TYDKpguTK-2CLmzu67AMglDBMol/view?usp=sharing" TargetMode="External"/><Relationship Id="rId13" Type="http://schemas.openxmlformats.org/officeDocument/2006/relationships/hyperlink" Target="https://drive.google.com/file/d/1pAf3PfVwCGXDUS_Ce0i2R7n7ENuVTgUf/view?usp=sharing" TargetMode="External"/><Relationship Id="rId12" Type="http://schemas.openxmlformats.org/officeDocument/2006/relationships/hyperlink" Target="https://drive.google.com/file/d/1hwvuK-lewUYcgTm83OjY1N0zRmNFq9Tn/view?usp=sharing" TargetMode="External"/><Relationship Id="rId15" Type="http://schemas.openxmlformats.org/officeDocument/2006/relationships/hyperlink" Target="https://drive.google.com/file/d/1jJSBte9800PqMU8n8rA0TOSobm_pCiV2/view?usp=sharing" TargetMode="External"/><Relationship Id="rId14" Type="http://schemas.openxmlformats.org/officeDocument/2006/relationships/hyperlink" Target="https://drive.google.com/file/d/1LID-BYBrOD1K9dcV4dDB_XKNIrrEG0U-/view?usp=sharing" TargetMode="External"/><Relationship Id="rId17" Type="http://schemas.openxmlformats.org/officeDocument/2006/relationships/hyperlink" Target="https://drive.google.com/file/d/1aM8hqmCf5XMnXXPGVcYVIrIu5_aEyGxW/view?usp=sharing" TargetMode="External"/><Relationship Id="rId16" Type="http://schemas.openxmlformats.org/officeDocument/2006/relationships/hyperlink" Target="https://drive.google.com/file/d/12G56C79xctld7hVxOYlGv_YvfUKM72Rn/view?usp=sharing" TargetMode="External"/><Relationship Id="rId19" Type="http://schemas.openxmlformats.org/officeDocument/2006/relationships/hyperlink" Target="https://drive.google.com/file/d/1ePsB7EGSbKL-QoTZvNiHuNHyVKyAaXm9/view?usp=sharing" TargetMode="External"/><Relationship Id="rId18" Type="http://schemas.openxmlformats.org/officeDocument/2006/relationships/hyperlink" Target="https://drive.google.com/file/d/1j0_5lHzEeuWjgolSTHUtgOAGdVSzw8zS/view?usp=sharing" TargetMode="External"/><Relationship Id="rId1" Type="http://schemas.openxmlformats.org/officeDocument/2006/relationships/comments" Target="../comments3.xml"/><Relationship Id="rId2" Type="http://schemas.openxmlformats.org/officeDocument/2006/relationships/hyperlink" Target="https://drive.google.com/file/d/1YxIB0YYFfh2yvEVL0AMDweVO0vIgPOc4/view?usp=sharing" TargetMode="External"/><Relationship Id="rId3" Type="http://schemas.openxmlformats.org/officeDocument/2006/relationships/hyperlink" Target="https://drive.google.com/file/d/126N9ldDgVMNhZIpCvjDgKVFgZzCrDie6/view?usp=sharing" TargetMode="External"/><Relationship Id="rId4" Type="http://schemas.openxmlformats.org/officeDocument/2006/relationships/hyperlink" Target="https://drive.google.com/file/d/16KCInPLOZqYwmgfJYtUCo9L1brk3h1ml/view?usp=sharing" TargetMode="External"/><Relationship Id="rId9" Type="http://schemas.openxmlformats.org/officeDocument/2006/relationships/hyperlink" Target="https://drive.google.com/file/d/1N1fN6rvL2IKwmv2y7LFmbWXidMuEAXSx/view?usp=sharing" TargetMode="External"/><Relationship Id="rId5" Type="http://schemas.openxmlformats.org/officeDocument/2006/relationships/hyperlink" Target="https://drive.google.com/file/d/18nr2lxcenTROxDY9OAEALeMGfpkD8Sby/view?usp=sharing" TargetMode="External"/><Relationship Id="rId6" Type="http://schemas.openxmlformats.org/officeDocument/2006/relationships/hyperlink" Target="https://drive.google.com/file/d/18R2VT3yFihlaWuAOiy8QHa8xeKGbL8_L/view?usp=sharing" TargetMode="External"/><Relationship Id="rId7" Type="http://schemas.openxmlformats.org/officeDocument/2006/relationships/hyperlink" Target="https://drive.google.com/file/d/1BNkrv6h8DNFZriZ3wetOwnoJElRONo6W/view?usp=sharing" TargetMode="External"/><Relationship Id="rId8" Type="http://schemas.openxmlformats.org/officeDocument/2006/relationships/hyperlink" Target="https://drive.google.com/file/d/1AlpRHJqEpRo1Zg33EwX_-ZLmWoIvmoVA/view?usp=sharing" TargetMode="External"/><Relationship Id="rId73" Type="http://schemas.openxmlformats.org/officeDocument/2006/relationships/hyperlink" Target="https://drive.google.com/file/d/1afSnT34r4CrA1261yTmSwWU9qHlkRsTM/view?usp=sharing" TargetMode="External"/><Relationship Id="rId72" Type="http://schemas.openxmlformats.org/officeDocument/2006/relationships/hyperlink" Target="https://drive.google.com/file/d/19a1xQAvHN7SPsebhHXBM-IPwTygzAIRe/view?usp=sharing" TargetMode="External"/><Relationship Id="rId75" Type="http://schemas.openxmlformats.org/officeDocument/2006/relationships/hyperlink" Target="https://drive.google.com/file/d/1aguIkdRJlZ04A5NGxY_y3Ce-vpJiyUlm/view?usp=sharing" TargetMode="External"/><Relationship Id="rId74" Type="http://schemas.openxmlformats.org/officeDocument/2006/relationships/hyperlink" Target="https://drive.google.com/file/d/1HEUoaFijic56dKaUhMu34gZsOcFnSaXv/view?usp=sharing" TargetMode="External"/><Relationship Id="rId77" Type="http://schemas.openxmlformats.org/officeDocument/2006/relationships/vmlDrawing" Target="../drawings/vmlDrawing3.vml"/><Relationship Id="rId76" Type="http://schemas.openxmlformats.org/officeDocument/2006/relationships/drawing" Target="../drawings/drawing6.xml"/><Relationship Id="rId71" Type="http://schemas.openxmlformats.org/officeDocument/2006/relationships/hyperlink" Target="https://drive.google.com/file/d/1oni2d1AVLt37771l_7fhq59cqS-wqUU3/view?usp=sharing" TargetMode="External"/><Relationship Id="rId70" Type="http://schemas.openxmlformats.org/officeDocument/2006/relationships/hyperlink" Target="https://drive.google.com/file/d/1Rbuorfn_FViH1Qm3rUkgu1992WdLLoAs/view?usp=sharing" TargetMode="External"/><Relationship Id="rId62" Type="http://schemas.openxmlformats.org/officeDocument/2006/relationships/hyperlink" Target="https://drive.google.com/file/d/1T_OZibLpanp2kb9wdxs5pVeQsRx0uM1n/view?usp=sharing" TargetMode="External"/><Relationship Id="rId61" Type="http://schemas.openxmlformats.org/officeDocument/2006/relationships/hyperlink" Target="https://drive.google.com/file/d/1cKWRKdzpyVjaOfkRth70zjPMM8qfYIXR/view?usp=sharing" TargetMode="External"/><Relationship Id="rId64" Type="http://schemas.openxmlformats.org/officeDocument/2006/relationships/hyperlink" Target="https://drive.google.com/file/d/14Y3JszdeMaV6kWAZ3QDhQ5snVSLwy_c8/view?usp=sharing" TargetMode="External"/><Relationship Id="rId63" Type="http://schemas.openxmlformats.org/officeDocument/2006/relationships/hyperlink" Target="https://drive.google.com/file/d/1Wh8hvGznjc_ROscvFPsKuCcvbn_umsA2/view?usp=sharing" TargetMode="External"/><Relationship Id="rId66" Type="http://schemas.openxmlformats.org/officeDocument/2006/relationships/hyperlink" Target="https://drive.google.com/file/d/15NeZyJC11gzWQuPq-3z6BoTm7ktxv_p9/view?usp=sharing" TargetMode="External"/><Relationship Id="rId65" Type="http://schemas.openxmlformats.org/officeDocument/2006/relationships/hyperlink" Target="https://drive.google.com/file/d/1IXLUSngKIfUWp9lAFkrgDWxZwJJNQgs_/view?usp=sharing" TargetMode="External"/><Relationship Id="rId68" Type="http://schemas.openxmlformats.org/officeDocument/2006/relationships/hyperlink" Target="https://drive.google.com/file/d/1h3xU0TLwGzQ-fc0lRtMRWOBheGQ_0TuS/view?usp=sharing" TargetMode="External"/><Relationship Id="rId67" Type="http://schemas.openxmlformats.org/officeDocument/2006/relationships/hyperlink" Target="https://drive.google.com/file/d/1lPdR-VTY4ANd8MPH27H6Yj9_Jop0AUKy/view?usp=sharing" TargetMode="External"/><Relationship Id="rId60" Type="http://schemas.openxmlformats.org/officeDocument/2006/relationships/hyperlink" Target="https://drive.google.com/file/d/1kQL8z3p6kAT3ac6TYpLRmP2frTCyjIBC/view?usp=sharing" TargetMode="External"/><Relationship Id="rId69" Type="http://schemas.openxmlformats.org/officeDocument/2006/relationships/hyperlink" Target="https://drive.google.com/file/d/1lDRj-zWjgn-9RR98c5UTpQiRKmIECECm/view?usp=sharing" TargetMode="External"/><Relationship Id="rId51" Type="http://schemas.openxmlformats.org/officeDocument/2006/relationships/hyperlink" Target="https://drive.google.com/file/d/13Z9Z82sibkGHFOyGKvLJFdzGpWqGcJOK/view?usp=sharing" TargetMode="External"/><Relationship Id="rId50" Type="http://schemas.openxmlformats.org/officeDocument/2006/relationships/hyperlink" Target="https://drive.google.com/file/d/14cMEEEw8Gg1ZJrIqc-80T8p-rvFKJx8d/view?usp=sharing" TargetMode="External"/><Relationship Id="rId53" Type="http://schemas.openxmlformats.org/officeDocument/2006/relationships/hyperlink" Target="https://drive.google.com/file/d/11pcfu25cbNxK76YakHPs0wDihAb2npoW/view?usp=sharing" TargetMode="External"/><Relationship Id="rId52" Type="http://schemas.openxmlformats.org/officeDocument/2006/relationships/hyperlink" Target="https://drive.google.com/file/d/1OafYrPoIja-B3U683L7GRLIiHB-xNCp9/view?usp=sharing" TargetMode="External"/><Relationship Id="rId55" Type="http://schemas.openxmlformats.org/officeDocument/2006/relationships/hyperlink" Target="https://drive.google.com/file/d/1losbbqujmcjGIM-O9LvsNTVM58OIbFrc/view?usp=sharing" TargetMode="External"/><Relationship Id="rId54" Type="http://schemas.openxmlformats.org/officeDocument/2006/relationships/hyperlink" Target="https://drive.google.com/file/d/1vTintRiqQ69EHhqkgzl-JM4EYqyL0a10/view?usp=sharing" TargetMode="External"/><Relationship Id="rId57" Type="http://schemas.openxmlformats.org/officeDocument/2006/relationships/hyperlink" Target="https://drive.google.com/file/d/1PtdfjOjqG8LdEKFoTxe5KJ_ySqwn4CKx/view?usp=sharing" TargetMode="External"/><Relationship Id="rId56" Type="http://schemas.openxmlformats.org/officeDocument/2006/relationships/hyperlink" Target="https://drive.google.com/file/d/12BIaSpfdXpz5QhEHq21RlpST8JntjZZH/view?usp=sharing" TargetMode="External"/><Relationship Id="rId59" Type="http://schemas.openxmlformats.org/officeDocument/2006/relationships/hyperlink" Target="https://drive.google.com/file/d/1cIleAnu_XvAB-7gBhLy73Npc7VoszYJg/view?usp=sharing" TargetMode="External"/><Relationship Id="rId58" Type="http://schemas.openxmlformats.org/officeDocument/2006/relationships/hyperlink" Target="https://drive.google.com/file/d/1apDv4ZLSSCzxLknvmgiL-dVRpptdXkVc/view?usp=sharin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drive.google.com/file/d/1-SqCCJxToZ0dox7NySWO4XzbpSeejKY1/view?usp=sharing" TargetMode="External"/><Relationship Id="rId42" Type="http://schemas.openxmlformats.org/officeDocument/2006/relationships/hyperlink" Target="https://drive.google.com/file/d/1ZkeY9q7l8k3M3GNi_Gt9dmSuzFb2yHm9/view?usp=sharing" TargetMode="External"/><Relationship Id="rId41" Type="http://schemas.openxmlformats.org/officeDocument/2006/relationships/hyperlink" Target="https://drive.google.com/file/d/1gtB1LzxjIue3veazld8i6xqo8xk_axta/view?usp=sharing" TargetMode="External"/><Relationship Id="rId44" Type="http://schemas.openxmlformats.org/officeDocument/2006/relationships/hyperlink" Target="https://drive.google.com/file/d/1r6qniGtpt6-Z_iQoxlr1WZZKfWCCVCYX/view?usp=sharing" TargetMode="External"/><Relationship Id="rId43" Type="http://schemas.openxmlformats.org/officeDocument/2006/relationships/hyperlink" Target="https://drive.google.com/file/d/16iK-yA3yFr946d3y3c8rTlTBOv2WHsF8/view?usp=sharing" TargetMode="External"/><Relationship Id="rId46" Type="http://schemas.openxmlformats.org/officeDocument/2006/relationships/hyperlink" Target="https://drive.google.com/file/d/1n7wQ5kWCqrKoHHnaTnIOOFGuRohlLlzY/view?usp=sharing" TargetMode="External"/><Relationship Id="rId45" Type="http://schemas.openxmlformats.org/officeDocument/2006/relationships/hyperlink" Target="https://drive.google.com/file/d/1TB7M2ZYEvMGNk2wqQvegExvWmfQ0Krxp/view?usp=sharing" TargetMode="External"/><Relationship Id="rId48" Type="http://schemas.openxmlformats.org/officeDocument/2006/relationships/hyperlink" Target="https://drive.google.com/file/d/1asc0CXaZJSxwKY8_cA4G3FZMgmNX_3VI/view?usp=sharing" TargetMode="External"/><Relationship Id="rId47" Type="http://schemas.openxmlformats.org/officeDocument/2006/relationships/hyperlink" Target="https://drive.google.com/file/d/1QotFvSQqkl5K_8x0CRPVr_9ktgddNDPC/view?usp=sharing" TargetMode="External"/><Relationship Id="rId49" Type="http://schemas.openxmlformats.org/officeDocument/2006/relationships/hyperlink" Target="https://drive.google.com/file/d/19BQjcL-X41WqcPKKs9UQPqtkEmEEJuw_/view?usp=sharing" TargetMode="External"/><Relationship Id="rId31" Type="http://schemas.openxmlformats.org/officeDocument/2006/relationships/hyperlink" Target="https://drive.google.com/file/d/1oct-lYIYxvDzncO0X_INs0uRLTGafQvX/view?usp=sharing" TargetMode="External"/><Relationship Id="rId30" Type="http://schemas.openxmlformats.org/officeDocument/2006/relationships/hyperlink" Target="https://drive.google.com/file/d/1wyFm80WE6VcJ-k69FSUEb30EsUcCj1Bq/view?usp=sharing" TargetMode="External"/><Relationship Id="rId33" Type="http://schemas.openxmlformats.org/officeDocument/2006/relationships/hyperlink" Target="https://drive.google.com/file/d/1a6Q2fTxqPfQ20nopB8mvmtEb8qYaoGzc/view?usp=sharing" TargetMode="External"/><Relationship Id="rId32" Type="http://schemas.openxmlformats.org/officeDocument/2006/relationships/hyperlink" Target="https://drive.google.com/file/d/1iBEGCEq_WV4i9tiJdHxbuTjmsUFaqM3p/view?usp=sharing" TargetMode="External"/><Relationship Id="rId35" Type="http://schemas.openxmlformats.org/officeDocument/2006/relationships/hyperlink" Target="https://drive.google.com/file/d/1XET6MUkCWpnzw-lTxc2lqFAOKIHiB4KD/view?usp=sharing" TargetMode="External"/><Relationship Id="rId34" Type="http://schemas.openxmlformats.org/officeDocument/2006/relationships/hyperlink" Target="https://drive.google.com/file/d/1_B675L_UfzIVC72Dz-ocGTjJt7Bn2Huq/view?usp=sharing" TargetMode="External"/><Relationship Id="rId37" Type="http://schemas.openxmlformats.org/officeDocument/2006/relationships/hyperlink" Target="https://drive.google.com/file/d/1ltsBqYbjWHlEF6AZttdY4UnIUPnSzTcX/view?usp=sharing" TargetMode="External"/><Relationship Id="rId36" Type="http://schemas.openxmlformats.org/officeDocument/2006/relationships/hyperlink" Target="https://drive.google.com/file/d/17RhyQ_X2qxDq9zBQH-9pTZKem_8ZEDyE/view?usp=sharing" TargetMode="External"/><Relationship Id="rId39" Type="http://schemas.openxmlformats.org/officeDocument/2006/relationships/hyperlink" Target="https://drive.google.com/file/d/18vbea4tEpmA7JvGtJcnLtvPlQiZSbYaW/view?usp=sharing" TargetMode="External"/><Relationship Id="rId38" Type="http://schemas.openxmlformats.org/officeDocument/2006/relationships/hyperlink" Target="https://drive.google.com/file/d/1G9N_g9gGKHOyXtdY6pGc0_CE53p90yWy/view?usp=sharing" TargetMode="External"/><Relationship Id="rId20" Type="http://schemas.openxmlformats.org/officeDocument/2006/relationships/hyperlink" Target="https://drive.google.com/file/d/1v0zG2qEss3T2smf4DWUy97bZ9RjyfjOw/view?usp=sharing" TargetMode="External"/><Relationship Id="rId22" Type="http://schemas.openxmlformats.org/officeDocument/2006/relationships/hyperlink" Target="https://drive.google.com/file/d/1_Z6RHBlPWuuWuL1R9iW3mxf2XQK44cW7/view?usp=sharing" TargetMode="External"/><Relationship Id="rId21" Type="http://schemas.openxmlformats.org/officeDocument/2006/relationships/hyperlink" Target="https://drive.google.com/file/d/1QFZ3WR6Zpy_M9uTlRXBbP3WCwItzW3Le/view?usp=sharing" TargetMode="External"/><Relationship Id="rId24" Type="http://schemas.openxmlformats.org/officeDocument/2006/relationships/hyperlink" Target="https://drive.google.com/file/d/1AeLzzLxYTUEnT6al88CMRId8Fpe0ARvi/view?usp=sharing" TargetMode="External"/><Relationship Id="rId23" Type="http://schemas.openxmlformats.org/officeDocument/2006/relationships/hyperlink" Target="https://drive.google.com/file/d/1JBmVST2MFUyn1grawpGGBBvhIIbqoRHj/view?usp=sharing" TargetMode="External"/><Relationship Id="rId26" Type="http://schemas.openxmlformats.org/officeDocument/2006/relationships/hyperlink" Target="https://drive.google.com/file/d/1ldU8iQHgknhBoihOrLI3Gv4GHJrtgBew/view?usp=sharing" TargetMode="External"/><Relationship Id="rId25" Type="http://schemas.openxmlformats.org/officeDocument/2006/relationships/hyperlink" Target="https://drive.google.com/file/d/1rKPilsqH86pO9tcdYQgqHJSHHifDdrHr/view?usp=sharing" TargetMode="External"/><Relationship Id="rId28" Type="http://schemas.openxmlformats.org/officeDocument/2006/relationships/hyperlink" Target="https://drive.google.com/file/d/1SrUOAwyZXxJTmRzLYxfqVlPuAhifJ2yK/view?usp=sharing" TargetMode="External"/><Relationship Id="rId27" Type="http://schemas.openxmlformats.org/officeDocument/2006/relationships/hyperlink" Target="https://drive.google.com/file/d/1A_dHyO4VNfxKMeAj5DrbLxXf6RE1hbkD/view?usp=sharing" TargetMode="External"/><Relationship Id="rId29" Type="http://schemas.openxmlformats.org/officeDocument/2006/relationships/hyperlink" Target="https://drive.google.com/file/d/1qPcPIQgS9Qn5rUPoLrjJ1Hvo0jtcFRz1/view?usp=sharing" TargetMode="External"/><Relationship Id="rId11" Type="http://schemas.openxmlformats.org/officeDocument/2006/relationships/hyperlink" Target="https://drive.google.com/file/d/1q-e84UU4ou1CYbXXhHq4P3l6Fo-icZU1/view?usp=sharing" TargetMode="External"/><Relationship Id="rId10" Type="http://schemas.openxmlformats.org/officeDocument/2006/relationships/hyperlink" Target="https://drive.google.com/file/d/1BpTVSC9WwG3sp3RUll6JABgB-WCU-ZLL/view?usp=sharing" TargetMode="External"/><Relationship Id="rId13" Type="http://schemas.openxmlformats.org/officeDocument/2006/relationships/hyperlink" Target="https://drive.google.com/file/d/1UllBT1ge6KNuaorSXz-xFro7nVEkhXlJ/view?usp=sharing" TargetMode="External"/><Relationship Id="rId12" Type="http://schemas.openxmlformats.org/officeDocument/2006/relationships/hyperlink" Target="https://drive.google.com/file/d/15f8xE3MCsQOv4xgKXibBCoy0A1aCxVfF/view?usp=sharing" TargetMode="External"/><Relationship Id="rId15" Type="http://schemas.openxmlformats.org/officeDocument/2006/relationships/hyperlink" Target="https://drive.google.com/file/d/1UKddKtm0ZPS9CUN1hdQC54ZBbjj9pGhm/view?usp=sharing" TargetMode="External"/><Relationship Id="rId14" Type="http://schemas.openxmlformats.org/officeDocument/2006/relationships/hyperlink" Target="https://drive.google.com/file/d/1bBbsGZDxp38breSLRNP3c4Es-GTcmOLK/view?usp=sharing" TargetMode="External"/><Relationship Id="rId17" Type="http://schemas.openxmlformats.org/officeDocument/2006/relationships/hyperlink" Target="https://drive.google.com/file/d/1vSuB1zg90WN-gqlrgAm6itYU-NhmZfzW/view?usp=sharing" TargetMode="External"/><Relationship Id="rId16" Type="http://schemas.openxmlformats.org/officeDocument/2006/relationships/hyperlink" Target="https://drive.google.com/file/d/1zBBiFYVSBQD036XBg5gbSP6faN5HKtsp/view?usp=sharing" TargetMode="External"/><Relationship Id="rId19" Type="http://schemas.openxmlformats.org/officeDocument/2006/relationships/hyperlink" Target="https://drive.google.com/file/d/1RyTW3Q1kE_rsBrNXf5ZvUI1_Kfi5NMoM/view?usp=sharing" TargetMode="External"/><Relationship Id="rId18" Type="http://schemas.openxmlformats.org/officeDocument/2006/relationships/hyperlink" Target="https://drive.google.com/file/d/1y8GOADzVn36BSWNdss8NTLlbhRccOeyM/view?usp=sharing" TargetMode="External"/><Relationship Id="rId84" Type="http://schemas.openxmlformats.org/officeDocument/2006/relationships/hyperlink" Target="https://drive.google.com/file/d/1ECb3ial1iIhFkw0UtSwOnR3TLqvTgeDl/view?usp=sharing" TargetMode="External"/><Relationship Id="rId83" Type="http://schemas.openxmlformats.org/officeDocument/2006/relationships/hyperlink" Target="https://drive.google.com/file/d/1fEXb78aYa6wYwMRy3KfMm88rGlf2sYOg/view?usp=sharing" TargetMode="External"/><Relationship Id="rId86" Type="http://schemas.openxmlformats.org/officeDocument/2006/relationships/hyperlink" Target="https://drive.google.com/file/d/1Zi1IfOtVaKUCVneRcwCTUMB8DncNy33H/view?usp=sharing" TargetMode="External"/><Relationship Id="rId85" Type="http://schemas.openxmlformats.org/officeDocument/2006/relationships/hyperlink" Target="https://drive.google.com/file/d/1X9-LrcRVtW6iWa5Fzj4MwSK6D1jwfQRU/view?usp=sharing" TargetMode="External"/><Relationship Id="rId88" Type="http://schemas.openxmlformats.org/officeDocument/2006/relationships/hyperlink" Target="https://drive.google.com/file/d/1Iv9nmXuR1HgMyxL0S2fi9k3tljCfZOb_/view?usp=sharing" TargetMode="External"/><Relationship Id="rId87" Type="http://schemas.openxmlformats.org/officeDocument/2006/relationships/hyperlink" Target="https://drive.google.com/file/d/12gSFvZvIyj4aiH4xbTrtSHWdkmrm08Cr/view?usp=sharing" TargetMode="External"/><Relationship Id="rId89" Type="http://schemas.openxmlformats.org/officeDocument/2006/relationships/hyperlink" Target="https://drive.google.com/file/d/1qlTAOdotSFqAyyiaGQ6jIjzg5fZAM2WE/view?usp=sharing" TargetMode="External"/><Relationship Id="rId80" Type="http://schemas.openxmlformats.org/officeDocument/2006/relationships/hyperlink" Target="https://drive.google.com/file/d/1s0foudL2IdFflCDslYshmz1YqMRKWSUj/view?usp=sharing" TargetMode="External"/><Relationship Id="rId82" Type="http://schemas.openxmlformats.org/officeDocument/2006/relationships/hyperlink" Target="https://drive.google.com/file/d/132HebmtUsalE97QPfw_OFx0Umq-7H4gz/view?usp=sharing" TargetMode="External"/><Relationship Id="rId81" Type="http://schemas.openxmlformats.org/officeDocument/2006/relationships/hyperlink" Target="https://drive.google.com/file/d/1Z6Zi6N4Wxyjl_LHoN5Uadu4G8NHn8r_W/view?usp=sharing" TargetMode="External"/><Relationship Id="rId1" Type="http://schemas.openxmlformats.org/officeDocument/2006/relationships/comments" Target="../comments4.xml"/><Relationship Id="rId2" Type="http://schemas.openxmlformats.org/officeDocument/2006/relationships/hyperlink" Target="https://drive.google.com/file/d/1g7_1D2pvuhaeWHyjhBQbotbfgUhwq_En/view?usp=sharing" TargetMode="External"/><Relationship Id="rId3" Type="http://schemas.openxmlformats.org/officeDocument/2006/relationships/hyperlink" Target="https://drive.google.com/file/d/1hQ5XqAvIUXbV_X7P3MIu5yHE5eVBPjhs/view?usp=sharing" TargetMode="External"/><Relationship Id="rId4" Type="http://schemas.openxmlformats.org/officeDocument/2006/relationships/hyperlink" Target="https://drive.google.com/file/d/15x4dmjF5qyZ6PeHFnKADxOJOvvdoqRul/view?usp=sharing" TargetMode="External"/><Relationship Id="rId9" Type="http://schemas.openxmlformats.org/officeDocument/2006/relationships/hyperlink" Target="https://drive.google.com/file/d/123oj2IyrhWCrP2bY43sovV34uPzJpsQR/view?usp=sharing" TargetMode="External"/><Relationship Id="rId5" Type="http://schemas.openxmlformats.org/officeDocument/2006/relationships/hyperlink" Target="https://drive.google.com/file/d/17PxJE3PA-NWyYug-B04KrGVgJ0jl2SO_/view?usp=sharing" TargetMode="External"/><Relationship Id="rId6" Type="http://schemas.openxmlformats.org/officeDocument/2006/relationships/hyperlink" Target="https://drive.google.com/file/d/1KmGrEJ2Z1Qde4hFLYKEInVqgvqgCwIHv/view?usp=sharing" TargetMode="External"/><Relationship Id="rId7" Type="http://schemas.openxmlformats.org/officeDocument/2006/relationships/hyperlink" Target="https://drive.google.com/file/d/108Uttnt-E4SLedwCLxjlV4l5KFITjII9/view?usp=sharing" TargetMode="External"/><Relationship Id="rId8" Type="http://schemas.openxmlformats.org/officeDocument/2006/relationships/hyperlink" Target="https://drive.google.com/file/d/1IipJqRLWuUtYRoZvtObq20tX2pdwGZiD/view?usp=sharing" TargetMode="External"/><Relationship Id="rId73" Type="http://schemas.openxmlformats.org/officeDocument/2006/relationships/hyperlink" Target="https://drive.google.com/file/d/1xw6Q57_OOR71dLeF9PnjP6SKP2lrLC0n/view?usp=sharing" TargetMode="External"/><Relationship Id="rId72" Type="http://schemas.openxmlformats.org/officeDocument/2006/relationships/hyperlink" Target="https://drive.google.com/file/d/11mBu__EbJtWGBBZpf8NgRFuvJDWk6t_S/view?usp=sharing" TargetMode="External"/><Relationship Id="rId75" Type="http://schemas.openxmlformats.org/officeDocument/2006/relationships/hyperlink" Target="https://drive.google.com/file/d/1X-YuKAW48jUSEZcYZ8Z-KnfGU1Nv3NUO/view?usp=sharing" TargetMode="External"/><Relationship Id="rId74" Type="http://schemas.openxmlformats.org/officeDocument/2006/relationships/hyperlink" Target="https://drive.google.com/file/d/1mTlXsuMMtyUO_B710Oo00oVv2JvjflaP/view?usp=sharing" TargetMode="External"/><Relationship Id="rId77" Type="http://schemas.openxmlformats.org/officeDocument/2006/relationships/hyperlink" Target="https://drive.google.com/file/d/1xlk4We3tE2kjPVQSgsvT5b7kplAkQRPx/view?usp=sharing" TargetMode="External"/><Relationship Id="rId76" Type="http://schemas.openxmlformats.org/officeDocument/2006/relationships/hyperlink" Target="https://drive.google.com/file/d/1Z4rxcWcoFdub3RoqcqLyp-WHAxzhaPF0/view?usp=sharing" TargetMode="External"/><Relationship Id="rId79" Type="http://schemas.openxmlformats.org/officeDocument/2006/relationships/hyperlink" Target="https://drive.google.com/file/d/1ykH-l9hLL2vBdPOdjqTr1Am6EgceYKvk/view?usp=sharing" TargetMode="External"/><Relationship Id="rId78" Type="http://schemas.openxmlformats.org/officeDocument/2006/relationships/hyperlink" Target="https://drive.google.com/file/d/1ppOsihjF5psN3l8c_q9K67CKXUd3eQXq/view" TargetMode="External"/><Relationship Id="rId71" Type="http://schemas.openxmlformats.org/officeDocument/2006/relationships/hyperlink" Target="https://drive.google.com/file/d/1C6WZ-Y0WrVMroUKpoGU9MWWo02_t6-OM/view?usp=sharing" TargetMode="External"/><Relationship Id="rId70" Type="http://schemas.openxmlformats.org/officeDocument/2006/relationships/hyperlink" Target="https://drive.google.com/file/d/1AvwSlEHyz2sQQg29KUWCIDIExqYWB57b/view?usp=sharing" TargetMode="External"/><Relationship Id="rId62" Type="http://schemas.openxmlformats.org/officeDocument/2006/relationships/hyperlink" Target="https://drive.google.com/file/d/1wm5HWJBVsemLGt-ZJqdjsuno4tBXgIna/view?usp=sharing" TargetMode="External"/><Relationship Id="rId61" Type="http://schemas.openxmlformats.org/officeDocument/2006/relationships/hyperlink" Target="https://drive.google.com/file/d/1sBddaVOmTQWAa42MWHf5uVWey-hRYIIJ/view?usp=sharing" TargetMode="External"/><Relationship Id="rId64" Type="http://schemas.openxmlformats.org/officeDocument/2006/relationships/hyperlink" Target="https://drive.google.com/file/d/1nf6iPUbSiA_MakaYiyUyT82The9cQW0t/view?usp=sharing" TargetMode="External"/><Relationship Id="rId63" Type="http://schemas.openxmlformats.org/officeDocument/2006/relationships/hyperlink" Target="https://drive.google.com/file/d/1nXqvzP0NbbiEfl3r22dfj_5AUzfKtr6y/view?usp=sharing" TargetMode="External"/><Relationship Id="rId66" Type="http://schemas.openxmlformats.org/officeDocument/2006/relationships/hyperlink" Target="https://drive.google.com/file/d/1XfOo_YIetSZkQIXEE2nWlo2XkizpODuT/view?usp=sharing" TargetMode="External"/><Relationship Id="rId65" Type="http://schemas.openxmlformats.org/officeDocument/2006/relationships/hyperlink" Target="https://drive.google.com/file/d/17vYJ71JA8jTEsVnQych7qXztmCGfhhZD/view?usp=sharing" TargetMode="External"/><Relationship Id="rId68" Type="http://schemas.openxmlformats.org/officeDocument/2006/relationships/hyperlink" Target="https://drive.google.com/file/d/1JrDunFsP2xJdrHDONUht6WHXgizFX2OF/view?usp=sharing" TargetMode="External"/><Relationship Id="rId67" Type="http://schemas.openxmlformats.org/officeDocument/2006/relationships/hyperlink" Target="https://drive.google.com/file/d/1Tdyv9Qne3m-iUWa1khu2kUyOWgIlNN9s/view?usp=sharing" TargetMode="External"/><Relationship Id="rId60" Type="http://schemas.openxmlformats.org/officeDocument/2006/relationships/hyperlink" Target="https://drive.google.com/file/d/1rAEC21sKIeow4pmmWRmfzhMDfLZRXgpP/view?usp=sharing" TargetMode="External"/><Relationship Id="rId69" Type="http://schemas.openxmlformats.org/officeDocument/2006/relationships/hyperlink" Target="https://drive.google.com/file/d/1atzINl6S_B_CjIGpu1Hfr6MQLNg6fYmm/view?usp=sharing" TargetMode="External"/><Relationship Id="rId51" Type="http://schemas.openxmlformats.org/officeDocument/2006/relationships/hyperlink" Target="https://drive.google.com/file/d/10T4faEn00X_fJiy4-mvXQY1Rz92tenPy/view?usp=sharing" TargetMode="External"/><Relationship Id="rId50" Type="http://schemas.openxmlformats.org/officeDocument/2006/relationships/hyperlink" Target="https://drive.google.com/file/d/10T4faEn00X_fJiy4-mvXQY1Rz92tenPy/view?usp=sharing" TargetMode="External"/><Relationship Id="rId53" Type="http://schemas.openxmlformats.org/officeDocument/2006/relationships/hyperlink" Target="https://drive.google.com/file/d/1IiNP5XAB9Iy6euTMKXIyjUCAbgOc5SMZ/view?usp=sharing" TargetMode="External"/><Relationship Id="rId52" Type="http://schemas.openxmlformats.org/officeDocument/2006/relationships/hyperlink" Target="https://drive.google.com/file/d/1xE4LKTnRM1CGm5M0pbSRV5BvDBQPSyr_/view?usp=sharing" TargetMode="External"/><Relationship Id="rId55" Type="http://schemas.openxmlformats.org/officeDocument/2006/relationships/hyperlink" Target="https://drive.google.com/file/d/1UI3wNoRCY6EDvarpEeCfEfFHyQL36ShY/view?usp=sharing" TargetMode="External"/><Relationship Id="rId54" Type="http://schemas.openxmlformats.org/officeDocument/2006/relationships/hyperlink" Target="https://drive.google.com/file/d/1dr0u2gFTC7fK7axKhBWOoQTmgsJUQowh/view?usp=sharing" TargetMode="External"/><Relationship Id="rId57" Type="http://schemas.openxmlformats.org/officeDocument/2006/relationships/hyperlink" Target="https://drive.google.com/file/d/1fvP8OE0PTdgpi5uDrRZ3r5PnMPCFTL2Y/view?usp=sharing" TargetMode="External"/><Relationship Id="rId56" Type="http://schemas.openxmlformats.org/officeDocument/2006/relationships/hyperlink" Target="https://drive.google.com/file/d/1i6UGoZZPe1A0VxhvW_g33SIuzn2JJNkK/view?usp=sharing" TargetMode="External"/><Relationship Id="rId59" Type="http://schemas.openxmlformats.org/officeDocument/2006/relationships/hyperlink" Target="https://drive.google.com/file/d/1MhJFFviJ1m-w2Q4Rr4qbaR-1j2IfSUyD/view?usp=sharing" TargetMode="External"/><Relationship Id="rId58" Type="http://schemas.openxmlformats.org/officeDocument/2006/relationships/hyperlink" Target="https://drive.google.com/file/d/1PzKqqZ4vEHNEtF0K35YYQYiiiafe3ViM/view?usp=sharing" TargetMode="External"/><Relationship Id="rId104" Type="http://schemas.openxmlformats.org/officeDocument/2006/relationships/vmlDrawing" Target="../drawings/vmlDrawing4.vml"/><Relationship Id="rId103" Type="http://schemas.openxmlformats.org/officeDocument/2006/relationships/drawing" Target="../drawings/drawing7.xml"/><Relationship Id="rId102" Type="http://schemas.openxmlformats.org/officeDocument/2006/relationships/hyperlink" Target="https://drive.google.com/file/d/1UJYToHhtrnHNsnaUKNyrEcrxzie56NHf/view?usp=sharing" TargetMode="External"/><Relationship Id="rId101" Type="http://schemas.openxmlformats.org/officeDocument/2006/relationships/hyperlink" Target="https://drive.google.com/file/d/1I4e-4H2NnE_JuQHkAbfvut6GeU2ca-Dq/view?usp=sharing" TargetMode="External"/><Relationship Id="rId100" Type="http://schemas.openxmlformats.org/officeDocument/2006/relationships/hyperlink" Target="https://drive.google.com/file/d/1Gmaj2af7UQ84IWL5x3bUJspA4lrxutD_/view?usp=sharing" TargetMode="External"/><Relationship Id="rId95" Type="http://schemas.openxmlformats.org/officeDocument/2006/relationships/hyperlink" Target="https://drive.google.com/file/d/1saMCLIClnhs2lb35qIallW-if5hJLDmf/view?usp=sharing" TargetMode="External"/><Relationship Id="rId94" Type="http://schemas.openxmlformats.org/officeDocument/2006/relationships/hyperlink" Target="https://drive.google.com/file/d/1kaLNglUjtqgJRSVmI14TfthhWj9zkvrT/view?usp=sharing" TargetMode="External"/><Relationship Id="rId97" Type="http://schemas.openxmlformats.org/officeDocument/2006/relationships/hyperlink" Target="https://drive.google.com/file/d/1uXY5Klwgl2u-5nZ45MojYb8oaPZJZCMO/view?usp=sharing" TargetMode="External"/><Relationship Id="rId96" Type="http://schemas.openxmlformats.org/officeDocument/2006/relationships/hyperlink" Target="https://drive.google.com/file/d/17GOKZgtFV0fGBCHm8NDNobJEaaEjeYSZ/view?usp=sharing" TargetMode="External"/><Relationship Id="rId99" Type="http://schemas.openxmlformats.org/officeDocument/2006/relationships/hyperlink" Target="https://drive.google.com/file/d/1bEbQq0Y0CrbztfbqXsxWDHLHJo2-J8Ld/view?usp=sharing" TargetMode="External"/><Relationship Id="rId98" Type="http://schemas.openxmlformats.org/officeDocument/2006/relationships/hyperlink" Target="https://drive.google.com/file/d/1JxxIEXKcR5-2BuPT4Hp6niC2N9KWUB_K/view?usp=sharing" TargetMode="External"/><Relationship Id="rId91" Type="http://schemas.openxmlformats.org/officeDocument/2006/relationships/hyperlink" Target="https://drive.google.com/file/d/1fLo7HgIbwhoYL3_P_RXuGHWF73N135iC/view?usp=sharing" TargetMode="External"/><Relationship Id="rId90" Type="http://schemas.openxmlformats.org/officeDocument/2006/relationships/hyperlink" Target="https://drive.google.com/file/d/1RXN81XjgInTt9GN4x-tfPjr0c3xQ-m4Z/view?usp=sharing" TargetMode="External"/><Relationship Id="rId93" Type="http://schemas.openxmlformats.org/officeDocument/2006/relationships/hyperlink" Target="https://drive.google.com/file/d/13n458tc-gXW1b6mph7OY9PB3dJCf-BFH/view?usp=sharing" TargetMode="External"/><Relationship Id="rId92" Type="http://schemas.openxmlformats.org/officeDocument/2006/relationships/hyperlink" Target="https://drive.google.com/file/d/14X9WcVz__rtTUrCRdRJNb9sqZpE4_JKQ/view?usp=sharing" TargetMode="External"/></Relationships>
</file>

<file path=xl/worksheets/_rels/sheet8.xml.rels><?xml version="1.0" encoding="UTF-8" standalone="yes"?><Relationships xmlns="http://schemas.openxmlformats.org/package/2006/relationships"><Relationship Id="rId31" Type="http://schemas.openxmlformats.org/officeDocument/2006/relationships/hyperlink" Target="https://drive.google.com/file/d/1vmvHI1Nes9bbhSQU7vISxTuGg7zitLbZ/view" TargetMode="External"/><Relationship Id="rId30" Type="http://schemas.openxmlformats.org/officeDocument/2006/relationships/hyperlink" Target="https://drive.google.com/file/d/1e3OdJ1n_EN2P9-98OIqN_34cyulq25Cl/view?usp=sharing" TargetMode="External"/><Relationship Id="rId33" Type="http://schemas.openxmlformats.org/officeDocument/2006/relationships/vmlDrawing" Target="../drawings/vmlDrawing5.vml"/><Relationship Id="rId32" Type="http://schemas.openxmlformats.org/officeDocument/2006/relationships/drawing" Target="../drawings/drawing8.xml"/><Relationship Id="rId20" Type="http://schemas.openxmlformats.org/officeDocument/2006/relationships/hyperlink" Target="https://drive.google.com/file/d/18KysRnBPsIBRo0PBMj_Kta3-4AxHTweq/view?usp=sharing" TargetMode="External"/><Relationship Id="rId22" Type="http://schemas.openxmlformats.org/officeDocument/2006/relationships/hyperlink" Target="https://drive.google.com/file/d/1UyN6KBcVxrnJTtw6Mi9m9jNxMaoJPcNI/view?usp=sharing" TargetMode="External"/><Relationship Id="rId21" Type="http://schemas.openxmlformats.org/officeDocument/2006/relationships/hyperlink" Target="https://drive.google.com/file/d/1acY0OgKqHTGRiO0B3y9hngH0P4QxaF89/view?usp=sharing" TargetMode="External"/><Relationship Id="rId24" Type="http://schemas.openxmlformats.org/officeDocument/2006/relationships/hyperlink" Target="https://drive.google.com/file/d/1JFbE4fgWHmYgWNGbmuuIGgQwQS5Wt4Qa/view?usp=sharing" TargetMode="External"/><Relationship Id="rId23" Type="http://schemas.openxmlformats.org/officeDocument/2006/relationships/hyperlink" Target="https://drive.google.com/file/d/1mK2iXkrNkXQEsdHiZsFoTbGT973IeePR/view?usp=sharing" TargetMode="External"/><Relationship Id="rId26" Type="http://schemas.openxmlformats.org/officeDocument/2006/relationships/hyperlink" Target="https://drive.google.com/file/d/1aNIFupOJxF5tgfNlCI28R3TwwPe0zgxE/view?usp=sharing" TargetMode="External"/><Relationship Id="rId25" Type="http://schemas.openxmlformats.org/officeDocument/2006/relationships/hyperlink" Target="https://drive.google.com/file/d/1Ri_RKsKvmCx5doYIFPo65pG6Yj6XT4QO/view?usp=sharing" TargetMode="External"/><Relationship Id="rId28" Type="http://schemas.openxmlformats.org/officeDocument/2006/relationships/hyperlink" Target="https://drive.google.com/file/d/1VK1fRjCTM-Rr_1_zdogs2bLg0vW6NIAS/view?usp=sharing" TargetMode="External"/><Relationship Id="rId27" Type="http://schemas.openxmlformats.org/officeDocument/2006/relationships/hyperlink" Target="https://drive.google.com/file/d/1VRawg-a_pEukwalh67r__kpxQuVpNyK1/view?usp=sharing" TargetMode="External"/><Relationship Id="rId29" Type="http://schemas.openxmlformats.org/officeDocument/2006/relationships/hyperlink" Target="https://drive.google.com/file/d/1PElu2m4w8sWkO2Z_iyrTQi7WApsy4kWY/view?usp=sharing" TargetMode="External"/><Relationship Id="rId11" Type="http://schemas.openxmlformats.org/officeDocument/2006/relationships/hyperlink" Target="https://drive.google.com/file/d/1HtXJTghAQCQ0zcfVR927a0Zo_EE4lOvE/view?usp=sharing" TargetMode="External"/><Relationship Id="rId10" Type="http://schemas.openxmlformats.org/officeDocument/2006/relationships/hyperlink" Target="https://drive.google.com/file/d/1AvfkFDWDns83I_HjSkYzL2FIqef1byvi/view?usp=sharing" TargetMode="External"/><Relationship Id="rId13" Type="http://schemas.openxmlformats.org/officeDocument/2006/relationships/hyperlink" Target="https://drive.google.com/file/d/1rHClOClG8tqu4-rzcMtMfTefZutuXePO/view?usp=sharing" TargetMode="External"/><Relationship Id="rId12" Type="http://schemas.openxmlformats.org/officeDocument/2006/relationships/hyperlink" Target="https://drive.google.com/file/d/1TTcf8w1-dtRcB89J_qP-6TTTjP6pAAqg/view?usp=sharing" TargetMode="External"/><Relationship Id="rId15" Type="http://schemas.openxmlformats.org/officeDocument/2006/relationships/hyperlink" Target="https://drive.google.com/file/d/1_ZecE_SyYUgexdQy3Zd7oyLNeJElL1rw/view?usp=sharing" TargetMode="External"/><Relationship Id="rId14" Type="http://schemas.openxmlformats.org/officeDocument/2006/relationships/hyperlink" Target="https://drive.google.com/file/d/1ujY_YECmt1uyPJB7kni-knyXHzjIbZOs/view?usp=sharing" TargetMode="External"/><Relationship Id="rId17" Type="http://schemas.openxmlformats.org/officeDocument/2006/relationships/hyperlink" Target="https://drive.google.com/file/d/1OG21ocVyW_O3enW__bfQUaBVGMCNQ9rS/view?usp=sharing" TargetMode="External"/><Relationship Id="rId16" Type="http://schemas.openxmlformats.org/officeDocument/2006/relationships/hyperlink" Target="https://drive.google.com/file/d/1SQkI2Vma4-0YNvE1uorPQtseLepgEYoK/view?usp=sharing" TargetMode="External"/><Relationship Id="rId19" Type="http://schemas.openxmlformats.org/officeDocument/2006/relationships/hyperlink" Target="https://drive.google.com/file/d/16tPWOI0kWOp9uFhATwMiNTt8RwkrSoGw/view?usp=sharing" TargetMode="External"/><Relationship Id="rId18" Type="http://schemas.openxmlformats.org/officeDocument/2006/relationships/hyperlink" Target="https://drive.google.com/file/d/1L1ZVrv7BBG3A1t_Arb13FCjBcEpbd9Ck/view?usp=sharing" TargetMode="External"/><Relationship Id="rId1" Type="http://schemas.openxmlformats.org/officeDocument/2006/relationships/comments" Target="../comments5.xml"/><Relationship Id="rId2" Type="http://schemas.openxmlformats.org/officeDocument/2006/relationships/hyperlink" Target="https://drive.google.com/file/d/1uaTKOUfHL7XFN5xtUTK5V1pNulIQfPBL/view?usp=sharing" TargetMode="External"/><Relationship Id="rId3" Type="http://schemas.openxmlformats.org/officeDocument/2006/relationships/hyperlink" Target="https://drive.google.com/file/d/1LsrhZCdGGFdTgT9v3Q1APAgm-FnA5SHR/view?usp=sharing" TargetMode="External"/><Relationship Id="rId4" Type="http://schemas.openxmlformats.org/officeDocument/2006/relationships/hyperlink" Target="https://drive.google.com/file/d/1uXj-5zV-6raGkhtqKiqU4Q_SoIV5UwFM/view?usp=sharing" TargetMode="External"/><Relationship Id="rId9" Type="http://schemas.openxmlformats.org/officeDocument/2006/relationships/hyperlink" Target="https://drive.google.com/file/d/1CEDO9z6pis80XKHARrtm39w9Ct-MrasV/view?usp=sharing" TargetMode="External"/><Relationship Id="rId5" Type="http://schemas.openxmlformats.org/officeDocument/2006/relationships/hyperlink" Target="https://drive.google.com/file/d/1KOt-s-Y3-hq-nj35ht8dHQbW4wgdIRnf/view?usp=sharing" TargetMode="External"/><Relationship Id="rId6" Type="http://schemas.openxmlformats.org/officeDocument/2006/relationships/hyperlink" Target="https://drive.google.com/file/d/1t6dd_9WYztv-SHwnlHkYzK89MSwCAIeJ/view?usp=sharing" TargetMode="External"/><Relationship Id="rId7" Type="http://schemas.openxmlformats.org/officeDocument/2006/relationships/hyperlink" Target="https://drive.google.com/file/d/1egtwhLHieIryK9Uwzty-WRhvnJgHNbZO/view?usp=sharing" TargetMode="External"/><Relationship Id="rId8" Type="http://schemas.openxmlformats.org/officeDocument/2006/relationships/hyperlink" Target="https://drive.google.com/file/d/1V2pRBbl_wEI6UgW0TyTdV2fHcNaUxZra/view?usp=sharing"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drive.google.com/file/d/1GlltI7YuRQgZKgU11IAlLVTor6SLzIIy/view?usp=sharing" TargetMode="External"/><Relationship Id="rId190" Type="http://schemas.openxmlformats.org/officeDocument/2006/relationships/hyperlink" Target="https://drive.google.com/file/d/1ZXhQz2JHAh-5f1ikXGhY7U-oZ-OX87Ry/view?usp=sharing" TargetMode="External"/><Relationship Id="rId42" Type="http://schemas.openxmlformats.org/officeDocument/2006/relationships/hyperlink" Target="https://drive.google.com/file/d/1xIaDQRFOH-3LXSe3lNSkjNezyN5Zn7Qc/view?usp=sharing" TargetMode="External"/><Relationship Id="rId41" Type="http://schemas.openxmlformats.org/officeDocument/2006/relationships/hyperlink" Target="https://drive.google.com/file/d/1g0aAk-y8GIJm-oqFy-LTpcDxISOTpce1/view?usp=sharing" TargetMode="External"/><Relationship Id="rId44" Type="http://schemas.openxmlformats.org/officeDocument/2006/relationships/hyperlink" Target="https://drive.google.com/file/d/1QIcBFeCkyJ7xCMzhuUiT63VOM-7GAM5S/view?usp=sharing" TargetMode="External"/><Relationship Id="rId43" Type="http://schemas.openxmlformats.org/officeDocument/2006/relationships/hyperlink" Target="https://drive.google.com/file/d/1irTr3pSzu5KpY580gQT71Go1v0ZeWVqG/view?usp=sharing" TargetMode="External"/><Relationship Id="rId46" Type="http://schemas.openxmlformats.org/officeDocument/2006/relationships/hyperlink" Target="https://drive.google.com/file/d/1uMRxEq3Ohs_qsRdEv-bbQovi6bbCHlD3/view?usp=sharing" TargetMode="External"/><Relationship Id="rId192" Type="http://schemas.openxmlformats.org/officeDocument/2006/relationships/vmlDrawing" Target="../drawings/vmlDrawing6.vml"/><Relationship Id="rId45" Type="http://schemas.openxmlformats.org/officeDocument/2006/relationships/hyperlink" Target="https://drive.google.com/file/d/10GRoZ9o5IWGdTqHFx3Fo3lJ22fZGIi-A/view?usp=sharing" TargetMode="External"/><Relationship Id="rId191" Type="http://schemas.openxmlformats.org/officeDocument/2006/relationships/drawing" Target="../drawings/drawing9.xml"/><Relationship Id="rId48" Type="http://schemas.openxmlformats.org/officeDocument/2006/relationships/hyperlink" Target="https://drive.google.com/file/d/1wzGovjh6R-Z_-HrGVWGN5XXujwg8vK1X/view?usp=sharing" TargetMode="External"/><Relationship Id="rId187" Type="http://schemas.openxmlformats.org/officeDocument/2006/relationships/hyperlink" Target="https://drive.google.com/file/d/1C3dbjClmGd9Hs6DfBrKUpWl39ZWXQztw/view?usp=sharing" TargetMode="External"/><Relationship Id="rId47" Type="http://schemas.openxmlformats.org/officeDocument/2006/relationships/hyperlink" Target="https://drive.google.com/file/d/1fLU0o5KYXaavSWZGMcPq9v7gY3itWQ-k/view?usp=sharing" TargetMode="External"/><Relationship Id="rId186" Type="http://schemas.openxmlformats.org/officeDocument/2006/relationships/hyperlink" Target="https://drive.google.com/file/d/18bWe8-RQnyoamMjdVacHapo-POMBIYks/view?usp=sharing" TargetMode="External"/><Relationship Id="rId185" Type="http://schemas.openxmlformats.org/officeDocument/2006/relationships/hyperlink" Target="https://drive.google.com/file/d/1nzChbO6t7LW0kw5aj0B4fv9S0v4J_EiV/view?usp=sharing" TargetMode="External"/><Relationship Id="rId49" Type="http://schemas.openxmlformats.org/officeDocument/2006/relationships/hyperlink" Target="https://drive.google.com/file/d/12_C0UiT9gjfQn2jGMkL7fHEPl-OuZ_6R/view?usp=sharing" TargetMode="External"/><Relationship Id="rId184" Type="http://schemas.openxmlformats.org/officeDocument/2006/relationships/hyperlink" Target="https://drive.google.com/file/d/182V8WY3T3AVcHMS2CRQTPiNGaY5Ihhdn/view?usp=sharing" TargetMode="External"/><Relationship Id="rId189" Type="http://schemas.openxmlformats.org/officeDocument/2006/relationships/hyperlink" Target="https://drive.google.com/file/d/1wzrWLY0p9R6RlaiaKkNBPbjRWBUbqY3J/view?usp=sharing" TargetMode="External"/><Relationship Id="rId188" Type="http://schemas.openxmlformats.org/officeDocument/2006/relationships/hyperlink" Target="https://drive.google.com/file/d/1fSeRGpRnkhxykD5P5QmHxxQH8seyu7tc/view?usp=sharing" TargetMode="External"/><Relationship Id="rId31" Type="http://schemas.openxmlformats.org/officeDocument/2006/relationships/hyperlink" Target="https://drive.google.com/file/d/1PTeU6cdX5P7JTTBXQXq6huGsuOr_OHrq/view?usp=sharing" TargetMode="External"/><Relationship Id="rId30" Type="http://schemas.openxmlformats.org/officeDocument/2006/relationships/hyperlink" Target="https://drive.google.com/file/d/15MP1ryxn-Zse7pYbWBr0kwaijjGFtNnT/view?usp=sharing" TargetMode="External"/><Relationship Id="rId33" Type="http://schemas.openxmlformats.org/officeDocument/2006/relationships/hyperlink" Target="https://drive.google.com/file/d/1jT4Op_pNO8qD5is3qhj-lDwfN7Tc95uw/view?usp=sharing" TargetMode="External"/><Relationship Id="rId183" Type="http://schemas.openxmlformats.org/officeDocument/2006/relationships/hyperlink" Target="https://drive.google.com/file/d/15TjyDtemB_i1orlOpi7ASuS-aoJR3jr8/view?usp=sharing" TargetMode="External"/><Relationship Id="rId32" Type="http://schemas.openxmlformats.org/officeDocument/2006/relationships/hyperlink" Target="https://drive.google.com/file/d/1y6IqtXgakLJvk5QvEBj75yYSTt3ropSp/view?usp=sharing" TargetMode="External"/><Relationship Id="rId182" Type="http://schemas.openxmlformats.org/officeDocument/2006/relationships/hyperlink" Target="https://drive.google.com/file/d/1SoTCvLWUK6NXeIX9jYDt13B954iKA-xr/view?usp=sharing" TargetMode="External"/><Relationship Id="rId35" Type="http://schemas.openxmlformats.org/officeDocument/2006/relationships/hyperlink" Target="https://drive.google.com/file/d/1IZKfEJeNDJI_4yJVLrW-oKDJcPZCqeaN/view?usp=sharing" TargetMode="External"/><Relationship Id="rId181" Type="http://schemas.openxmlformats.org/officeDocument/2006/relationships/hyperlink" Target="https://drive.google.com/file/d/1Sj3HlJV-b9aCbUVJXUOnTEPwftFG6sMR/view?usp=sharing" TargetMode="External"/><Relationship Id="rId34" Type="http://schemas.openxmlformats.org/officeDocument/2006/relationships/hyperlink" Target="https://drive.google.com/file/d/1E5PhVRg-DLVJdQXU140WCiDrLDYMrpqR/view?usp=sharing" TargetMode="External"/><Relationship Id="rId180" Type="http://schemas.openxmlformats.org/officeDocument/2006/relationships/hyperlink" Target="https://drive.google.com/file/d/1vRMcmjr2EUxb1J6uJ3q2TJkNwXmiEvh5/view?usp=sharing" TargetMode="External"/><Relationship Id="rId37" Type="http://schemas.openxmlformats.org/officeDocument/2006/relationships/hyperlink" Target="https://drive.google.com/file/d/1BYkB0LsMBubDy_FBzv3IIMZZryzuCMQu/view?usp=sharing" TargetMode="External"/><Relationship Id="rId176" Type="http://schemas.openxmlformats.org/officeDocument/2006/relationships/hyperlink" Target="https://drive.google.com/file/d/1GFSy74CI_B40ohnmMQc_s0FfyXS3AGY1/view?usp=sharing" TargetMode="External"/><Relationship Id="rId36" Type="http://schemas.openxmlformats.org/officeDocument/2006/relationships/hyperlink" Target="https://drive.google.com/file/d/1XdPxnlCFiEAGhQoDvSheMfuUTP5d_-jz/view?usp=sharing" TargetMode="External"/><Relationship Id="rId175" Type="http://schemas.openxmlformats.org/officeDocument/2006/relationships/hyperlink" Target="https://drive.google.com/file/d/12CAR0cs9-njd7yf3LL_Ia4Fuwk1DgKVy/view?usp=sharing" TargetMode="External"/><Relationship Id="rId39" Type="http://schemas.openxmlformats.org/officeDocument/2006/relationships/hyperlink" Target="https://drive.google.com/file/d/19l_J5usYFn4DrNErOVNNlj4wF5Ksl-2w/view?usp=sharing" TargetMode="External"/><Relationship Id="rId174" Type="http://schemas.openxmlformats.org/officeDocument/2006/relationships/hyperlink" Target="https://drive.google.com/file/d/1tQ4R5d35x58-S9ldceOtc59PFrK6Ib1a/view?usp=sharing" TargetMode="External"/><Relationship Id="rId38" Type="http://schemas.openxmlformats.org/officeDocument/2006/relationships/hyperlink" Target="https://drive.google.com/file/d/1Dh_wA8zfeRP8GQxBjZ-lPAaMYTjSZTjd/view?usp=sharing" TargetMode="External"/><Relationship Id="rId173" Type="http://schemas.openxmlformats.org/officeDocument/2006/relationships/hyperlink" Target="https://drive.google.com/file/d/1j2KYwU1Kppmm8X9NEjXjuKd5aSFNmVoC/view?usp=sharing" TargetMode="External"/><Relationship Id="rId179" Type="http://schemas.openxmlformats.org/officeDocument/2006/relationships/hyperlink" Target="https://drive.google.com/file/d/10mcHhvq0LYynvQXtbsWoiWu483gtdEVB/view?usp=sharing" TargetMode="External"/><Relationship Id="rId178" Type="http://schemas.openxmlformats.org/officeDocument/2006/relationships/hyperlink" Target="https://drive.google.com/file/d/1oZN4tb5opLDcZUxNd85mBreOhP5O6Tsl/view?usp=sharing" TargetMode="External"/><Relationship Id="rId177" Type="http://schemas.openxmlformats.org/officeDocument/2006/relationships/hyperlink" Target="https://drive.google.com/file/d/1kcmr-dRi6kFMArkFw2lqJydw782mpL3Z/view?usp=sharing" TargetMode="External"/><Relationship Id="rId20" Type="http://schemas.openxmlformats.org/officeDocument/2006/relationships/hyperlink" Target="https://drive.google.com/file/d/1qGvxe5-Giv_jOPoGps9JZIOMijodp2gD/view?usp=sharing" TargetMode="External"/><Relationship Id="rId22" Type="http://schemas.openxmlformats.org/officeDocument/2006/relationships/hyperlink" Target="https://drive.google.com/file/d/1ociRVoaiSngUygCee5MwMyomraqDoCNS/view?usp=sharing" TargetMode="External"/><Relationship Id="rId21" Type="http://schemas.openxmlformats.org/officeDocument/2006/relationships/hyperlink" Target="https://drive.google.com/file/d/1NAxPKTJZen8FfRoPS9OfMthfwPd0OaVr/view?usp=sharing" TargetMode="External"/><Relationship Id="rId24" Type="http://schemas.openxmlformats.org/officeDocument/2006/relationships/hyperlink" Target="https://drive.google.com/file/d/1rl3ZQYBJ-ER0VvUGOvY83oO7fRnOI-uZ/view?usp=sharing" TargetMode="External"/><Relationship Id="rId23" Type="http://schemas.openxmlformats.org/officeDocument/2006/relationships/hyperlink" Target="https://drive.google.com/file/d/1nsdg_9SjBmMIRBnoNSYJmNrwIuQHNZ_7/view?usp=sharing" TargetMode="External"/><Relationship Id="rId26" Type="http://schemas.openxmlformats.org/officeDocument/2006/relationships/hyperlink" Target="https://drive.google.com/file/d/1ynuBNjnJn-bb1EFiSK-RmzQ2rBGfyDtl/view?usp=sharing" TargetMode="External"/><Relationship Id="rId25" Type="http://schemas.openxmlformats.org/officeDocument/2006/relationships/hyperlink" Target="https://drive.google.com/file/d/1-lFwJ7-sVtSecvWUvMLSHjUp5WDcQMP5/view?usp=sharing" TargetMode="External"/><Relationship Id="rId28" Type="http://schemas.openxmlformats.org/officeDocument/2006/relationships/hyperlink" Target="https://drive.google.com/file/d/1iuBj_ten_W9FVG7ozZkyzMcN3W7cNWaJ/view?usp=sharing" TargetMode="External"/><Relationship Id="rId27" Type="http://schemas.openxmlformats.org/officeDocument/2006/relationships/hyperlink" Target="https://drive.google.com/file/d/1ZOHfCLN16hVxj2xo5t1rRy90tbFcgAo2/view?usp=sharing" TargetMode="External"/><Relationship Id="rId29" Type="http://schemas.openxmlformats.org/officeDocument/2006/relationships/hyperlink" Target="https://drive.google.com/file/d/134I3Ijp7moC2_PTmz5rqEt6D07KxOQny/view?usp=sharing" TargetMode="External"/><Relationship Id="rId11" Type="http://schemas.openxmlformats.org/officeDocument/2006/relationships/hyperlink" Target="https://drive.google.com/file/d/1cROXNtDxlv9yBKLseITZ8Jk7Qngxa8LW/view?usp=sharing" TargetMode="External"/><Relationship Id="rId10" Type="http://schemas.openxmlformats.org/officeDocument/2006/relationships/hyperlink" Target="https://drive.google.com/file/d/1qeZj5v-6ZK3R5NW4S4tn0QQ_DhNtRF0D/view?usp=sharing" TargetMode="External"/><Relationship Id="rId13" Type="http://schemas.openxmlformats.org/officeDocument/2006/relationships/hyperlink" Target="https://drive.google.com/file/d/1Amijn8l5kLAQZIwdbn-riQsq6CiZz1ro/view?usp=sharing" TargetMode="External"/><Relationship Id="rId12" Type="http://schemas.openxmlformats.org/officeDocument/2006/relationships/hyperlink" Target="https://drive.google.com/file/d/1DnxJq0hn_3OHr3mzKtXv_ZAn17p_9ubh/view?usp=sharing" TargetMode="External"/><Relationship Id="rId15" Type="http://schemas.openxmlformats.org/officeDocument/2006/relationships/hyperlink" Target="https://drive.google.com/file/d/1xM-hSAXZrARiI5YclU98Omec4S8Kw--R/view?usp=sharing" TargetMode="External"/><Relationship Id="rId14" Type="http://schemas.openxmlformats.org/officeDocument/2006/relationships/hyperlink" Target="https://drive.google.com/file/d/1X1DKuSs7X1PqCpMm2BuUX1okW11uWLbF/view?usp=sharing" TargetMode="External"/><Relationship Id="rId17" Type="http://schemas.openxmlformats.org/officeDocument/2006/relationships/hyperlink" Target="https://drive.google.com/file/d/1t5jjD2DwHk9w1GrVyLnPtNoTOVG22mgO/view?usp=sharing" TargetMode="External"/><Relationship Id="rId16" Type="http://schemas.openxmlformats.org/officeDocument/2006/relationships/hyperlink" Target="https://drive.google.com/file/d/1j1-omrMEugHyR2O9DL_KYPVV2MSiDzR6/view?usp=sharing" TargetMode="External"/><Relationship Id="rId19" Type="http://schemas.openxmlformats.org/officeDocument/2006/relationships/hyperlink" Target="https://drive.google.com/file/d/1DWaOvX1wpNF-bziaslHz2cSPw7In1tIn/view?usp=sharing" TargetMode="External"/><Relationship Id="rId18" Type="http://schemas.openxmlformats.org/officeDocument/2006/relationships/hyperlink" Target="https://drive.google.com/file/d/16jD0S5fxIpDlBnuM54-2TEq8QKUgGMnp/view?usp=sharing" TargetMode="External"/><Relationship Id="rId84" Type="http://schemas.openxmlformats.org/officeDocument/2006/relationships/hyperlink" Target="https://drive.google.com/file/d/1Fa4amdJ3i5aqNW7VM_obBBEzMmGu4h3K/view?usp=sharing" TargetMode="External"/><Relationship Id="rId83" Type="http://schemas.openxmlformats.org/officeDocument/2006/relationships/hyperlink" Target="https://drive.google.com/file/d/1UelMT2ugdEUmauMF8rCf_92TQkMFRBRw/view?usp=sharing" TargetMode="External"/><Relationship Id="rId86" Type="http://schemas.openxmlformats.org/officeDocument/2006/relationships/hyperlink" Target="https://drive.google.com/file/d/1UNtF8CpSLluuH6oF8SX-XEI7LHfjH2rp/view?usp=sharing" TargetMode="External"/><Relationship Id="rId85" Type="http://schemas.openxmlformats.org/officeDocument/2006/relationships/hyperlink" Target="https://drive.google.com/file/d/1hE7HYipSv1rs5u_MLQSWW2Vbfex2dDoy/view?usp=sharing" TargetMode="External"/><Relationship Id="rId88" Type="http://schemas.openxmlformats.org/officeDocument/2006/relationships/hyperlink" Target="https://drive.google.com/file/d/18p8r93-7ZoH2L4FURNAiUW_766YhRqoT/view?usp=sharing" TargetMode="External"/><Relationship Id="rId150" Type="http://schemas.openxmlformats.org/officeDocument/2006/relationships/hyperlink" Target="https://drive.google.com/file/d/1qQ6-_Ds0alnPaQVeU0jVYvipZyGjMXMh/view?usp=sharing" TargetMode="External"/><Relationship Id="rId87" Type="http://schemas.openxmlformats.org/officeDocument/2006/relationships/hyperlink" Target="https://drive.google.com/file/d/1lT6-oPeRT_pMzgHAvHjRA9iTuojmb-wp/view?usp=sharing" TargetMode="External"/><Relationship Id="rId89" Type="http://schemas.openxmlformats.org/officeDocument/2006/relationships/hyperlink" Target="https://drive.google.com/file/d/1nCIOcxwknhFkAqhFiIzoucyAHJG6Yjov/view?usp=sharing" TargetMode="External"/><Relationship Id="rId80" Type="http://schemas.openxmlformats.org/officeDocument/2006/relationships/hyperlink" Target="https://drive.google.com/file/d/1xes7Qppss-YxEUP52JMUaF0pT0WvYnwc/view?usp=sharing" TargetMode="External"/><Relationship Id="rId82" Type="http://schemas.openxmlformats.org/officeDocument/2006/relationships/hyperlink" Target="https://drive.google.com/file/d/1V36vYr8l88XHHBvjDkbvV8bRUmdHPQd9/view?usp=sharing" TargetMode="External"/><Relationship Id="rId81" Type="http://schemas.openxmlformats.org/officeDocument/2006/relationships/hyperlink" Target="https://drive.google.com/file/d/1WwP1KmXyD2IKbmZL-A5VZdfTc0k8RIsk/view?usp=sharing" TargetMode="External"/><Relationship Id="rId1" Type="http://schemas.openxmlformats.org/officeDocument/2006/relationships/comments" Target="../comments6.xml"/><Relationship Id="rId2" Type="http://schemas.openxmlformats.org/officeDocument/2006/relationships/hyperlink" Target="https://drive.google.com/file/d/1iPGrcvSgifxrzzvI9IgeC2G61rmHsB97/view?usp=sharing" TargetMode="External"/><Relationship Id="rId3" Type="http://schemas.openxmlformats.org/officeDocument/2006/relationships/hyperlink" Target="https://drive.google.com/file/d/1nRDWkGVtfpAHqzlB7nYWX-yVsZ-e6HNZ/view?usp=sharing" TargetMode="External"/><Relationship Id="rId149" Type="http://schemas.openxmlformats.org/officeDocument/2006/relationships/hyperlink" Target="https://drive.google.com/file/d/1PqsFs5PGj7MQAYegKPdS0VoYFSkMkozW/view?usp=sharing" TargetMode="External"/><Relationship Id="rId4" Type="http://schemas.openxmlformats.org/officeDocument/2006/relationships/hyperlink" Target="https://drive.google.com/file/d/1Mq__W0At6ZJ7ZBKLJa08pkfF18Xua24-/view?usp=sharing" TargetMode="External"/><Relationship Id="rId148" Type="http://schemas.openxmlformats.org/officeDocument/2006/relationships/hyperlink" Target="https://drive.google.com/file/d/1xXosxaVtup3RiB1cJlH8HHlda76WI5ce/view?usp=sharing" TargetMode="External"/><Relationship Id="rId9" Type="http://schemas.openxmlformats.org/officeDocument/2006/relationships/hyperlink" Target="https://drive.google.com/file/d/1v8lRI__hG7anBkf6lQSOiUlj_50JUdpd/view?usp=sharing" TargetMode="External"/><Relationship Id="rId143" Type="http://schemas.openxmlformats.org/officeDocument/2006/relationships/hyperlink" Target="https://drive.google.com/file/d/1WtaXOH07RRjWJ5z9mebwf7wla3JnhVv2/view?usp=sharing" TargetMode="External"/><Relationship Id="rId142" Type="http://schemas.openxmlformats.org/officeDocument/2006/relationships/hyperlink" Target="https://drive.google.com/file/d/1ECrXa6QUhjbQpNoCcOm8cVYTJSi8tBmi/view?usp=sharing" TargetMode="External"/><Relationship Id="rId141" Type="http://schemas.openxmlformats.org/officeDocument/2006/relationships/hyperlink" Target="https://drive.google.com/file/d/1jVcSyIA2RrFHYgMfPrxFwuHF8G7uC4GR/view?usp=sharing" TargetMode="External"/><Relationship Id="rId140" Type="http://schemas.openxmlformats.org/officeDocument/2006/relationships/hyperlink" Target="https://drive.google.com/file/d/17JlJCj9E94cE4vlu1Ge6gdSoJ8esE6-O/view?usp=sharing" TargetMode="External"/><Relationship Id="rId5" Type="http://schemas.openxmlformats.org/officeDocument/2006/relationships/hyperlink" Target="https://drive.google.com/file/d/1FgGgO18LvLfz4sYElvDv4qDKE9KzyJJ2/view?usp=sharing" TargetMode="External"/><Relationship Id="rId147" Type="http://schemas.openxmlformats.org/officeDocument/2006/relationships/hyperlink" Target="https://drive.google.com/file/d/1dM4sqhfieJT7YkZlIiesZ2TddNyKu-_7/view?usp=sharing" TargetMode="External"/><Relationship Id="rId6" Type="http://schemas.openxmlformats.org/officeDocument/2006/relationships/hyperlink" Target="https://drive.google.com/file/d/1Lf8vTNyCrEKNh_9QwKqzqyTRPvSCZviJ/view?usp=sharing" TargetMode="External"/><Relationship Id="rId146" Type="http://schemas.openxmlformats.org/officeDocument/2006/relationships/hyperlink" Target="https://drive.google.com/file/d/1j_4t_XnRiXyCpfezXQFS2q8wCJQUVSPb/view?usp=sharing" TargetMode="External"/><Relationship Id="rId7" Type="http://schemas.openxmlformats.org/officeDocument/2006/relationships/hyperlink" Target="https://drive.google.com/file/d/1r8uDkbmMYZ9cH3Ek2xveIHoq54zuRIlb/view?usp=sharing" TargetMode="External"/><Relationship Id="rId145" Type="http://schemas.openxmlformats.org/officeDocument/2006/relationships/hyperlink" Target="https://drive.google.com/file/d/1RSIiqr5lB-VNByXfXUnGh23Eq9aVIuSa/view?usp=sharing" TargetMode="External"/><Relationship Id="rId8" Type="http://schemas.openxmlformats.org/officeDocument/2006/relationships/hyperlink" Target="https://drive.google.com/file/d/1lyEi2Y_2VISf6NBkQrQKgOioas3v2EHi/view?usp=sharing" TargetMode="External"/><Relationship Id="rId144" Type="http://schemas.openxmlformats.org/officeDocument/2006/relationships/hyperlink" Target="https://drive.google.com/file/d/1pj-BMt_GFUFsWnyn2NLi8CZ6L-X5Nieg/view?usp=sharing" TargetMode="External"/><Relationship Id="rId73" Type="http://schemas.openxmlformats.org/officeDocument/2006/relationships/hyperlink" Target="https://drive.google.com/file/d/1uneXidh2T62d3TwssVrWeLIp_GPBEJDf/view?usp=sharing" TargetMode="External"/><Relationship Id="rId72" Type="http://schemas.openxmlformats.org/officeDocument/2006/relationships/hyperlink" Target="https://drive.google.com/file/d/10LuaF3EBD6DJpbqTkUkg5zzZI6hR3IdW/view?usp=sharing" TargetMode="External"/><Relationship Id="rId75" Type="http://schemas.openxmlformats.org/officeDocument/2006/relationships/hyperlink" Target="https://drive.google.com/file/d/1SJDwIfeepDvAMG4E9FwkzxxHvuE3XxnN/view?usp=sharing" TargetMode="External"/><Relationship Id="rId74" Type="http://schemas.openxmlformats.org/officeDocument/2006/relationships/hyperlink" Target="https://drive.google.com/file/d/1q76OGgYZunOMTmli0itNhlahob9yr9eS/view?usp=sharing" TargetMode="External"/><Relationship Id="rId77" Type="http://schemas.openxmlformats.org/officeDocument/2006/relationships/hyperlink" Target="https://drive.google.com/file/d/1pMHrM8t1aAfzWVMIyo8P6-LnhFEd7Il6/view?usp=sharing" TargetMode="External"/><Relationship Id="rId76" Type="http://schemas.openxmlformats.org/officeDocument/2006/relationships/hyperlink" Target="https://drive.google.com/file/d/1uMzPa9otUdbvBAwyCND8bRZFq7huRtpP/view?usp=sharing" TargetMode="External"/><Relationship Id="rId79" Type="http://schemas.openxmlformats.org/officeDocument/2006/relationships/hyperlink" Target="https://drive.google.com/file/d/1i_rKqAXdWdf5b0TV_2KrrCDylul7aIoy/view?usp=sharing" TargetMode="External"/><Relationship Id="rId78" Type="http://schemas.openxmlformats.org/officeDocument/2006/relationships/hyperlink" Target="https://drive.google.com/file/d/1wCTWeAgmkIpE4GbhEWy1iqNrakLauJPN/view?usp=sharing" TargetMode="External"/><Relationship Id="rId71" Type="http://schemas.openxmlformats.org/officeDocument/2006/relationships/hyperlink" Target="https://drive.google.com/file/d/16275wUlc_uuvJT7CsESdLg-nuByv16EF/view?usp=sharing" TargetMode="External"/><Relationship Id="rId70" Type="http://schemas.openxmlformats.org/officeDocument/2006/relationships/hyperlink" Target="https://drive.google.com/file/d/1hHkea-VlGhSMuk9i0146vJyZ3Gk4noqe/view?usp=sharing" TargetMode="External"/><Relationship Id="rId139" Type="http://schemas.openxmlformats.org/officeDocument/2006/relationships/hyperlink" Target="https://drive.google.com/file/d/1bwgmNOoVcapbeOU1OP4jsn9rWJpXHqrH/view?usp=sharing" TargetMode="External"/><Relationship Id="rId138" Type="http://schemas.openxmlformats.org/officeDocument/2006/relationships/hyperlink" Target="https://drive.google.com/file/d/19m0VUbUUdiHCI5BV9xZ_PCTO2umkkAfA/view?usp=sharing" TargetMode="External"/><Relationship Id="rId137" Type="http://schemas.openxmlformats.org/officeDocument/2006/relationships/hyperlink" Target="https://drive.google.com/file/d/1HjhGN4Vf08Iru1kTZ3ipAX_eO-VK-a9t/view?usp=sharing" TargetMode="External"/><Relationship Id="rId132" Type="http://schemas.openxmlformats.org/officeDocument/2006/relationships/hyperlink" Target="https://drive.google.com/file/d/1MCr_1QSvDBUmORHhxDqzEBEV2U8DOlaa/view?usp=sharing" TargetMode="External"/><Relationship Id="rId131" Type="http://schemas.openxmlformats.org/officeDocument/2006/relationships/hyperlink" Target="https://drive.google.com/file/d/1CPKDd07Ozk5t_y9oGVtepKxgrC2SVmNV/view?usp=sharing" TargetMode="External"/><Relationship Id="rId130" Type="http://schemas.openxmlformats.org/officeDocument/2006/relationships/hyperlink" Target="https://drive.google.com/file/d/1yOQnNdks1FCxGLS2B88NU7wSBlFOy32C/view?usp=sharing" TargetMode="External"/><Relationship Id="rId136" Type="http://schemas.openxmlformats.org/officeDocument/2006/relationships/hyperlink" Target="https://drive.google.com/file/d/1Z1DHAY6Pp4PNLdRnRs5bhi9HjBSVUyNc/view?usp=sharing" TargetMode="External"/><Relationship Id="rId135" Type="http://schemas.openxmlformats.org/officeDocument/2006/relationships/hyperlink" Target="https://drive.google.com/file/d/1JkHg_8gXtIr0dkejVfO6dmSGtj5H9CgA/view?usp=sharing" TargetMode="External"/><Relationship Id="rId134" Type="http://schemas.openxmlformats.org/officeDocument/2006/relationships/hyperlink" Target="https://drive.google.com/file/d/178DO1gvTsll3aYwVCfmmDqKLf40Qp-b-/view?usp=sharing" TargetMode="External"/><Relationship Id="rId133" Type="http://schemas.openxmlformats.org/officeDocument/2006/relationships/hyperlink" Target="https://drive.google.com/file/d/1LAcp09j7aUVL9lVS-jqX6PjEYmqSkoSS/view?usp=sharing" TargetMode="External"/><Relationship Id="rId62" Type="http://schemas.openxmlformats.org/officeDocument/2006/relationships/hyperlink" Target="https://drive.google.com/file/d/1p6d4opCvSBKRKQHX9Gsh4HxkDhJZzowU/view?usp=sharing" TargetMode="External"/><Relationship Id="rId61" Type="http://schemas.openxmlformats.org/officeDocument/2006/relationships/hyperlink" Target="https://drive.google.com/file/d/1YcCb8PUMbbgJcT2Iyipin77Tmwut7rE1/view?usp=sharing" TargetMode="External"/><Relationship Id="rId64" Type="http://schemas.openxmlformats.org/officeDocument/2006/relationships/hyperlink" Target="https://drive.google.com/file/d/1OBQQ1iE_mL7u0Jjq6sKQhomoTITzU8_B/view?usp=sharing" TargetMode="External"/><Relationship Id="rId63" Type="http://schemas.openxmlformats.org/officeDocument/2006/relationships/hyperlink" Target="https://drive.google.com/file/d/1NW53femfD2Rfh0ldkZha2EcdR7kp5HTu/view?usp=sharing" TargetMode="External"/><Relationship Id="rId66" Type="http://schemas.openxmlformats.org/officeDocument/2006/relationships/hyperlink" Target="https://drive.google.com/file/d/1kOXypaZaDOwph93qE5mrmMGJOAb6frZL/view?usp=sharing" TargetMode="External"/><Relationship Id="rId172" Type="http://schemas.openxmlformats.org/officeDocument/2006/relationships/hyperlink" Target="https://drive.google.com/file/d/1hV7r5biCIFXfW2M9J5FETi_CT3-CWm9E/view?usp=sharing" TargetMode="External"/><Relationship Id="rId65" Type="http://schemas.openxmlformats.org/officeDocument/2006/relationships/hyperlink" Target="https://drive.google.com/file/d/1XPxd6OWkV6JFxMk1jmih9U_Iw0WGKBEM/view?usp=sharing" TargetMode="External"/><Relationship Id="rId171" Type="http://schemas.openxmlformats.org/officeDocument/2006/relationships/hyperlink" Target="https://drive.google.com/file/d/1eiAggbWUl2th9Mj8L-0TvJvmtXfCswdD/view?usp=sharing" TargetMode="External"/><Relationship Id="rId68" Type="http://schemas.openxmlformats.org/officeDocument/2006/relationships/hyperlink" Target="https://drive.google.com/file/d/1vY06mZtWvTZdsZNdnu6lRV4djiNocZ4D/view?usp=sharing" TargetMode="External"/><Relationship Id="rId170" Type="http://schemas.openxmlformats.org/officeDocument/2006/relationships/hyperlink" Target="https://drive.google.com/file/d/1rKcAbZbN-qIGgxEpmTAihM7bgwE3-whP/view?usp=sharing" TargetMode="External"/><Relationship Id="rId67" Type="http://schemas.openxmlformats.org/officeDocument/2006/relationships/hyperlink" Target="https://drive.google.com/file/d/13lAqvoMPCOAgvngaK2SePejrZZSF2Mcp/view?usp=sharing" TargetMode="External"/><Relationship Id="rId60" Type="http://schemas.openxmlformats.org/officeDocument/2006/relationships/hyperlink" Target="https://drive.google.com/file/d/1VILcZfCUc-z6l5x9SdjxxrDKco9YWf37/view?usp=sharing" TargetMode="External"/><Relationship Id="rId165" Type="http://schemas.openxmlformats.org/officeDocument/2006/relationships/hyperlink" Target="https://drive.google.com/file/d/1iEO42jQ-BS8aHOwFxgeHX9W2PYaUy6FW/view?usp=sharing" TargetMode="External"/><Relationship Id="rId69" Type="http://schemas.openxmlformats.org/officeDocument/2006/relationships/hyperlink" Target="https://drive.google.com/file/d/1FFXnFGSwRgPAuikKgb9kETs89lVzYO_E/view?usp=sharing" TargetMode="External"/><Relationship Id="rId164" Type="http://schemas.openxmlformats.org/officeDocument/2006/relationships/hyperlink" Target="https://drive.google.com/file/d/1hnWIreHfKvJrxT1_DnezRntEBXk8dhiJ/view?usp=sharing" TargetMode="External"/><Relationship Id="rId163" Type="http://schemas.openxmlformats.org/officeDocument/2006/relationships/hyperlink" Target="https://drive.google.com/file/d/1nvw7tNYNvlK3Aga4PoZ8xS2dIGE-2Pj3/view?usp=sharing" TargetMode="External"/><Relationship Id="rId162" Type="http://schemas.openxmlformats.org/officeDocument/2006/relationships/hyperlink" Target="https://drive.google.com/file/d/1osDHSiGP3XQ2ML_KCOAF9D4UhjLZNLCq/view?usp=sharing" TargetMode="External"/><Relationship Id="rId169" Type="http://schemas.openxmlformats.org/officeDocument/2006/relationships/hyperlink" Target="https://drive.google.com/file/d/1NpIRVRgEDZZlPh4sJU9O81Fp94Dite2_/view?usp=sharing" TargetMode="External"/><Relationship Id="rId168" Type="http://schemas.openxmlformats.org/officeDocument/2006/relationships/hyperlink" Target="https://drive.google.com/file/d/1xPuJdo7fqB1FvS8DOFstx7TkQtMvqlF7/view?usp=sharing" TargetMode="External"/><Relationship Id="rId167" Type="http://schemas.openxmlformats.org/officeDocument/2006/relationships/hyperlink" Target="https://drive.google.com/file/d/1HvCK9pKnVvOc1DuCR8xUB_CSkvPhvpXX/view?usp=sharing" TargetMode="External"/><Relationship Id="rId166" Type="http://schemas.openxmlformats.org/officeDocument/2006/relationships/hyperlink" Target="https://drive.google.com/file/d/1kdm-1kndBVrQnArUtYYKMxpKbbzdp-gW/view?usp=sharing" TargetMode="External"/><Relationship Id="rId51" Type="http://schemas.openxmlformats.org/officeDocument/2006/relationships/hyperlink" Target="https://drive.google.com/file/d/1KkYLjYCijvdMF2Cix2b3hbQOHgkFi4vA/view?usp=sharing" TargetMode="External"/><Relationship Id="rId50" Type="http://schemas.openxmlformats.org/officeDocument/2006/relationships/hyperlink" Target="https://drive.google.com/file/d/1cbRkzFkOdTDHmuntessPUymcG4v8s9TE/view?usp=sharing" TargetMode="External"/><Relationship Id="rId53" Type="http://schemas.openxmlformats.org/officeDocument/2006/relationships/hyperlink" Target="https://drive.google.com/file/d/1kJCQfpwmGdPu3WdRbvUtts_sreL9ZeEn/view?usp=sharing" TargetMode="External"/><Relationship Id="rId52" Type="http://schemas.openxmlformats.org/officeDocument/2006/relationships/hyperlink" Target="https://drive.google.com/file/d/1ca8wYb4bi0KbhbxYvW79uhYbzur2RARc/view?usp=sharing" TargetMode="External"/><Relationship Id="rId55" Type="http://schemas.openxmlformats.org/officeDocument/2006/relationships/hyperlink" Target="https://drive.google.com/file/d/1YEY8GZgRgsgjTSQe7ptu7ehL2r92ZAEA/view?usp=sharing" TargetMode="External"/><Relationship Id="rId161" Type="http://schemas.openxmlformats.org/officeDocument/2006/relationships/hyperlink" Target="https://drive.google.com/file/d/1LBfgJyP0zf0o8bZCEpf4ZFTl8DlmChT-/view?usp=sharing" TargetMode="External"/><Relationship Id="rId54" Type="http://schemas.openxmlformats.org/officeDocument/2006/relationships/hyperlink" Target="https://drive.google.com/file/d/12nJ_3ifRi8itSHrBZDy37wlzlBqQziTu/view?usp=sharing" TargetMode="External"/><Relationship Id="rId160" Type="http://schemas.openxmlformats.org/officeDocument/2006/relationships/hyperlink" Target="https://drive.google.com/file/d/1TxNhE3te0pt-OwNgpVqhgMDvkaAiEjZ5/view?usp=sharing" TargetMode="External"/><Relationship Id="rId57" Type="http://schemas.openxmlformats.org/officeDocument/2006/relationships/hyperlink" Target="https://drive.google.com/file/d/1Gf9DBu9vXrzBOAG0mmJt7rb8RQMeSbW5/view?usp=sharing" TargetMode="External"/><Relationship Id="rId56" Type="http://schemas.openxmlformats.org/officeDocument/2006/relationships/hyperlink" Target="https://drive.google.com/file/d/1IHa8ktO9Ybi2xY7LXWaOCQN25iphYotG/view?usp=sharing" TargetMode="External"/><Relationship Id="rId159" Type="http://schemas.openxmlformats.org/officeDocument/2006/relationships/hyperlink" Target="https://drive.google.com/file/d/1VLQAHwdMl0bMyJZMMNN-L8RCyFr2RFfa/view?usp=sharing" TargetMode="External"/><Relationship Id="rId59" Type="http://schemas.openxmlformats.org/officeDocument/2006/relationships/hyperlink" Target="https://drive.google.com/file/d/1KiHFlFQf-rf2HSwojKO0QGJOUJX8h6GF/view?usp=sharing" TargetMode="External"/><Relationship Id="rId154" Type="http://schemas.openxmlformats.org/officeDocument/2006/relationships/hyperlink" Target="https://drive.google.com/file/d/16UDSXFTcBactwptkF2QxRQfW2Rj33RbY/view?usp=sharing" TargetMode="External"/><Relationship Id="rId58" Type="http://schemas.openxmlformats.org/officeDocument/2006/relationships/hyperlink" Target="https://drive.google.com/file/d/1E_Dge7s7oC_7cKHOllfagPECsJh2knme/view?usp=sharing" TargetMode="External"/><Relationship Id="rId153" Type="http://schemas.openxmlformats.org/officeDocument/2006/relationships/hyperlink" Target="https://drive.google.com/file/d/1Z9LzZDOdjxccA8HCXayAS63nUq-d2yRC/view?usp=sharing" TargetMode="External"/><Relationship Id="rId152" Type="http://schemas.openxmlformats.org/officeDocument/2006/relationships/hyperlink" Target="https://drive.google.com/file/d/1aLp6ktqxOfo8DX8TgEOxG6YUJDXjFNEO/view?usp=sharing" TargetMode="External"/><Relationship Id="rId151" Type="http://schemas.openxmlformats.org/officeDocument/2006/relationships/hyperlink" Target="https://drive.google.com/file/d/1hj5lpb-_Rdm5zGyBiHObDq4HeN71pnVJ/view?usp=sharing" TargetMode="External"/><Relationship Id="rId158" Type="http://schemas.openxmlformats.org/officeDocument/2006/relationships/hyperlink" Target="https://drive.google.com/file/d/1-Fnc-mDkk9B_6yqLyitdQI6zfQvCHKvh/view?usp=sharing" TargetMode="External"/><Relationship Id="rId157" Type="http://schemas.openxmlformats.org/officeDocument/2006/relationships/hyperlink" Target="https://drive.google.com/file/d/129XZfwm2yanSK_x0Wc3SqzcGbVWxXUPW/view?usp=sharing" TargetMode="External"/><Relationship Id="rId156" Type="http://schemas.openxmlformats.org/officeDocument/2006/relationships/hyperlink" Target="https://drive.google.com/file/d/1dGbBQ0DMYiT3OWpAZq-eL2S9QEXHsLu4/view?usp=sharing" TargetMode="External"/><Relationship Id="rId155" Type="http://schemas.openxmlformats.org/officeDocument/2006/relationships/hyperlink" Target="https://drive.google.com/file/d/1q-ZcTZYk3IcftpoW3Nh1H_Jtpi5Rma5V/view?usp=sharing" TargetMode="External"/><Relationship Id="rId107" Type="http://schemas.openxmlformats.org/officeDocument/2006/relationships/hyperlink" Target="https://drive.google.com/file/d/1N94LPESzyB6xCQkN8FjBxTen7s5rbSB4/view?usp=sharing" TargetMode="External"/><Relationship Id="rId106" Type="http://schemas.openxmlformats.org/officeDocument/2006/relationships/hyperlink" Target="https://drive.google.com/file/d/1_dCg0ShALAckB2UhOHBCNYCoaGt6zT7W/view?usp=sharing" TargetMode="External"/><Relationship Id="rId105" Type="http://schemas.openxmlformats.org/officeDocument/2006/relationships/hyperlink" Target="https://drive.google.com/file/d/13QXGWjcEeV4_M6UkX-AM9F1DiKfMH5ns/view?usp=sharing" TargetMode="External"/><Relationship Id="rId104" Type="http://schemas.openxmlformats.org/officeDocument/2006/relationships/hyperlink" Target="https://drive.google.com/file/d/1vSiXPPuwq_uIpv5trUZxnMQ1PiJcpmFr/view?usp=sharing" TargetMode="External"/><Relationship Id="rId109" Type="http://schemas.openxmlformats.org/officeDocument/2006/relationships/hyperlink" Target="https://drive.google.com/file/d/1KQUR0Cg0_hWiLAKb52dIz603p7xdxX0z/view?usp=sharing" TargetMode="External"/><Relationship Id="rId108" Type="http://schemas.openxmlformats.org/officeDocument/2006/relationships/hyperlink" Target="https://drive.google.com/file/d/1VGlw3lfmWAS7x1HIYLtIwDf2W-T7H2B6/view?usp=sharing" TargetMode="External"/><Relationship Id="rId103" Type="http://schemas.openxmlformats.org/officeDocument/2006/relationships/hyperlink" Target="https://drive.google.com/file/d/15ZUHk-IBXFl2iKrzakwuHQRBlUO2vY6w/view?usp=sharing" TargetMode="External"/><Relationship Id="rId102" Type="http://schemas.openxmlformats.org/officeDocument/2006/relationships/hyperlink" Target="https://drive.google.com/file/d/1qZxOtgmaxX7hvzs_3NPgQifiF9pm8LuH/view?usp=sharing" TargetMode="External"/><Relationship Id="rId101" Type="http://schemas.openxmlformats.org/officeDocument/2006/relationships/hyperlink" Target="https://drive.google.com/file/d/1YkV7n79jPCZM6lVy8iI13eR89FZso13d/view?usp=sharing" TargetMode="External"/><Relationship Id="rId100" Type="http://schemas.openxmlformats.org/officeDocument/2006/relationships/hyperlink" Target="https://drive.google.com/file/d/1jjRqymZKtPSsGzb_3J-VlPujHiT_40HE/view?usp=sharing" TargetMode="External"/><Relationship Id="rId129" Type="http://schemas.openxmlformats.org/officeDocument/2006/relationships/hyperlink" Target="https://drive.google.com/file/d/1HjMzEj_1XE58iidJ5sEsqYSaZ1IWdtqO/view?usp=sharing" TargetMode="External"/><Relationship Id="rId128" Type="http://schemas.openxmlformats.org/officeDocument/2006/relationships/hyperlink" Target="https://drive.google.com/file/d/1qm9oYi78jZ5ZRl9SKDijazVTBT4XPrHa/view?usp=sharing" TargetMode="External"/><Relationship Id="rId127" Type="http://schemas.openxmlformats.org/officeDocument/2006/relationships/hyperlink" Target="https://drive.google.com/file/d/12m7PQdVJgyBjYNAL2DztzVd_wR8lD7DX/view?usp=sharing" TargetMode="External"/><Relationship Id="rId126" Type="http://schemas.openxmlformats.org/officeDocument/2006/relationships/hyperlink" Target="https://drive.google.com/file/d/1NtLcVjFAP1AB3o2PHt2D_rtXy_-Cod-p/view?usp=sharing" TargetMode="External"/><Relationship Id="rId121" Type="http://schemas.openxmlformats.org/officeDocument/2006/relationships/hyperlink" Target="https://drive.google.com/file/d/1XWaFthszojk8iWajVCm4Wd0bLQVRv_zR/view?usp=sharing" TargetMode="External"/><Relationship Id="rId120" Type="http://schemas.openxmlformats.org/officeDocument/2006/relationships/hyperlink" Target="https://drive.google.com/file/d/1SxeL6wVFKvMxcLnpuaz7CsTa6pWxwOwo/view?usp=sharing" TargetMode="External"/><Relationship Id="rId125" Type="http://schemas.openxmlformats.org/officeDocument/2006/relationships/hyperlink" Target="https://drive.google.com/file/d/1_ib2IaXy5yF-7AWdJWfIphoYD7Efrtz2/view?usp=sharing" TargetMode="External"/><Relationship Id="rId124" Type="http://schemas.openxmlformats.org/officeDocument/2006/relationships/hyperlink" Target="https://drive.google.com/file/d/1pJEXf7MGxnatPEfG3ZIMuV5c9NSjwBFM/view?usp=sharing" TargetMode="External"/><Relationship Id="rId123" Type="http://schemas.openxmlformats.org/officeDocument/2006/relationships/hyperlink" Target="https://drive.google.com/file/d/11iKZnxbkdnZhszd5QKVhZN47nSsLb2Wq/view?usp=sharing" TargetMode="External"/><Relationship Id="rId122" Type="http://schemas.openxmlformats.org/officeDocument/2006/relationships/hyperlink" Target="https://drive.google.com/file/d/1FYhhIoNA1sdcIFcVC2rS2Kd83m1Y7tWG/view?usp=sharing" TargetMode="External"/><Relationship Id="rId95" Type="http://schemas.openxmlformats.org/officeDocument/2006/relationships/hyperlink" Target="https://drive.google.com/file/d/14ZJ_iOb_x3iDGns_K50kEVInDZ0GBPZo/view?usp=sharing" TargetMode="External"/><Relationship Id="rId94" Type="http://schemas.openxmlformats.org/officeDocument/2006/relationships/hyperlink" Target="https://drive.google.com/file/d/1O6OkN8a_dpndAAMzXz7D_m950OxSrn3h/view?usp=sharing" TargetMode="External"/><Relationship Id="rId97" Type="http://schemas.openxmlformats.org/officeDocument/2006/relationships/hyperlink" Target="https://drive.google.com/file/d/1zQdFO0i3uE7eB9ZFdTxDWwgFgtRyufNj/view?usp=sharing" TargetMode="External"/><Relationship Id="rId96" Type="http://schemas.openxmlformats.org/officeDocument/2006/relationships/hyperlink" Target="https://drive.google.com/file/d/1eJgfvjtO7Ey-VfEFvPjQmzU-TVGsYejp/view?usp=sharing" TargetMode="External"/><Relationship Id="rId99" Type="http://schemas.openxmlformats.org/officeDocument/2006/relationships/hyperlink" Target="https://drive.google.com/file/d/1Qjxr7RJPfo6UXDqJHWNR3AeoHy21XTun/view?usp=sharing" TargetMode="External"/><Relationship Id="rId98" Type="http://schemas.openxmlformats.org/officeDocument/2006/relationships/hyperlink" Target="https://drive.google.com/file/d/12zNwHL1R4TRhfWCsitghNarh16Oxo2R7/view?usp=sharing" TargetMode="External"/><Relationship Id="rId91" Type="http://schemas.openxmlformats.org/officeDocument/2006/relationships/hyperlink" Target="https://drive.google.com/file/d/1Q_6DOZHTOJpH4B2_nelyGPRAARZnB4Ha/view?usp=sharing" TargetMode="External"/><Relationship Id="rId90" Type="http://schemas.openxmlformats.org/officeDocument/2006/relationships/hyperlink" Target="https://drive.google.com/file/d/1WRtuT2veeuKVmGtYu_CR5yZGl-gcTgun/view?usp=sharing" TargetMode="External"/><Relationship Id="rId93" Type="http://schemas.openxmlformats.org/officeDocument/2006/relationships/hyperlink" Target="https://drive.google.com/file/d/1KPz5nueITQPB7Rpv5m9ymOom62zpWqem/view?usp=sharing" TargetMode="External"/><Relationship Id="rId92" Type="http://schemas.openxmlformats.org/officeDocument/2006/relationships/hyperlink" Target="https://drive.google.com/file/d/18mSQzB9tvWDhFUG35BhjWzrHbeENU-Rl/view?usp=sharing" TargetMode="External"/><Relationship Id="rId118" Type="http://schemas.openxmlformats.org/officeDocument/2006/relationships/hyperlink" Target="https://drive.google.com/file/d/1yoFQMijRyGpP07-9lqPNNOZ5GehfFNIJ/view?usp=sharing" TargetMode="External"/><Relationship Id="rId117" Type="http://schemas.openxmlformats.org/officeDocument/2006/relationships/hyperlink" Target="https://drive.google.com/file/d/1AEgsGU92eF9TmZL_vY0NCW2eknEO_qlm/view?usp=sharing" TargetMode="External"/><Relationship Id="rId116" Type="http://schemas.openxmlformats.org/officeDocument/2006/relationships/hyperlink" Target="https://drive.google.com/file/d/1u7IcMhr_RS29Orgf1h7QiKjPZfm6Ch_4/view?usp=sharing" TargetMode="External"/><Relationship Id="rId115" Type="http://schemas.openxmlformats.org/officeDocument/2006/relationships/hyperlink" Target="https://drive.google.com/file/d/1bqeo8YEVEhRyDMahEHHpakuCwPiT5kRt/view?usp=sharing" TargetMode="External"/><Relationship Id="rId119" Type="http://schemas.openxmlformats.org/officeDocument/2006/relationships/hyperlink" Target="https://drive.google.com/file/d/12_FJRsMMtzM-JPSztD_KX_K3prmE0eV3/view?usp=sharing" TargetMode="External"/><Relationship Id="rId110" Type="http://schemas.openxmlformats.org/officeDocument/2006/relationships/hyperlink" Target="https://drive.google.com/file/d/1cCl6AGNz2KNV_T2OSJaEOwREGJIH1zfH/view?usp=sharing" TargetMode="External"/><Relationship Id="rId114" Type="http://schemas.openxmlformats.org/officeDocument/2006/relationships/hyperlink" Target="https://drive.google.com/file/d/196wdtnhI1g_k-l8MP2dhXIZx7exjNDsh/view?usp=sharing" TargetMode="External"/><Relationship Id="rId113" Type="http://schemas.openxmlformats.org/officeDocument/2006/relationships/hyperlink" Target="https://drive.google.com/file/d/1xgPzh3GSjk5GsNOSoTIeeJHYSqBBya1m/view?usp=sharing" TargetMode="External"/><Relationship Id="rId112" Type="http://schemas.openxmlformats.org/officeDocument/2006/relationships/hyperlink" Target="https://drive.google.com/file/d/1auP0nOQ9oiY5u6YwpHXz3P68Y_v6PXQQ/view?usp=sharing" TargetMode="External"/><Relationship Id="rId111" Type="http://schemas.openxmlformats.org/officeDocument/2006/relationships/hyperlink" Target="https://drive.google.com/file/d/1rxVYNchGvtPCP616SCw5jZ_mMIIW02rB/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0"/>
  </cols>
  <sheetData>
    <row r="2">
      <c r="A2" s="1"/>
      <c r="B2" s="2" t="s">
        <v>0</v>
      </c>
    </row>
    <row r="3">
      <c r="A3" s="3"/>
      <c r="B3" s="2" t="s">
        <v>1</v>
      </c>
    </row>
    <row r="4">
      <c r="B4" s="2" t="s">
        <v>2</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0"/>
    <col customWidth="1" min="2" max="2" width="39.86"/>
    <col customWidth="1" min="3" max="3" width="28.43"/>
    <col customWidth="1" min="4" max="4" width="28.57"/>
    <col customWidth="1" min="5" max="5" width="18.57"/>
  </cols>
  <sheetData>
    <row r="1">
      <c r="A1" s="77" t="s">
        <v>1208</v>
      </c>
      <c r="B1" s="5" t="s">
        <v>6</v>
      </c>
      <c r="C1" s="5" t="s">
        <v>7</v>
      </c>
      <c r="D1" s="5" t="s">
        <v>8</v>
      </c>
      <c r="E1" s="139" t="s">
        <v>1355</v>
      </c>
    </row>
    <row r="2">
      <c r="A2" s="140" t="s">
        <v>1743</v>
      </c>
      <c r="B2" s="20" t="s">
        <v>3335</v>
      </c>
      <c r="C2" s="26" t="s">
        <v>838</v>
      </c>
      <c r="D2" s="26" t="s">
        <v>838</v>
      </c>
      <c r="E2" s="46" t="str">
        <f>IFERROR(__xludf.DUMMYFUNCTION("IFERROR(VLOOKUP(C2,IMPORTRANGE(""https://docs.google.com/spreadsheets/d/1SQRLoxD_LXfQNfB7NOxI5jlxbkDlcNPwla_2gSTySP8/edit#gid=274515254"",""Thermal!$C$2:$D$175""),2,0),0)"),"Thermal / サーマル")</f>
        <v>Thermal / サーマル</v>
      </c>
      <c r="F2" s="46"/>
    </row>
    <row r="3">
      <c r="A3" s="141" t="s">
        <v>3336</v>
      </c>
      <c r="C3" s="118" t="s">
        <v>3337</v>
      </c>
      <c r="D3" s="26" t="s">
        <v>3338</v>
      </c>
      <c r="E3" s="46" t="str">
        <f>IFERROR(__xludf.DUMMYFUNCTION("IFERROR(VLOOKUP(C3,IMPORTRANGE(""https://docs.google.com/spreadsheets/d/1SQRLoxD_LXfQNfB7NOxI5jlxbkDlcNPwla_2gSTySP8/edit#gid=274515254"",""Thermal!$C$2:$D$175""),2,0),0)"),"サーマルスキャン")</f>
        <v>サーマルスキャン</v>
      </c>
    </row>
    <row r="4">
      <c r="A4" s="141" t="s">
        <v>1749</v>
      </c>
      <c r="C4" s="118" t="s">
        <v>1751</v>
      </c>
      <c r="D4" s="26" t="s">
        <v>3339</v>
      </c>
      <c r="E4" s="46" t="str">
        <f>IFERROR(__xludf.DUMMYFUNCTION("IFERROR(VLOOKUP(C4,IMPORTRANGE(""https://docs.google.com/spreadsheets/d/1SQRLoxD_LXfQNfB7NOxI5jlxbkDlcNPwla_2gSTySP8/edit#gid=274515254"",""Thermal!$C$2:$D$175""),2,0),0)"),"影響を受けるKW")</f>
        <v>影響を受けるKW</v>
      </c>
    </row>
    <row r="5">
      <c r="A5" s="141" t="s">
        <v>1753</v>
      </c>
      <c r="C5" s="118" t="s">
        <v>1755</v>
      </c>
      <c r="D5" s="118" t="s">
        <v>1756</v>
      </c>
      <c r="E5" s="46" t="str">
        <f>IFERROR(__xludf.DUMMYFUNCTION("IFERROR(VLOOKUP(C5,IMPORTRANGE(""https://docs.google.com/spreadsheets/d/1SQRLoxD_LXfQNfB7NOxI5jlxbkDlcNPwla_2gSTySP8/edit#gid=274515254"",""Thermal!$C$2:$D$175""),2,0),0)"),"総DC容量")</f>
        <v>総DC容量</v>
      </c>
    </row>
    <row r="6">
      <c r="A6" s="141" t="s">
        <v>3340</v>
      </c>
      <c r="C6" s="118" t="s">
        <v>3341</v>
      </c>
      <c r="D6" s="118" t="s">
        <v>3342</v>
      </c>
      <c r="E6" s="46" t="str">
        <f>IFERROR(__xludf.DUMMYFUNCTION("IFERROR(VLOOKUP(C6,IMPORTRANGE(""https://docs.google.com/spreadsheets/d/1SQRLoxD_LXfQNfB7NOxI5jlxbkDlcNPwla_2gSTySP8/edit#gid=274515254"",""Thermal!$C$2:$D$175""),2,0),0)"),"欠陥数")</f>
        <v>欠陥数</v>
      </c>
    </row>
    <row r="7">
      <c r="A7" s="121" t="str">
        <f>IFERROR(__xludf.DUMMYFUNCTION("JOIN(""-"",""app"",SPLIT(LOWER( C7),"" ""))"),"app-report-dashboard")</f>
        <v>app-report-dashboard</v>
      </c>
      <c r="B7" s="109" t="s">
        <v>3343</v>
      </c>
      <c r="C7" s="106" t="s">
        <v>3344</v>
      </c>
      <c r="D7" s="106" t="s">
        <v>3345</v>
      </c>
      <c r="E7" s="46" t="str">
        <f>IFERROR(__xludf.DUMMYFUNCTION("IFERROR(VLOOKUP(C7,IMPORTRANGE(""https://docs.google.com/spreadsheets/d/1SQRLoxD_LXfQNfB7NOxI5jlxbkDlcNPwla_2gSTySP8/edit#gid=274515254"",""Thermal!$C$2:$D$175""),2,0),0)"),"レポートダッシュボード")</f>
        <v>レポートダッシュボード</v>
      </c>
    </row>
    <row r="8">
      <c r="A8" s="102" t="str">
        <f>IFERROR(__xludf.DUMMYFUNCTION("JOIN(""-"",""app"",SPLIT(LOWER( C8),"" ""))"),"app-new-view")</f>
        <v>app-new-view</v>
      </c>
      <c r="C8" s="106" t="s">
        <v>3346</v>
      </c>
      <c r="D8" s="106" t="s">
        <v>3347</v>
      </c>
      <c r="E8" s="46" t="str">
        <f>IFERROR(__xludf.DUMMYFUNCTION("IFERROR(VLOOKUP(C8,IMPORTRANGE(""https://docs.google.com/spreadsheets/d/1SQRLoxD_LXfQNfB7NOxI5jlxbkDlcNPwla_2gSTySP8/edit#gid=274515254"",""Thermal!$C$2:$D$175""),2,0),0)"),"新規ビュー")</f>
        <v>新規ビュー</v>
      </c>
    </row>
    <row r="9">
      <c r="A9" s="102" t="str">
        <f>IFERROR(__xludf.DUMMYFUNCTION("JOIN(""-"",""app"",SPLIT(LOWER( C9),"" ""))"),"app-created-on")</f>
        <v>app-created-on</v>
      </c>
      <c r="B9" s="20" t="s">
        <v>3348</v>
      </c>
      <c r="C9" s="118" t="s">
        <v>3349</v>
      </c>
      <c r="D9" s="118" t="s">
        <v>3350</v>
      </c>
      <c r="E9" s="46" t="str">
        <f>IFERROR(__xludf.DUMMYFUNCTION("IFERROR(VLOOKUP(C9,IMPORTRANGE(""https://docs.google.com/spreadsheets/d/1SQRLoxD_LXfQNfB7NOxI5jlxbkDlcNPwla_2gSTySP8/edit#gid=274515254"",""Thermal!$C$2:$D$175""),2,0),0)"),"作成日")</f>
        <v>作成日</v>
      </c>
    </row>
    <row r="10">
      <c r="A10" s="102" t="str">
        <f>IFERROR(__xludf.DUMMYFUNCTION("JOIN(""-"",""app"",SPLIT(LOWER( C10),"" ""))"),"app-entity")</f>
        <v>app-entity</v>
      </c>
      <c r="C10" s="118" t="s">
        <v>2074</v>
      </c>
      <c r="D10" s="118" t="s">
        <v>2075</v>
      </c>
      <c r="E10" s="46" t="str">
        <f>IFERROR(__xludf.DUMMYFUNCTION("IFERROR(VLOOKUP(C10,IMPORTRANGE(""https://docs.google.com/spreadsheets/d/1SQRLoxD_LXfQNfB7NOxI5jlxbkDlcNPwla_2gSTySP8/edit#gid=274515254"",""Thermal!$C$2:$D$175""),2,0),0)"),"エンティティ")</f>
        <v>エンティティ</v>
      </c>
    </row>
    <row r="11">
      <c r="A11" s="141" t="s">
        <v>3351</v>
      </c>
      <c r="C11" s="118" t="s">
        <v>3352</v>
      </c>
      <c r="D11" s="118" t="s">
        <v>3353</v>
      </c>
      <c r="E11" s="46" t="str">
        <f>IFERROR(__xludf.DUMMYFUNCTION("IFERROR(VLOOKUP(C11,IMPORTRANGE(""https://docs.google.com/spreadsheets/d/1SQRLoxD_LXfQNfB7NOxI5jlxbkDlcNPwla_2gSTySP8/edit#gid=274515254"",""Thermal!$C$2:$D$175""),2,0),0)"),"関連するエンティティなし")</f>
        <v>関連するエンティティなし</v>
      </c>
    </row>
    <row r="12">
      <c r="A12" s="141" t="s">
        <v>3354</v>
      </c>
      <c r="C12" s="118" t="s">
        <v>3355</v>
      </c>
      <c r="D12" s="118" t="s">
        <v>3356</v>
      </c>
      <c r="E12" s="46" t="str">
        <f>IFERROR(__xludf.DUMMYFUNCTION("IFERROR(VLOOKUP(C12,IMPORTRANGE(""https://docs.google.com/spreadsheets/d/1SQRLoxD_LXfQNfB7NOxI5jlxbkDlcNPwla_2gSTySP8/edit#gid=274515254"",""Thermal!$C$2:$D$175""),2,0),0)"),"温度ヒストグラム")</f>
        <v>温度ヒストグラム</v>
      </c>
    </row>
    <row r="13">
      <c r="A13" s="141" t="s">
        <v>1757</v>
      </c>
      <c r="C13" s="118" t="s">
        <v>1759</v>
      </c>
      <c r="D13" s="118" t="s">
        <v>3357</v>
      </c>
      <c r="E13" s="46" t="str">
        <f>IFERROR(__xludf.DUMMYFUNCTION("IFERROR(VLOOKUP(C13,IMPORTRANGE(""https://docs.google.com/spreadsheets/d/1SQRLoxD_LXfQNfB7NOxI5jlxbkDlcNPwla_2gSTySP8/edit#gid=274515254"",""Thermal!$C$2:$D$175""),2,0),0)"),"不具合の数")</f>
        <v>不具合の数</v>
      </c>
    </row>
    <row r="14">
      <c r="A14" s="141" t="s">
        <v>3358</v>
      </c>
      <c r="C14" s="118" t="s">
        <v>3359</v>
      </c>
      <c r="D14" s="118" t="s">
        <v>3360</v>
      </c>
      <c r="E14" s="46" t="str">
        <f>IFERROR(__xludf.DUMMYFUNCTION("IFERROR(VLOOKUP(C14,IMPORTRANGE(""https://docs.google.com/spreadsheets/d/1SQRLoxD_LXfQNfB7NOxI5jlxbkDlcNPwla_2gSTySP8/edit#gid=274515254"",""Thermal!$C$2:$D$175""),2,0),0)"),"温度差")</f>
        <v>温度差</v>
      </c>
    </row>
    <row r="15">
      <c r="A15" s="141" t="s">
        <v>3361</v>
      </c>
      <c r="C15" s="26" t="s">
        <v>3362</v>
      </c>
      <c r="D15" s="26" t="s">
        <v>2497</v>
      </c>
      <c r="E15" s="46" t="str">
        <f>IFERROR(__xludf.DUMMYFUNCTION("IFERROR(VLOOKUP(C15,IMPORTRANGE(""https://docs.google.com/spreadsheets/d/1SQRLoxD_LXfQNfB7NOxI5jlxbkDlcNPwla_2gSTySP8/edit#gid=274515254"",""Thermal!$C$2:$D$175""),2,0),0)"),"地図へ移動")</f>
        <v>地図へ移動</v>
      </c>
    </row>
    <row r="16">
      <c r="A16" s="121" t="str">
        <f>IFERROR(__xludf.DUMMYFUNCTION("JOIN(""-"",""app"",SPLIT(LOWER( C16),"" ""))"),"app-no-description")</f>
        <v>app-no-description</v>
      </c>
      <c r="B16" s="109" t="s">
        <v>3363</v>
      </c>
      <c r="C16" s="106" t="s">
        <v>43</v>
      </c>
      <c r="D16" s="106" t="s">
        <v>3364</v>
      </c>
      <c r="E16" s="93" t="s">
        <v>3365</v>
      </c>
    </row>
    <row r="17">
      <c r="A17" s="121" t="str">
        <f>IFERROR(__xludf.DUMMYFUNCTION("JOIN(""-"",""app"",SPLIT(LOWER( C17),"" ""))"),"app-no-teams-assigned")</f>
        <v>app-no-teams-assigned</v>
      </c>
      <c r="C17" s="106" t="s">
        <v>2333</v>
      </c>
      <c r="D17" s="106" t="s">
        <v>2334</v>
      </c>
      <c r="E17" s="93" t="s">
        <v>3366</v>
      </c>
    </row>
    <row r="18">
      <c r="A18" s="121" t="str">
        <f>IFERROR(__xludf.DUMMYFUNCTION("JOIN(""-"",""app"",SPLIT(LOWER( C18),"" ""))"),"app-download-csv")</f>
        <v>app-download-csv</v>
      </c>
      <c r="C18" s="106" t="s">
        <v>3367</v>
      </c>
      <c r="D18" s="106" t="s">
        <v>3368</v>
      </c>
      <c r="E18" s="46" t="str">
        <f>IFERROR(__xludf.DUMMYFUNCTION("IFERROR(VLOOKUP(C18,IMPORTRANGE(""https://docs.google.com/spreadsheets/d/1SQRLoxD_LXfQNfB7NOxI5jlxbkDlcNPwla_2gSTySP8/edit#gid=274515254"",""Thermal!$C$2:$D$175""),2,0),0)"),"CSVダウンロード")</f>
        <v>CSVダウンロード</v>
      </c>
    </row>
    <row r="19">
      <c r="A19" s="121" t="str">
        <f>IFERROR(__xludf.DUMMYFUNCTION("JOIN(""-"",""app"",SPLIT(LOWER( C19),"" ""))"),"app-tickets-progress")</f>
        <v>app-tickets-progress</v>
      </c>
      <c r="C19" s="106" t="s">
        <v>3369</v>
      </c>
      <c r="D19" s="106" t="s">
        <v>3370</v>
      </c>
      <c r="E19" s="46" t="str">
        <f>IFERROR(__xludf.DUMMYFUNCTION("IFERROR(VLOOKUP(C19,IMPORTRANGE(""https://docs.google.com/spreadsheets/d/1SQRLoxD_LXfQNfB7NOxI5jlxbkDlcNPwla_2gSTySP8/edit#gid=274515254"",""Thermal!$C$2:$D$175""),2,0),0)"),"チケット進捗")</f>
        <v>チケット進捗</v>
      </c>
    </row>
    <row r="20">
      <c r="A20" s="121" t="s">
        <v>2761</v>
      </c>
      <c r="C20" s="106" t="s">
        <v>2762</v>
      </c>
      <c r="D20" s="106" t="s">
        <v>2763</v>
      </c>
      <c r="E20" s="46" t="str">
        <f>IFERROR(__xludf.DUMMYFUNCTION("IFERROR(VLOOKUP(C20,IMPORTRANGE(""https://docs.google.com/spreadsheets/d/1SQRLoxD_LXfQNfB7NOxI5jlxbkDlcNPwla_2gSTySP8/edit#gid=274515254"",""Thermal!$C$2:$D$175""),2,0),0)"),"すべてクリア")</f>
        <v>すべてクリア</v>
      </c>
    </row>
    <row r="21">
      <c r="A21" s="121" t="str">
        <f>IFERROR(__xludf.DUMMYFUNCTION("JOIN(""-"",""app"",SPLIT(LOWER( C21),"" ""))"),"app-download-plot")</f>
        <v>app-download-plot</v>
      </c>
      <c r="B21" s="105" t="s">
        <v>3371</v>
      </c>
      <c r="C21" s="106" t="s">
        <v>3372</v>
      </c>
      <c r="D21" s="106" t="s">
        <v>3373</v>
      </c>
      <c r="E21" s="93" t="s">
        <v>3374</v>
      </c>
    </row>
    <row r="22">
      <c r="A22" s="121" t="str">
        <f>IFERROR(__xludf.DUMMYFUNCTION("JOIN(""-"",""app"",SPLIT(LOWER( C22),"" ""))"),"app-zoom")</f>
        <v>app-zoom</v>
      </c>
      <c r="B22" s="105" t="s">
        <v>3375</v>
      </c>
      <c r="C22" s="106" t="s">
        <v>3376</v>
      </c>
      <c r="D22" s="106" t="s">
        <v>3377</v>
      </c>
      <c r="E22" s="93" t="s">
        <v>3378</v>
      </c>
    </row>
    <row r="23">
      <c r="A23" s="121" t="str">
        <f>IFERROR(__xludf.DUMMYFUNCTION("JOIN(""-"",""app"",SPLIT(LOWER( C23),"" ""))"),"app-pan")</f>
        <v>app-pan</v>
      </c>
      <c r="B23" s="105" t="s">
        <v>3379</v>
      </c>
      <c r="C23" s="106" t="s">
        <v>3380</v>
      </c>
      <c r="D23" s="106" t="s">
        <v>3381</v>
      </c>
      <c r="E23" s="93" t="s">
        <v>3382</v>
      </c>
    </row>
    <row r="24">
      <c r="A24" s="121" t="str">
        <f>IFERROR(__xludf.DUMMYFUNCTION("JOIN(""-"",""app"",SPLIT(LOWER( C24),"" ""))"),"app-zoom-in")</f>
        <v>app-zoom-in</v>
      </c>
      <c r="B24" s="105" t="s">
        <v>3383</v>
      </c>
      <c r="C24" s="106" t="s">
        <v>2770</v>
      </c>
      <c r="D24" s="106" t="s">
        <v>2771</v>
      </c>
      <c r="E24" s="46" t="str">
        <f>IFERROR(__xludf.DUMMYFUNCTION("IFERROR(VLOOKUP(C24,IMPORTRANGE(""https://docs.google.com/spreadsheets/d/1SQRLoxD_LXfQNfB7NOxI5jlxbkDlcNPwla_2gSTySP8/edit#gid=274515254"",""Thermal!$C$2:$D$175""),2,0),0)"),"ズームイン")</f>
        <v>ズームイン</v>
      </c>
    </row>
    <row r="25">
      <c r="A25" s="121" t="str">
        <f>IFERROR(__xludf.DUMMYFUNCTION("JOIN(""-"",""app"",SPLIT(LOWER( C25),"" ""))"),"app-zoom-out")</f>
        <v>app-zoom-out</v>
      </c>
      <c r="B25" s="105" t="s">
        <v>3384</v>
      </c>
      <c r="C25" s="106" t="s">
        <v>2774</v>
      </c>
      <c r="D25" s="106" t="s">
        <v>2775</v>
      </c>
      <c r="E25" s="46" t="str">
        <f>IFERROR(__xludf.DUMMYFUNCTION("IFERROR(VLOOKUP(C25,IMPORTRANGE(""https://docs.google.com/spreadsheets/d/1SQRLoxD_LXfQNfB7NOxI5jlxbkDlcNPwla_2gSTySP8/edit#gid=274515254"",""Thermal!$C$2:$D$175""),2,0),0)"),"ズームアウト")</f>
        <v>ズームアウト</v>
      </c>
    </row>
    <row r="26">
      <c r="A26" s="141" t="s">
        <v>3385</v>
      </c>
      <c r="B26" s="20" t="s">
        <v>3386</v>
      </c>
      <c r="C26" s="118" t="s">
        <v>3387</v>
      </c>
      <c r="D26" s="118" t="s">
        <v>3388</v>
      </c>
      <c r="E26" s="46" t="str">
        <f>IFERROR(__xludf.DUMMYFUNCTION("IFERROR(VLOOKUP(C26,IMPORTRANGE(""https://docs.google.com/spreadsheets/d/1SQRLoxD_LXfQNfB7NOxI5jlxbkDlcNPwla_2gSTySP8/edit#gid=274515254"",""Thermal!$C$2:$D$175""),2,0),0)"),"欠陥ステータス")</f>
        <v>欠陥ステータス</v>
      </c>
    </row>
    <row r="27">
      <c r="A27" s="141" t="s">
        <v>3389</v>
      </c>
      <c r="C27" s="118" t="s">
        <v>3390</v>
      </c>
      <c r="D27" s="118" t="s">
        <v>3391</v>
      </c>
      <c r="E27" s="46" t="str">
        <f>IFERROR(__xludf.DUMMYFUNCTION("IFERROR(VLOOKUP(C27,IMPORTRANGE(""https://docs.google.com/spreadsheets/d/1SQRLoxD_LXfQNfB7NOxI5jlxbkDlcNPwla_2gSTySP8/edit#gid=274515254"",""Thermal!$C$2:$D$175""),2,0),0)"),"プロジェクト")</f>
        <v>プロジェクト</v>
      </c>
    </row>
    <row r="28">
      <c r="A28" s="141" t="s">
        <v>3392</v>
      </c>
      <c r="C28" s="118" t="s">
        <v>3393</v>
      </c>
      <c r="D28" s="26" t="s">
        <v>3394</v>
      </c>
      <c r="E28" s="46" t="str">
        <f>IFERROR(__xludf.DUMMYFUNCTION("IFERROR(VLOOKUP(C28,IMPORTRANGE(""https://docs.google.com/spreadsheets/d/1SQRLoxD_LXfQNfB7NOxI5jlxbkDlcNPwla_2gSTySP8/edit#gid=274515254"",""Thermal!$C$2:$D$175""),2,0),0)"),"無効")</f>
        <v>無効</v>
      </c>
    </row>
    <row r="29">
      <c r="A29" s="141" t="s">
        <v>3395</v>
      </c>
      <c r="C29" s="118" t="s">
        <v>3396</v>
      </c>
      <c r="D29" s="26" t="s">
        <v>3397</v>
      </c>
      <c r="E29" s="46" t="str">
        <f>IFERROR(__xludf.DUMMYFUNCTION("IFERROR(VLOOKUP(C29,IMPORTRANGE(""https://docs.google.com/spreadsheets/d/1SQRLoxD_LXfQNfB7NOxI5jlxbkDlcNPwla_2gSTySP8/edit#gid=274515254"",""Thermal!$C$2:$D$175""),2,0),0)"),"有効")</f>
        <v>有効</v>
      </c>
    </row>
    <row r="30">
      <c r="A30" s="141" t="s">
        <v>3398</v>
      </c>
      <c r="C30" s="118" t="s">
        <v>3399</v>
      </c>
      <c r="D30" s="118" t="s">
        <v>3400</v>
      </c>
      <c r="E30" s="46" t="str">
        <f>IFERROR(__xludf.DUMMYFUNCTION("IFERROR(VLOOKUP(C30,IMPORTRANGE(""https://docs.google.com/spreadsheets/d/1SQRLoxD_LXfQNfB7NOxI5jlxbkDlcNPwla_2gSTySP8/edit#gid=274515254"",""Thermal!$C$2:$D$175""),2,0),0)"),"固定")</f>
        <v>固定</v>
      </c>
    </row>
    <row r="31">
      <c r="A31" s="141" t="s">
        <v>3401</v>
      </c>
      <c r="C31" s="118" t="s">
        <v>3402</v>
      </c>
      <c r="D31" s="118" t="s">
        <v>370</v>
      </c>
      <c r="E31" s="46" t="str">
        <f>IFERROR(__xludf.DUMMYFUNCTION("IFERROR(VLOOKUP(C31,IMPORTRANGE(""https://docs.google.com/spreadsheets/d/1SQRLoxD_LXfQNfB7NOxI5jlxbkDlcNPwla_2gSTySP8/edit#gid=274515254"",""Thermal!$C$2:$D$175""),2,0),0)"),"欠陥数")</f>
        <v>欠陥数</v>
      </c>
    </row>
    <row r="32">
      <c r="A32" s="141" t="s">
        <v>3403</v>
      </c>
      <c r="C32" s="118" t="s">
        <v>3404</v>
      </c>
      <c r="D32" s="118" t="s">
        <v>3405</v>
      </c>
      <c r="E32" s="46" t="str">
        <f>IFERROR(__xludf.DUMMYFUNCTION("IFERROR(VLOOKUP(C32,IMPORTRANGE(""https://docs.google.com/spreadsheets/d/1SQRLoxD_LXfQNfB7NOxI5jlxbkDlcNPwla_2gSTySP8/edit#gid=274515254"",""Thermal!$C$2:$D$175""),2,0),0)"),"欠陥タイプ")</f>
        <v>欠陥タイプ</v>
      </c>
    </row>
    <row r="33">
      <c r="A33" s="141" t="s">
        <v>3406</v>
      </c>
      <c r="C33" s="118" t="s">
        <v>3407</v>
      </c>
      <c r="D33" s="118" t="s">
        <v>3408</v>
      </c>
      <c r="E33" s="46" t="str">
        <f>IFERROR(__xludf.DUMMYFUNCTION("IFERROR(VLOOKUP(C33,IMPORTRANGE(""https://docs.google.com/spreadsheets/d/1SQRLoxD_LXfQNfB7NOxI5jlxbkDlcNPwla_2gSTySP8/edit#gid=274515254"",""Thermal!$C$2:$D$175""),2,0),0)"),"数")</f>
        <v>数</v>
      </c>
    </row>
    <row r="34">
      <c r="A34" s="142" t="s">
        <v>3409</v>
      </c>
      <c r="C34" s="118" t="s">
        <v>845</v>
      </c>
      <c r="D34" s="118" t="s">
        <v>846</v>
      </c>
      <c r="E34" s="46" t="str">
        <f>IFERROR(__xludf.DUMMYFUNCTION("IFERROR(VLOOKUP(C34,IMPORTRANGE(""https://docs.google.com/spreadsheets/d/1SQRLoxD_LXfQNfB7NOxI5jlxbkDlcNPwla_2gSTySP8/edit#gid=274515254"",""Thermal!$C$2:$D$175""),2,0),0)"),"ホットスポット")</f>
        <v>ホットスポット</v>
      </c>
    </row>
    <row r="35">
      <c r="A35" s="142" t="s">
        <v>3410</v>
      </c>
      <c r="C35" s="118" t="s">
        <v>850</v>
      </c>
      <c r="D35" s="118" t="s">
        <v>851</v>
      </c>
      <c r="E35" s="46" t="str">
        <f>IFERROR(__xludf.DUMMYFUNCTION("IFERROR(VLOOKUP(C35,IMPORTRANGE(""https://docs.google.com/spreadsheets/d/1SQRLoxD_LXfQNfB7NOxI5jlxbkDlcNPwla_2gSTySP8/edit#gid=274515254"",""Thermal!$C$2:$D$175""),2,0),0)"),"バイパスダイオード有効")</f>
        <v>バイパスダイオード有効</v>
      </c>
    </row>
    <row r="36">
      <c r="A36" s="142" t="s">
        <v>3411</v>
      </c>
      <c r="C36" s="118" t="s">
        <v>855</v>
      </c>
      <c r="D36" s="118" t="s">
        <v>856</v>
      </c>
      <c r="E36" s="46" t="str">
        <f>IFERROR(__xludf.DUMMYFUNCTION("IFERROR(VLOOKUP(C36,IMPORTRANGE(""https://docs.google.com/spreadsheets/d/1SQRLoxD_LXfQNfB7NOxI5jlxbkDlcNPwla_2gSTySP8/edit#gid=274515254"",""Thermal!$C$2:$D$175""),2,0),0)"),"モジュール高温")</f>
        <v>モジュール高温</v>
      </c>
    </row>
    <row r="37">
      <c r="A37" s="142" t="s">
        <v>3412</v>
      </c>
      <c r="C37" s="118" t="s">
        <v>860</v>
      </c>
      <c r="D37" s="118" t="s">
        <v>861</v>
      </c>
      <c r="E37" s="46" t="str">
        <f>IFERROR(__xludf.DUMMYFUNCTION("IFERROR(VLOOKUP(C37,IMPORTRANGE(""https://docs.google.com/spreadsheets/d/1SQRLoxD_LXfQNfB7NOxI5jlxbkDlcNPwla_2gSTySP8/edit#gid=274515254"",""Thermal!$C$2:$D$175""),2,0),0)"),"モジュール短絡")</f>
        <v>モジュール短絡</v>
      </c>
    </row>
    <row r="38">
      <c r="A38" s="142" t="s">
        <v>3413</v>
      </c>
      <c r="C38" s="118" t="s">
        <v>865</v>
      </c>
      <c r="D38" s="26" t="s">
        <v>866</v>
      </c>
      <c r="E38" s="46" t="str">
        <f>IFERROR(__xludf.DUMMYFUNCTION("IFERROR(VLOOKUP(C38,IMPORTRANGE(""https://docs.google.com/spreadsheets/d/1SQRLoxD_LXfQNfB7NOxI5jlxbkDlcNPwla_2gSTySP8/edit#gid=274515254"",""Thermal!$C$2:$D$175""),2,0),0)"),"ストリング高温")</f>
        <v>ストリング高温</v>
      </c>
    </row>
    <row r="39">
      <c r="A39" s="142" t="s">
        <v>3414</v>
      </c>
      <c r="C39" s="118" t="s">
        <v>870</v>
      </c>
      <c r="D39" s="26" t="s">
        <v>871</v>
      </c>
      <c r="E39" s="46" t="str">
        <f>IFERROR(__xludf.DUMMYFUNCTION("IFERROR(VLOOKUP(C39,IMPORTRANGE(""https://docs.google.com/spreadsheets/d/1SQRLoxD_LXfQNfB7NOxI5jlxbkDlcNPwla_2gSTySP8/edit#gid=274515254"",""Thermal!$C$2:$D$175""),2,0),0)"),"ストリング逆極性")</f>
        <v>ストリング逆極性</v>
      </c>
    </row>
    <row r="40">
      <c r="A40" s="142" t="s">
        <v>3415</v>
      </c>
      <c r="C40" s="118" t="s">
        <v>3416</v>
      </c>
      <c r="D40" s="26" t="s">
        <v>3416</v>
      </c>
      <c r="E40" s="46" t="str">
        <f>IFERROR(__xludf.DUMMYFUNCTION("IFERROR(VLOOKUP(C40,IMPORTRANGE(""https://docs.google.com/spreadsheets/d/1SQRLoxD_LXfQNfB7NOxI5jlxbkDlcNPwla_2gSTySP8/edit#gid=274515254"",""Thermal!$C$2:$D$175""),2,0),0)"),"電圧誘起出力低下 (PID)")</f>
        <v>電圧誘起出力低下 (PID)</v>
      </c>
    </row>
    <row r="41">
      <c r="A41" s="142" t="s">
        <v>3417</v>
      </c>
      <c r="C41" s="118" t="s">
        <v>3418</v>
      </c>
      <c r="D41" s="118" t="s">
        <v>3419</v>
      </c>
      <c r="E41" s="46" t="str">
        <f>IFERROR(__xludf.DUMMYFUNCTION("IFERROR(VLOOKUP(C41,IMPORTRANGE(""https://docs.google.com/spreadsheets/d/1SQRLoxD_LXfQNfB7NOxI5jlxbkDlcNPwla_2gSTySP8/edit#gid=274515254"",""Thermal!$C$2:$D$175""),2,0),0)"),"土砂／影")</f>
        <v>土砂／影</v>
      </c>
    </row>
    <row r="42">
      <c r="A42" s="142" t="s">
        <v>3420</v>
      </c>
      <c r="C42" s="118" t="s">
        <v>3421</v>
      </c>
      <c r="D42" s="26" t="s">
        <v>3422</v>
      </c>
      <c r="E42" s="46" t="str">
        <f>IFERROR(__xludf.DUMMYFUNCTION("IFERROR(VLOOKUP(C42,IMPORTRANGE(""https://docs.google.com/spreadsheets/d/1SQRLoxD_LXfQNfB7NOxI5jlxbkDlcNPwla_2gSTySP8/edit#gid=274515254"",""Thermal!$C$2:$D$175""),2,0),0)"),"植生")</f>
        <v>植生</v>
      </c>
    </row>
    <row r="43">
      <c r="A43" s="142" t="s">
        <v>3423</v>
      </c>
      <c r="C43" s="118" t="s">
        <v>3424</v>
      </c>
      <c r="D43" s="118" t="s">
        <v>3425</v>
      </c>
      <c r="E43" s="46" t="str">
        <f>IFERROR(__xludf.DUMMYFUNCTION("IFERROR(VLOOKUP(C43,IMPORTRANGE(""https://docs.google.com/spreadsheets/d/1SQRLoxD_LXfQNfB7NOxI5jlxbkDlcNPwla_2gSTySP8/edit#gid=274515254"",""Thermal!$C$2:$D$175""),2,0),0)"),"トラッカー動作不良")</f>
        <v>トラッカー動作不良</v>
      </c>
    </row>
    <row r="44">
      <c r="A44" s="142" t="s">
        <v>3426</v>
      </c>
      <c r="C44" s="118" t="s">
        <v>3427</v>
      </c>
      <c r="D44" s="118" t="s">
        <v>3428</v>
      </c>
      <c r="E44" s="46" t="str">
        <f>IFERROR(__xludf.DUMMYFUNCTION("IFERROR(VLOOKUP(C44,IMPORTRANGE(""https://docs.google.com/spreadsheets/d/1SQRLoxD_LXfQNfB7NOxI5jlxbkDlcNPwla_2gSTySP8/edit#gid=274515254"",""Thermal!$C$2:$D$175""),2,0),0)"),"モジュールひび割れ")</f>
        <v>モジュールひび割れ</v>
      </c>
    </row>
    <row r="45">
      <c r="A45" s="142" t="s">
        <v>3429</v>
      </c>
      <c r="B45" s="20" t="s">
        <v>3430</v>
      </c>
      <c r="C45" s="118" t="s">
        <v>3431</v>
      </c>
      <c r="D45" s="118" t="s">
        <v>3432</v>
      </c>
      <c r="E45" s="46" t="str">
        <f>IFERROR(__xludf.DUMMYFUNCTION("IFERROR(VLOOKUP(C45,IMPORTRANGE(""https://docs.google.com/spreadsheets/d/1SQRLoxD_LXfQNfB7NOxI5jlxbkDlcNPwla_2gSTySP8/edit#gid=274515254"",""Thermal!$C$2:$D$175""),2,0),0)"),"モジュール")</f>
        <v>モジュール</v>
      </c>
    </row>
    <row r="46">
      <c r="A46" s="142" t="s">
        <v>3433</v>
      </c>
      <c r="C46" s="118" t="s">
        <v>3434</v>
      </c>
      <c r="D46" s="26" t="s">
        <v>3434</v>
      </c>
      <c r="E46" s="46" t="str">
        <f>IFERROR(__xludf.DUMMYFUNCTION("IFERROR(VLOOKUP(C46,IMPORTRANGE(""https://docs.google.com/spreadsheets/d/1SQRLoxD_LXfQNfB7NOxI5jlxbkDlcNPwla_2gSTySP8/edit#gid=274515254"",""Thermal!$C$2:$D$175""),2,0),0)"),"ストリング")</f>
        <v>ストリング</v>
      </c>
    </row>
    <row r="47">
      <c r="A47" s="142" t="s">
        <v>3435</v>
      </c>
      <c r="C47" s="118" t="s">
        <v>3436</v>
      </c>
      <c r="D47" s="118" t="s">
        <v>3437</v>
      </c>
      <c r="E47" s="46" t="str">
        <f>IFERROR(__xludf.DUMMYFUNCTION("IFERROR(VLOOKUP(C47,IMPORTRANGE(""https://docs.google.com/spreadsheets/d/1SQRLoxD_LXfQNfB7NOxI5jlxbkDlcNPwla_2gSTySP8/edit#gid=274515254"",""Thermal!$C$2:$D$175""),2,0),0)"),"コンバイナーボックス")</f>
        <v>コンバイナーボックス</v>
      </c>
    </row>
    <row r="48">
      <c r="A48" s="142" t="s">
        <v>3438</v>
      </c>
      <c r="C48" s="118" t="s">
        <v>372</v>
      </c>
      <c r="D48" s="118" t="s">
        <v>373</v>
      </c>
      <c r="E48" s="46" t="str">
        <f>IFERROR(__xludf.DUMMYFUNCTION("IFERROR(VLOOKUP(C48,IMPORTRANGE(""https://docs.google.com/spreadsheets/d/1SQRLoxD_LXfQNfB7NOxI5jlxbkDlcNPwla_2gSTySP8/edit#gid=274515254"",""Thermal!$C$2:$D$175""),2,0),0)"),"インバータ")</f>
        <v>インバータ</v>
      </c>
    </row>
    <row r="49">
      <c r="A49" s="121" t="str">
        <f>IFERROR(__xludf.DUMMYFUNCTION("JOIN(""-"",""app"",SPLIT(LOWER( C49),"" ""))"),"app-create-thermal-view-for")</f>
        <v>app-create-thermal-view-for</v>
      </c>
      <c r="B49" s="109" t="s">
        <v>3439</v>
      </c>
      <c r="C49" s="106" t="s">
        <v>3440</v>
      </c>
      <c r="D49" s="106" t="s">
        <v>3441</v>
      </c>
      <c r="E49" s="93" t="s">
        <v>3442</v>
      </c>
    </row>
    <row r="50">
      <c r="A50" s="121" t="str">
        <f>IFERROR(__xludf.DUMMYFUNCTION("JOIN(""-"",""app"",SPLIT(LOWER( C50),"" ""))"),"app-select")</f>
        <v>app-select</v>
      </c>
      <c r="C50" s="106" t="s">
        <v>971</v>
      </c>
      <c r="D50" s="106" t="s">
        <v>972</v>
      </c>
      <c r="E50" s="93" t="s">
        <v>2988</v>
      </c>
    </row>
    <row r="51">
      <c r="A51" s="121" t="str">
        <f>IFERROR(__xludf.DUMMYFUNCTION("JOIN(""-"",""app"",SPLIT(LOWER( C51),"" ""))"),"app-asset?")</f>
        <v>app-asset?</v>
      </c>
      <c r="C51" s="106" t="s">
        <v>3443</v>
      </c>
      <c r="D51" s="106" t="s">
        <v>3444</v>
      </c>
      <c r="E51" s="46" t="str">
        <f>IFERROR(__xludf.DUMMYFUNCTION("IFERROR(VLOOKUP(C51,IMPORTRANGE(""https://docs.google.com/spreadsheets/d/1SQRLoxD_LXfQNfB7NOxI5jlxbkDlcNPwla_2gSTySP8/edit#gid=274515254"",""Thermal!$C$2:$D$175""),2,0),0)"),"アセット")</f>
        <v>アセット</v>
      </c>
    </row>
    <row r="52">
      <c r="A52" s="121" t="str">
        <f>IFERROR(__xludf.DUMMYFUNCTION("JOIN(""-"",""app"",SPLIT(LOWER( C52),"" ""))"),"app-temperature-difference")</f>
        <v>app-temperature-difference</v>
      </c>
      <c r="C52" s="106" t="s">
        <v>3359</v>
      </c>
      <c r="D52" s="106" t="s">
        <v>3360</v>
      </c>
      <c r="E52" s="46" t="str">
        <f>IFERROR(__xludf.DUMMYFUNCTION("IFERROR(VLOOKUP(C52,IMPORTRANGE(""https://docs.google.com/spreadsheets/d/1SQRLoxD_LXfQNfB7NOxI5jlxbkDlcNPwla_2gSTySP8/edit#gid=274515254"",""Thermal!$C$2:$D$175""),2,0),0)"),"温度差")</f>
        <v>温度差</v>
      </c>
    </row>
    <row r="53">
      <c r="A53" s="121" t="str">
        <f>IFERROR(__xludf.DUMMYFUNCTION("JOIN(""-"",""app"",SPLIT(LOWER( C53),"" ""))"),"app-create-thermal-new")</f>
        <v>app-create-thermal-new</v>
      </c>
      <c r="C53" s="106" t="s">
        <v>3445</v>
      </c>
      <c r="D53" s="106" t="s">
        <v>3446</v>
      </c>
      <c r="E53" s="93" t="s">
        <v>3447</v>
      </c>
    </row>
    <row r="54">
      <c r="A54" s="142" t="s">
        <v>34</v>
      </c>
      <c r="B54" s="20" t="s">
        <v>3448</v>
      </c>
      <c r="C54" s="118" t="s">
        <v>35</v>
      </c>
      <c r="D54" s="118" t="s">
        <v>36</v>
      </c>
      <c r="E54" s="46" t="str">
        <f>IFERROR(__xludf.DUMMYFUNCTION("IFERROR(VLOOKUP(C54,IMPORTRANGE(""https://docs.google.com/spreadsheets/d/1SQRLoxD_LXfQNfB7NOxI5jlxbkDlcNPwla_2gSTySP8/edit#gid=274515254"",""Thermal!$C$2:$D$175""),2,0),0)"),"層")</f>
        <v>層</v>
      </c>
    </row>
    <row r="55">
      <c r="A55" s="142" t="s">
        <v>3449</v>
      </c>
      <c r="C55" s="118" t="s">
        <v>3450</v>
      </c>
      <c r="D55" s="118" t="s">
        <v>3451</v>
      </c>
      <c r="E55" s="46" t="str">
        <f>IFERROR(__xludf.DUMMYFUNCTION("IFERROR(VLOOKUP(C55,IMPORTRANGE(""https://docs.google.com/spreadsheets/d/1SQRLoxD_LXfQNfB7NOxI5jlxbkDlcNPwla_2gSTySP8/edit#gid=274515254"",""Thermal!$C$2:$D$175""),2,0),0)"),"ブロック")</f>
        <v>ブロック</v>
      </c>
    </row>
    <row r="56">
      <c r="A56" s="142" t="s">
        <v>3452</v>
      </c>
      <c r="C56" s="118" t="s">
        <v>3453</v>
      </c>
      <c r="D56" s="26" t="s">
        <v>3454</v>
      </c>
      <c r="E56" s="46" t="str">
        <f>IFERROR(__xludf.DUMMYFUNCTION("IFERROR(VLOOKUP(C56,IMPORTRANGE(""https://docs.google.com/spreadsheets/d/1SQRLoxD_LXfQNfB7NOxI5jlxbkDlcNPwla_2gSTySP8/edit#gid=274515254"",""Thermal!$C$2:$D$175""),2,0),0)"),"領域1")</f>
        <v>領域1</v>
      </c>
    </row>
    <row r="57">
      <c r="A57" s="141" t="s">
        <v>2554</v>
      </c>
      <c r="C57" s="118" t="s">
        <v>2555</v>
      </c>
      <c r="D57" s="118" t="s">
        <v>2556</v>
      </c>
      <c r="E57" s="46" t="str">
        <f>IFERROR(__xludf.DUMMYFUNCTION("IFERROR(VLOOKUP(C57,IMPORTRANGE(""https://docs.google.com/spreadsheets/d/1SQRLoxD_LXfQNfB7NOxI5jlxbkDlcNPwla_2gSTySP8/edit#gid=274515254"",""Thermal!$C$2:$D$175""),2,0),0)"),"地図")</f>
        <v>地図</v>
      </c>
    </row>
    <row r="58">
      <c r="A58" s="141" t="s">
        <v>3455</v>
      </c>
      <c r="C58" s="118" t="s">
        <v>3456</v>
      </c>
      <c r="D58" s="118" t="s">
        <v>3457</v>
      </c>
      <c r="E58" s="46" t="str">
        <f>IFERROR(__xludf.DUMMYFUNCTION("IFERROR(VLOOKUP(C58,IMPORTRANGE(""https://docs.google.com/spreadsheets/d/1SQRLoxD_LXfQNfB7NOxI5jlxbkDlcNPwla_2gSTySP8/edit#gid=274515254"",""Thermal!$C$2:$D$175""),2,0),0)"),"不具合")</f>
        <v>不具合</v>
      </c>
    </row>
    <row r="59">
      <c r="A59" s="142" t="s">
        <v>3458</v>
      </c>
      <c r="C59" s="118" t="s">
        <v>2530</v>
      </c>
      <c r="D59" s="118" t="s">
        <v>2531</v>
      </c>
      <c r="E59" s="46" t="str">
        <f>IFERROR(__xludf.DUMMYFUNCTION("IFERROR(VLOOKUP(C59,IMPORTRANGE(""https://docs.google.com/spreadsheets/d/1SQRLoxD_LXfQNfB7NOxI5jlxbkDlcNPwla_2gSTySP8/edit#gid=274515254"",""Thermal!$C$2:$D$175""),2,0),0)"),"ラック")</f>
        <v>ラック</v>
      </c>
    </row>
    <row r="60" ht="21.0" customHeight="1">
      <c r="A60" s="142" t="s">
        <v>3459</v>
      </c>
      <c r="B60" s="143" t="s">
        <v>3460</v>
      </c>
      <c r="C60" s="118" t="s">
        <v>1638</v>
      </c>
      <c r="D60" s="118" t="s">
        <v>3461</v>
      </c>
      <c r="E60" s="46" t="str">
        <f>IFERROR(__xludf.DUMMYFUNCTION("IFERROR(VLOOKUP(C60,IMPORTRANGE(""https://docs.google.com/spreadsheets/d/1SQRLoxD_LXfQNfB7NOxI5jlxbkDlcNPwla_2gSTySP8/edit#gid=274515254"",""Thermal!$C$2:$D$175""),2,0),0)"),"テーブル")</f>
        <v>テーブル</v>
      </c>
      <c r="F60" s="144"/>
      <c r="G60" s="144"/>
      <c r="H60" s="144"/>
      <c r="I60" s="144"/>
      <c r="J60" s="144"/>
      <c r="K60" s="144"/>
      <c r="L60" s="144"/>
      <c r="M60" s="144"/>
      <c r="N60" s="144"/>
      <c r="O60" s="144"/>
      <c r="P60" s="144"/>
      <c r="Q60" s="144"/>
      <c r="R60" s="144"/>
      <c r="S60" s="144"/>
      <c r="T60" s="144"/>
      <c r="U60" s="144"/>
      <c r="V60" s="144"/>
    </row>
    <row r="61" ht="19.5" customHeight="1">
      <c r="A61" s="142" t="s">
        <v>3462</v>
      </c>
      <c r="C61" s="118" t="s">
        <v>2534</v>
      </c>
      <c r="D61" s="118" t="s">
        <v>2535</v>
      </c>
      <c r="E61" s="46" t="str">
        <f>IFERROR(__xludf.DUMMYFUNCTION("IFERROR(VLOOKUP(C61,IMPORTRANGE(""https://docs.google.com/spreadsheets/d/1SQRLoxD_LXfQNfB7NOxI5jlxbkDlcNPwla_2gSTySP8/edit#gid=274515254"",""Thermal!$C$2:$D$175""),2,0),0)"),"コンポーネント")</f>
        <v>コンポーネント</v>
      </c>
      <c r="F61" s="144"/>
      <c r="G61" s="144"/>
      <c r="H61" s="144"/>
      <c r="I61" s="144"/>
      <c r="J61" s="144"/>
      <c r="K61" s="144"/>
      <c r="L61" s="144"/>
      <c r="M61" s="144"/>
      <c r="N61" s="144"/>
      <c r="O61" s="144"/>
      <c r="P61" s="144"/>
      <c r="Q61" s="144"/>
      <c r="R61" s="144"/>
      <c r="S61" s="144"/>
      <c r="T61" s="144"/>
      <c r="U61" s="144"/>
      <c r="V61" s="144"/>
    </row>
    <row r="62">
      <c r="A62" s="142" t="s">
        <v>3463</v>
      </c>
      <c r="B62" s="20" t="s">
        <v>3464</v>
      </c>
      <c r="C62" s="118" t="s">
        <v>3465</v>
      </c>
      <c r="D62" s="118" t="s">
        <v>3466</v>
      </c>
      <c r="E62" s="46" t="str">
        <f>IFERROR(__xludf.DUMMYFUNCTION("IFERROR(VLOOKUP(C62,IMPORTRANGE(""https://docs.google.com/spreadsheets/d/1SQRLoxD_LXfQNfB7NOxI5jlxbkDlcNPwla_2gSTySP8/edit#gid=274515254"",""Thermal!$C$2:$D$175""),2,0),0)"),"ラックを挿入")</f>
        <v>ラックを挿入</v>
      </c>
    </row>
    <row r="63">
      <c r="A63" s="142" t="s">
        <v>3467</v>
      </c>
      <c r="B63" s="20" t="s">
        <v>3468</v>
      </c>
      <c r="C63" s="118" t="s">
        <v>3469</v>
      </c>
      <c r="D63" s="118" t="s">
        <v>3470</v>
      </c>
      <c r="E63" s="46" t="str">
        <f>IFERROR(__xludf.DUMMYFUNCTION("IFERROR(VLOOKUP(C63,IMPORTRANGE(""https://docs.google.com/spreadsheets/d/1SQRLoxD_LXfQNfB7NOxI5jlxbkDlcNPwla_2gSTySP8/edit#gid=274515254"",""Thermal!$C$2:$D$175""),2,0),0)"),"ビューにラックを挿入")</f>
        <v>ビューにラックを挿入</v>
      </c>
    </row>
    <row r="64">
      <c r="A64" s="142" t="s">
        <v>3471</v>
      </c>
      <c r="C64" s="118" t="s">
        <v>3472</v>
      </c>
      <c r="D64" s="118" t="s">
        <v>3473</v>
      </c>
      <c r="E64" s="46" t="str">
        <f>IFERROR(__xludf.DUMMYFUNCTION("IFERROR(VLOOKUP(C64,IMPORTRANGE(""https://docs.google.com/spreadsheets/d/1SQRLoxD_LXfQNfB7NOxI5jlxbkDlcNPwla_2gSTySP8/edit#gid=274515254"",""Thermal!$C$2:$D$175""),2,0),0)"),"選択したラックはありません")</f>
        <v>選択したラックはありません</v>
      </c>
    </row>
    <row r="65">
      <c r="A65" s="68" t="str">
        <f>IFERROR(__xludf.DUMMYFUNCTION("JOIN(""-"",""app"",SPLIT(LOWER( C65),"" ""))"),"app-save")</f>
        <v>app-save</v>
      </c>
      <c r="C65" s="118" t="s">
        <v>146</v>
      </c>
      <c r="D65" s="118" t="s">
        <v>147</v>
      </c>
      <c r="E65" s="46" t="str">
        <f>IFERROR(__xludf.DUMMYFUNCTION("IFERROR(VLOOKUP(C65,IMPORTRANGE(""https://docs.google.com/spreadsheets/d/1SQRLoxD_LXfQNfB7NOxI5jlxbkDlcNPwla_2gSTySP8/edit#gid=274515254"",""Thermal!$C$2:$D$175""),2,0),0)"),"保存")</f>
        <v>保存</v>
      </c>
    </row>
    <row r="66">
      <c r="A66" s="68" t="str">
        <f>IFERROR(__xludf.DUMMYFUNCTION("JOIN(""-"",""app"",SPLIT(LOWER( C66),"" ""))"),"app-load-from-template")</f>
        <v>app-load-from-template</v>
      </c>
      <c r="B66" s="20" t="s">
        <v>3474</v>
      </c>
      <c r="C66" s="118" t="s">
        <v>3475</v>
      </c>
      <c r="D66" s="118" t="s">
        <v>1876</v>
      </c>
      <c r="E66" s="46" t="str">
        <f>IFERROR(__xludf.DUMMYFUNCTION("IFERROR(VLOOKUP(C66,IMPORTRANGE(""https://docs.google.com/spreadsheets/d/1SQRLoxD_LXfQNfB7NOxI5jlxbkDlcNPwla_2gSTySP8/edit#gid=274515254"",""Thermal!$C$2:$D$175""),2,0),0)"),"テンプレートからロード")</f>
        <v>テンプレートからロード</v>
      </c>
    </row>
    <row r="67" ht="21.75" customHeight="1">
      <c r="A67" s="68" t="str">
        <f>IFERROR(__xludf.DUMMYFUNCTION("JOIN(""-"",""app"",SPLIT(LOWER( C67),"" ""))"),"app-select-template-or-create-new")</f>
        <v>app-select-template-or-create-new</v>
      </c>
      <c r="B67" s="20" t="s">
        <v>3476</v>
      </c>
      <c r="C67" s="118" t="s">
        <v>3477</v>
      </c>
      <c r="D67" s="118" t="s">
        <v>3478</v>
      </c>
      <c r="E67" s="46" t="str">
        <f>IFERROR(__xludf.DUMMYFUNCTION("IFERROR(VLOOKUP(C67,IMPORTRANGE(""https://docs.google.com/spreadsheets/d/1SQRLoxD_LXfQNfB7NOxI5jlxbkDlcNPwla_2gSTySP8/edit#gid=274515254"",""Thermal!$C$2:$D$175""),2,0),0)"),"テンプレートの選択または新規テンプレートの作成")</f>
        <v>テンプレートの選択または新規テンプレートの作成</v>
      </c>
    </row>
    <row r="68" ht="21.75" customHeight="1">
      <c r="A68" s="68" t="str">
        <f>IFERROR(__xludf.DUMMYFUNCTION("JOIN(""-"",""app"",SPLIT(LOWER( C68),"" ""))"),"app-custom")</f>
        <v>app-custom</v>
      </c>
      <c r="C68" s="118" t="s">
        <v>1885</v>
      </c>
      <c r="D68" s="118" t="s">
        <v>3479</v>
      </c>
      <c r="E68" s="46" t="str">
        <f>IFERROR(__xludf.DUMMYFUNCTION("IFERROR(VLOOKUP(C68,IMPORTRANGE(""https://docs.google.com/spreadsheets/d/1SQRLoxD_LXfQNfB7NOxI5jlxbkDlcNPwla_2gSTySP8/edit#gid=274515254"",""Thermal!$C$2:$D$175""),2,0),0)"),"カスタム")</f>
        <v>カスタム</v>
      </c>
    </row>
    <row r="69" ht="21.75" customHeight="1">
      <c r="A69" s="68" t="str">
        <f>IFERROR(__xludf.DUMMYFUNCTION("JOIN(""-"",""app"",SPLIT(LOWER( C69),"" ""))"),"app-load-template")</f>
        <v>app-load-template</v>
      </c>
      <c r="C69" s="118" t="s">
        <v>1898</v>
      </c>
      <c r="D69" s="118" t="s">
        <v>1899</v>
      </c>
      <c r="E69" s="46" t="str">
        <f>IFERROR(__xludf.DUMMYFUNCTION("IFERROR(VLOOKUP(C69,IMPORTRANGE(""https://docs.google.com/spreadsheets/d/1SQRLoxD_LXfQNfB7NOxI5jlxbkDlcNPwla_2gSTySP8/edit#gid=274515254"",""Thermal!$C$2:$D$175""),2,0),0)"),"テンプレートを読み込む")</f>
        <v>テンプレートを読み込む</v>
      </c>
    </row>
    <row r="70" ht="21.75" customHeight="1">
      <c r="A70" s="68" t="str">
        <f>IFERROR(__xludf.DUMMYFUNCTION("JOIN(""-"",""app"",SPLIT(LOWER( C70),"" ""))"),"app-closed")</f>
        <v>app-closed</v>
      </c>
      <c r="B70" s="20" t="s">
        <v>3480</v>
      </c>
      <c r="C70" s="118" t="s">
        <v>828</v>
      </c>
      <c r="D70" s="118" t="s">
        <v>829</v>
      </c>
      <c r="E70" s="46" t="str">
        <f>IFERROR(__xludf.DUMMYFUNCTION("IFERROR(VLOOKUP(C70,IMPORTRANGE(""https://docs.google.com/spreadsheets/d/1SQRLoxD_LXfQNfB7NOxI5jlxbkDlcNPwla_2gSTySP8/edit#gid=274515254"",""Thermal!$C$2:$D$175""),2,0),0)"),"終了")</f>
        <v>終了</v>
      </c>
    </row>
    <row r="71" ht="24.75" customHeight="1">
      <c r="A71" s="68" t="str">
        <f>IFERROR(__xludf.DUMMYFUNCTION("JOIN(""-"",""app"",SPLIT(LOWER( C71),"" ""))"),"app-see-more")</f>
        <v>app-see-more</v>
      </c>
      <c r="C71" s="118" t="s">
        <v>884</v>
      </c>
      <c r="D71" s="26" t="s">
        <v>885</v>
      </c>
      <c r="E71" s="46" t="str">
        <f>IFERROR(__xludf.DUMMYFUNCTION("IFERROR(VLOOKUP(C71,IMPORTRANGE(""https://docs.google.com/spreadsheets/d/1SQRLoxD_LXfQNfB7NOxI5jlxbkDlcNPwla_2gSTySP8/edit#gid=274515254"",""Thermal!$C$2:$D$175""),2,0),0)"),"詳細を表示")</f>
        <v>詳細を表示</v>
      </c>
    </row>
    <row r="72">
      <c r="A72" s="68" t="str">
        <f>IFERROR(__xludf.DUMMYFUNCTION("JOIN(""-"",""app"",SPLIT(LOWER( C72),"" ""))"),"app-display-tickets")</f>
        <v>app-display-tickets</v>
      </c>
      <c r="C72" s="118" t="s">
        <v>2756</v>
      </c>
      <c r="D72" s="118" t="s">
        <v>2757</v>
      </c>
      <c r="E72" s="46" t="str">
        <f>IFERROR(__xludf.DUMMYFUNCTION("IFERROR(VLOOKUP(C72,IMPORTRANGE(""https://docs.google.com/spreadsheets/d/1SQRLoxD_LXfQNfB7NOxI5jlxbkDlcNPwla_2gSTySP8/edit#gid=274515254"",""Thermal!$C$2:$D$175""),2,0),0)"),"チケットを表示")</f>
        <v>チケットを表示</v>
      </c>
    </row>
    <row r="73">
      <c r="A73" s="68" t="str">
        <f>IFERROR(__xludf.DUMMYFUNCTION("JOIN(""-"",""app"",SPLIT(LOWER( C73),"" ""))"),"app-group-by")</f>
        <v>app-group-by</v>
      </c>
      <c r="C73" s="26" t="s">
        <v>3481</v>
      </c>
      <c r="D73" s="26" t="s">
        <v>2760</v>
      </c>
      <c r="E73" s="46" t="str">
        <f>IFERROR(__xludf.DUMMYFUNCTION("IFERROR(VLOOKUP(C73,IMPORTRANGE(""https://docs.google.com/spreadsheets/d/1SQRLoxD_LXfQNfB7NOxI5jlxbkDlcNPwla_2gSTySP8/edit#gid=274515254"",""Thermal!$C$2:$D$175""),2,0),0)"),"グループ化基準")</f>
        <v>グループ化基準</v>
      </c>
    </row>
    <row r="74">
      <c r="A74" s="68" t="str">
        <f>IFERROR(__xludf.DUMMYFUNCTION("JOIN(""-"",""app"",SPLIT(LOWER( C74),"" ""))"),"app-status")</f>
        <v>app-status</v>
      </c>
      <c r="C74" s="26" t="s">
        <v>339</v>
      </c>
      <c r="D74" s="26" t="s">
        <v>340</v>
      </c>
      <c r="E74" s="46" t="str">
        <f>IFERROR(__xludf.DUMMYFUNCTION("IFERROR(VLOOKUP(C74,IMPORTRANGE(""https://docs.google.com/spreadsheets/d/1SQRLoxD_LXfQNfB7NOxI5jlxbkDlcNPwla_2gSTySP8/edit#gid=274515254"",""Thermal!$C$2:$D$175""),2,0),0)"),"ステータス")</f>
        <v>ステータス</v>
      </c>
    </row>
    <row r="75">
      <c r="A75" s="68" t="str">
        <f>IFERROR(__xludf.DUMMYFUNCTION("JOIN(""-"",""app"",SPLIT(LOWER( C75),"" ""))"),"app-priority")</f>
        <v>app-priority</v>
      </c>
      <c r="C75" s="26" t="s">
        <v>342</v>
      </c>
      <c r="D75" s="26" t="s">
        <v>343</v>
      </c>
      <c r="E75" s="46" t="str">
        <f>IFERROR(__xludf.DUMMYFUNCTION("IFERROR(VLOOKUP(C75,IMPORTRANGE(""https://docs.google.com/spreadsheets/d/1SQRLoxD_LXfQNfB7NOxI5jlxbkDlcNPwla_2gSTySP8/edit#gid=274515254"",""Thermal!$C$2:$D$175""),2,0),0)"),"優先順位")</f>
        <v>優先順位</v>
      </c>
    </row>
    <row r="76">
      <c r="A76" s="68" t="str">
        <f>IFERROR(__xludf.DUMMYFUNCTION("JOIN(""-"",""app"",SPLIT(LOWER( C76),"" ""))"),"app-clear-all")</f>
        <v>app-clear-all</v>
      </c>
      <c r="C76" s="26" t="s">
        <v>2762</v>
      </c>
      <c r="D76" s="26" t="s">
        <v>2763</v>
      </c>
      <c r="E76" s="46" t="str">
        <f>IFERROR(__xludf.DUMMYFUNCTION("IFERROR(VLOOKUP(C76,IMPORTRANGE(""https://docs.google.com/spreadsheets/d/1SQRLoxD_LXfQNfB7NOxI5jlxbkDlcNPwla_2gSTySP8/edit#gid=274515254"",""Thermal!$C$2:$D$175""),2,0),0)"),"すべてクリア")</f>
        <v>すべてクリア</v>
      </c>
    </row>
    <row r="77">
      <c r="A77" s="68" t="str">
        <f>IFERROR(__xludf.DUMMYFUNCTION("JOIN(""-"",""app"",SPLIT(LOWER( C77),"" ""))"),"app-toggle-fly")</f>
        <v>app-toggle-fly</v>
      </c>
      <c r="C77" s="118" t="s">
        <v>2766</v>
      </c>
      <c r="D77" s="118" t="s">
        <v>2767</v>
      </c>
      <c r="E77" s="46" t="str">
        <f>IFERROR(__xludf.DUMMYFUNCTION("IFERROR(VLOOKUP(C77,IMPORTRANGE(""https://docs.google.com/spreadsheets/d/1SQRLoxD_LXfQNfB7NOxI5jlxbkDlcNPwla_2gSTySP8/edit#gid=274515254"",""Thermal!$C$2:$D$175""),2,0),0)"),"フライの切替え")</f>
        <v>フライの切替え</v>
      </c>
    </row>
    <row r="78">
      <c r="A78" s="68" t="str">
        <f>IFERROR(__xludf.DUMMYFUNCTION("JOIN(""-"",""app"",SPLIT(LOWER( C78),"" ""))"),"app-zoom-in")</f>
        <v>app-zoom-in</v>
      </c>
      <c r="C78" s="118" t="s">
        <v>2770</v>
      </c>
      <c r="D78" s="118" t="s">
        <v>2771</v>
      </c>
      <c r="E78" s="46" t="str">
        <f>IFERROR(__xludf.DUMMYFUNCTION("IFERROR(VLOOKUP(C78,IMPORTRANGE(""https://docs.google.com/spreadsheets/d/1SQRLoxD_LXfQNfB7NOxI5jlxbkDlcNPwla_2gSTySP8/edit#gid=274515254"",""Thermal!$C$2:$D$175""),2,0),0)"),"ズームイン")</f>
        <v>ズームイン</v>
      </c>
    </row>
    <row r="79">
      <c r="A79" s="68" t="str">
        <f>IFERROR(__xludf.DUMMYFUNCTION("JOIN(""-"",""app"",SPLIT(LOWER( C79),"" ""))"),"app-zoom-out")</f>
        <v>app-zoom-out</v>
      </c>
      <c r="C79" s="118" t="s">
        <v>2774</v>
      </c>
      <c r="D79" s="118" t="s">
        <v>2775</v>
      </c>
      <c r="E79" s="46" t="str">
        <f>IFERROR(__xludf.DUMMYFUNCTION("IFERROR(VLOOKUP(C79,IMPORTRANGE(""https://docs.google.com/spreadsheets/d/1SQRLoxD_LXfQNfB7NOxI5jlxbkDlcNPwla_2gSTySP8/edit#gid=274515254"",""Thermal!$C$2:$D$175""),2,0),0)"),"ズームアウト")</f>
        <v>ズームアウト</v>
      </c>
    </row>
    <row r="80">
      <c r="A80" s="68" t="str">
        <f>IFERROR(__xludf.DUMMYFUNCTION("JOIN(""-"",""app"",SPLIT(LOWER( C80),"" ""))"),"app-reset-bearing-to-north")</f>
        <v>app-reset-bearing-to-north</v>
      </c>
      <c r="B80" s="105" t="s">
        <v>3482</v>
      </c>
      <c r="C80" s="122" t="s">
        <v>2778</v>
      </c>
      <c r="D80" s="122" t="s">
        <v>2779</v>
      </c>
      <c r="E80" s="93" t="s">
        <v>3483</v>
      </c>
    </row>
    <row r="81">
      <c r="A81" s="68" t="str">
        <f>IFERROR(__xludf.DUMMYFUNCTION("JOIN(""-"",""app"",SPLIT(LOWER( C81),"" ""))"),"app-ticket")</f>
        <v>app-ticket</v>
      </c>
      <c r="B81" s="8" t="s">
        <v>3484</v>
      </c>
      <c r="C81" s="26" t="s">
        <v>1182</v>
      </c>
      <c r="D81" s="26" t="s">
        <v>1182</v>
      </c>
      <c r="E81" s="46" t="str">
        <f>IFERROR(__xludf.DUMMYFUNCTION("IFERROR(VLOOKUP(C81,IMPORTRANGE(""https://docs.google.com/spreadsheets/d/1SQRLoxD_LXfQNfB7NOxI5jlxbkDlcNPwla_2gSTySP8/edit#gid=274515254"",""Thermal!$C$2:$D$175""),2,0),0)"),"チケット")</f>
        <v>チケット</v>
      </c>
    </row>
    <row r="82">
      <c r="A82" s="68" t="str">
        <f>IFERROR(__xludf.DUMMYFUNCTION("JOIN(""-"",""app"",SPLIT(LOWER( C82),"" ""))"),"app-add-tags")</f>
        <v>app-add-tags</v>
      </c>
      <c r="C82" s="26" t="s">
        <v>3485</v>
      </c>
      <c r="D82" s="26" t="s">
        <v>1903</v>
      </c>
      <c r="E82" s="46" t="str">
        <f>IFERROR(__xludf.DUMMYFUNCTION("IFERROR(VLOOKUP(C82,IMPORTRANGE(""https://docs.google.com/spreadsheets/d/1SQRLoxD_LXfQNfB7NOxI5jlxbkDlcNPwla_2gSTySP8/edit#gid=274515254"",""Thermal!$C$2:$D$175""),2,0),0)"),"タグを追加")</f>
        <v>タグを追加</v>
      </c>
    </row>
    <row r="83">
      <c r="A83" s="68" t="str">
        <f>IFERROR(__xludf.DUMMYFUNCTION("JOIN(""-"",""app"",SPLIT(LOWER( C83),"" ""))"),"app-assets")</f>
        <v>app-assets</v>
      </c>
      <c r="C83" s="26" t="s">
        <v>3486</v>
      </c>
      <c r="D83" s="26" t="s">
        <v>3487</v>
      </c>
      <c r="E83" s="46" t="str">
        <f>IFERROR(__xludf.DUMMYFUNCTION("IFERROR(VLOOKUP(C83,IMPORTRANGE(""https://docs.google.com/spreadsheets/d/1SQRLoxD_LXfQNfB7NOxI5jlxbkDlcNPwla_2gSTySP8/edit#gid=274515254"",""Thermal!$C$2:$D$175""),2,0),0)"),"アセット")</f>
        <v>アセット</v>
      </c>
    </row>
    <row r="84">
      <c r="A84" s="68" t="str">
        <f>IFERROR(__xludf.DUMMYFUNCTION("JOIN(""-"",""app"",SPLIT(LOWER( C84),"" ""))"),"app-assignee")</f>
        <v>app-assignee</v>
      </c>
      <c r="C84" s="26" t="s">
        <v>442</v>
      </c>
      <c r="D84" s="26" t="s">
        <v>337</v>
      </c>
      <c r="E84" s="46" t="str">
        <f>IFERROR(__xludf.DUMMYFUNCTION("IFERROR(VLOOKUP(C84,IMPORTRANGE(""https://docs.google.com/spreadsheets/d/1SQRLoxD_LXfQNfB7NOxI5jlxbkDlcNPwla_2gSTySP8/edit#gid=274515254"",""Thermal!$C$2:$D$175""),2,0),0)"),"担当者")</f>
        <v>担当者</v>
      </c>
    </row>
    <row r="85">
      <c r="A85" s="68" t="str">
        <f>IFERROR(__xludf.DUMMYFUNCTION("JOIN(""-"",""app"",SPLIT(LOWER( C85),"" ""))"),"app-created-by")</f>
        <v>app-created-by</v>
      </c>
      <c r="C85" s="26" t="s">
        <v>1476</v>
      </c>
      <c r="D85" s="26" t="s">
        <v>2469</v>
      </c>
      <c r="E85" s="46" t="str">
        <f>IFERROR(__xludf.DUMMYFUNCTION("IFERROR(VLOOKUP(C85,IMPORTRANGE(""https://docs.google.com/spreadsheets/d/1SQRLoxD_LXfQNfB7NOxI5jlxbkDlcNPwla_2gSTySP8/edit#gid=274515254"",""Thermal!$C$2:$D$175""),2,0),0)"),"作成者")</f>
        <v>作成者</v>
      </c>
    </row>
    <row r="86">
      <c r="A86" s="68" t="str">
        <f>IFERROR(__xludf.DUMMYFUNCTION("JOIN(""-"",""app"",SPLIT(LOWER( C86),"" ""))"),"app-users")</f>
        <v>app-users</v>
      </c>
      <c r="C86" s="26" t="s">
        <v>508</v>
      </c>
      <c r="D86" s="26" t="s">
        <v>509</v>
      </c>
      <c r="E86" s="46" t="str">
        <f>IFERROR(__xludf.DUMMYFUNCTION("IFERROR(VLOOKUP(C86,IMPORTRANGE(""https://docs.google.com/spreadsheets/d/1SQRLoxD_LXfQNfB7NOxI5jlxbkDlcNPwla_2gSTySP8/edit#gid=274515254"",""Thermal!$C$2:$D$175""),2,0),0)"),"ユーザー")</f>
        <v>ユーザー</v>
      </c>
    </row>
    <row r="87">
      <c r="A87" s="68" t="str">
        <f>IFERROR(__xludf.DUMMYFUNCTION("JOIN(""-"",""app"",SPLIT(LOWER( C87),"" ""))"),"app-teams")</f>
        <v>app-teams</v>
      </c>
      <c r="C87" s="26" t="s">
        <v>519</v>
      </c>
      <c r="D87" s="26" t="s">
        <v>520</v>
      </c>
      <c r="E87" s="46" t="str">
        <f>IFERROR(__xludf.DUMMYFUNCTION("IFERROR(VLOOKUP(C87,IMPORTRANGE(""https://docs.google.com/spreadsheets/d/1SQRLoxD_LXfQNfB7NOxI5jlxbkDlcNPwla_2gSTySP8/edit#gid=274515254"",""Thermal!$C$2:$D$175""),2,0),0)"),"チーム")</f>
        <v>チーム</v>
      </c>
    </row>
    <row r="88">
      <c r="A88" s="68" t="str">
        <f>IFERROR(__xludf.DUMMYFUNCTION("JOIN(""-"",""app"",SPLIT(LOWER( C88),"" ""))"),"app-add-teams")</f>
        <v>app-add-teams</v>
      </c>
      <c r="C88" s="26" t="s">
        <v>1920</v>
      </c>
      <c r="D88" s="26" t="s">
        <v>1921</v>
      </c>
      <c r="E88" s="46" t="str">
        <f>IFERROR(__xludf.DUMMYFUNCTION("IFERROR(VLOOKUP(C88,IMPORTRANGE(""https://docs.google.com/spreadsheets/d/1SQRLoxD_LXfQNfB7NOxI5jlxbkDlcNPwla_2gSTySP8/edit#gid=274515254"",""Thermal!$C$2:$D$175""),2,0),0)"),"チームを追加")</f>
        <v>チームを追加</v>
      </c>
    </row>
    <row r="89">
      <c r="A89" s="68" t="str">
        <f>IFERROR(__xludf.DUMMYFUNCTION("JOIN(""-"",""app"",SPLIT(LOWER( C89),"" ""))"),"app-followers")</f>
        <v>app-followers</v>
      </c>
      <c r="C89" s="26" t="s">
        <v>1144</v>
      </c>
      <c r="D89" s="26" t="s">
        <v>1145</v>
      </c>
      <c r="E89" s="46" t="str">
        <f>IFERROR(__xludf.DUMMYFUNCTION("IFERROR(VLOOKUP(C89,IMPORTRANGE(""https://docs.google.com/spreadsheets/d/1SQRLoxD_LXfQNfB7NOxI5jlxbkDlcNPwla_2gSTySP8/edit#gid=274515254"",""Thermal!$C$2:$D$175""),2,0),0)"),"フォロワー")</f>
        <v>フォロワー</v>
      </c>
    </row>
    <row r="90">
      <c r="A90" s="68" t="str">
        <f>IFERROR(__xludf.DUMMYFUNCTION("JOIN(""-"",""app"",SPLIT(LOWER( C90),"" ""))"),"app-start-date")</f>
        <v>app-start-date</v>
      </c>
      <c r="C90" s="26" t="s">
        <v>3488</v>
      </c>
      <c r="D90" s="26" t="s">
        <v>3489</v>
      </c>
      <c r="E90" s="46" t="str">
        <f>IFERROR(__xludf.DUMMYFUNCTION("IFERROR(VLOOKUP(C90,IMPORTRANGE(""https://docs.google.com/spreadsheets/d/1SQRLoxD_LXfQNfB7NOxI5jlxbkDlcNPwla_2gSTySP8/edit#gid=274515254"",""Thermal!$C$2:$D$175""),2,0),0)"),"開始日")</f>
        <v>開始日</v>
      </c>
    </row>
    <row r="91">
      <c r="A91" s="68" t="str">
        <f>IFERROR(__xludf.DUMMYFUNCTION("JOIN(""-"",""app"",SPLIT(LOWER( C91),"" ""))"),"app-select-date")</f>
        <v>app-select-date</v>
      </c>
      <c r="C91" s="26" t="s">
        <v>3490</v>
      </c>
      <c r="D91" s="26" t="s">
        <v>3491</v>
      </c>
      <c r="E91" s="46" t="str">
        <f>IFERROR(__xludf.DUMMYFUNCTION("IFERROR(VLOOKUP(C91,IMPORTRANGE(""https://docs.google.com/spreadsheets/d/1SQRLoxD_LXfQNfB7NOxI5jlxbkDlcNPwla_2gSTySP8/edit#gid=274515254"",""Thermal!$C$2:$D$175""),2,0),0)"),"日付選択")</f>
        <v>日付選択</v>
      </c>
    </row>
    <row r="92">
      <c r="A92" s="68" t="str">
        <f>IFERROR(__xludf.DUMMYFUNCTION("JOIN(""-"",""app"",SPLIT(LOWER( C92),"" ""))"),"app-due-date")</f>
        <v>app-due-date</v>
      </c>
      <c r="C92" s="26" t="s">
        <v>443</v>
      </c>
      <c r="D92" s="26" t="s">
        <v>1478</v>
      </c>
      <c r="E92" s="46" t="str">
        <f>IFERROR(__xludf.DUMMYFUNCTION("IFERROR(VLOOKUP(C92,IMPORTRANGE(""https://docs.google.com/spreadsheets/d/1SQRLoxD_LXfQNfB7NOxI5jlxbkDlcNPwla_2gSTySP8/edit#gid=274515254"",""Thermal!$C$2:$D$175""),2,0),0)"),"期限")</f>
        <v>期限</v>
      </c>
    </row>
    <row r="93">
      <c r="A93" s="68" t="str">
        <f>IFERROR(__xludf.DUMMYFUNCTION("JOIN(""-"",""app"",SPLIT(LOWER( C93),"" ""))"),"app-description")</f>
        <v>app-description</v>
      </c>
      <c r="C93" s="26" t="s">
        <v>2193</v>
      </c>
      <c r="D93" s="26" t="s">
        <v>2194</v>
      </c>
      <c r="E93" s="46" t="str">
        <f>IFERROR(__xludf.DUMMYFUNCTION("IFERROR(VLOOKUP(C93,IMPORTRANGE(""https://docs.google.com/spreadsheets/d/1SQRLoxD_LXfQNfB7NOxI5jlxbkDlcNPwla_2gSTySP8/edit#gid=274515254"",""Thermal!$C$2:$D$175""),2,0),0)"),"説明")</f>
        <v>説明</v>
      </c>
    </row>
    <row r="94">
      <c r="A94" s="68" t="str">
        <f>IFERROR(__xludf.DUMMYFUNCTION("JOIN(""-"",""app"",SPLIT(LOWER( C94),"" ""))"),"app-task-list")</f>
        <v>app-task-list</v>
      </c>
      <c r="C94" s="118" t="s">
        <v>3083</v>
      </c>
      <c r="D94" s="118" t="s">
        <v>3084</v>
      </c>
      <c r="E94" s="46" t="str">
        <f>IFERROR(__xludf.DUMMYFUNCTION("IFERROR(VLOOKUP(C94,IMPORTRANGE(""https://docs.google.com/spreadsheets/d/1SQRLoxD_LXfQNfB7NOxI5jlxbkDlcNPwla_2gSTySP8/edit#gid=274515254"",""Thermal!$C$2:$D$175""),2,0),0)"),"タスク一覧")</f>
        <v>タスク一覧</v>
      </c>
    </row>
    <row r="95">
      <c r="A95" s="68" t="str">
        <f>IFERROR(__xludf.DUMMYFUNCTION("JOIN(""-"",""app"",SPLIT(LOWER( C95),"" ""))"),"app-attachments")</f>
        <v>app-attachments</v>
      </c>
      <c r="C95" s="118" t="s">
        <v>1644</v>
      </c>
      <c r="D95" s="118" t="s">
        <v>1645</v>
      </c>
      <c r="E95" s="46" t="str">
        <f>IFERROR(__xludf.DUMMYFUNCTION("IFERROR(VLOOKUP(C95,IMPORTRANGE(""https://docs.google.com/spreadsheets/d/1SQRLoxD_LXfQNfB7NOxI5jlxbkDlcNPwla_2gSTySP8/edit#gid=274515254"",""Thermal!$C$2:$D$175""),2,0),0)"),"添付")</f>
        <v>添付</v>
      </c>
    </row>
    <row r="96">
      <c r="A96" s="68" t="str">
        <f>IFERROR(__xludf.DUMMYFUNCTION("JOIN(""-"",""app"",SPLIT(LOWER( C96),"" ""))"),"app-schedule")</f>
        <v>app-schedule</v>
      </c>
      <c r="C96" s="26" t="s">
        <v>527</v>
      </c>
      <c r="D96" s="26" t="s">
        <v>528</v>
      </c>
      <c r="E96" s="46" t="str">
        <f>IFERROR(__xludf.DUMMYFUNCTION("IFERROR(VLOOKUP(C96,IMPORTRANGE(""https://docs.google.com/spreadsheets/d/1SQRLoxD_LXfQNfB7NOxI5jlxbkDlcNPwla_2gSTySP8/edit#gid=274515254"",""Thermal!$C$2:$D$175""),2,0),0)"),"スケジュール")</f>
        <v>スケジュール</v>
      </c>
    </row>
    <row r="97">
      <c r="A97" s="68" t="str">
        <f>IFERROR(__xludf.DUMMYFUNCTION("JOIN(""-"",""app"",SPLIT(LOWER( C97),"" ""))"),"app-comments")</f>
        <v>app-comments</v>
      </c>
      <c r="C97" s="118" t="s">
        <v>3492</v>
      </c>
      <c r="D97" s="118" t="s">
        <v>1441</v>
      </c>
      <c r="E97" s="46" t="str">
        <f>IFERROR(__xludf.DUMMYFUNCTION("IFERROR(VLOOKUP(C97,IMPORTRANGE(""https://docs.google.com/spreadsheets/d/1SQRLoxD_LXfQNfB7NOxI5jlxbkDlcNPwla_2gSTySP8/edit#gid=274515254"",""Thermal!$C$2:$D$175""),2,0),0)"),"コメント")</f>
        <v>コメント</v>
      </c>
    </row>
    <row r="98">
      <c r="A98" s="68" t="str">
        <f>IFERROR(__xludf.DUMMYFUNCTION("JOIN(""-"",""app"",SPLIT(LOWER( C98),"" ""))"),"app-location")</f>
        <v>app-location</v>
      </c>
      <c r="C98" s="118" t="s">
        <v>3059</v>
      </c>
      <c r="D98" s="26" t="s">
        <v>3060</v>
      </c>
      <c r="E98" s="46" t="str">
        <f>IFERROR(__xludf.DUMMYFUNCTION("IFERROR(VLOOKUP(C98,IMPORTRANGE(""https://docs.google.com/spreadsheets/d/1SQRLoxD_LXfQNfB7NOxI5jlxbkDlcNPwla_2gSTySP8/edit#gid=274515254"",""Thermal!$C$2:$D$175""),2,0),0)"),"場所")</f>
        <v>場所</v>
      </c>
    </row>
    <row r="99">
      <c r="A99" s="68" t="str">
        <f>IFERROR(__xludf.DUMMYFUNCTION("JOIN(""-"",""app"",SPLIT(LOWER( C99),"" ""))"),"app-follow")</f>
        <v>app-follow</v>
      </c>
      <c r="C99" s="118" t="s">
        <v>3160</v>
      </c>
      <c r="D99" s="118" t="s">
        <v>3161</v>
      </c>
      <c r="E99" s="46" t="str">
        <f>IFERROR(__xludf.DUMMYFUNCTION("IFERROR(VLOOKUP(C99,IMPORTRANGE(""https://docs.google.com/spreadsheets/d/1SQRLoxD_LXfQNfB7NOxI5jlxbkDlcNPwla_2gSTySP8/edit#gid=274515254"",""Thermal!$C$2:$D$175""),2,0),0)"),"フォロー")</f>
        <v>フォロー</v>
      </c>
    </row>
    <row r="100">
      <c r="A100" s="68" t="str">
        <f>IFERROR(__xludf.DUMMYFUNCTION("JOIN(""-"",""app"",SPLIT(LOWER( C100),"" ""))"),"app-paragraph")</f>
        <v>app-paragraph</v>
      </c>
      <c r="B100" s="20" t="s">
        <v>3493</v>
      </c>
      <c r="C100" s="118" t="s">
        <v>3494</v>
      </c>
      <c r="D100" s="26" t="s">
        <v>3495</v>
      </c>
      <c r="E100" s="46" t="str">
        <f>IFERROR(__xludf.DUMMYFUNCTION("IFERROR(VLOOKUP(C100,IMPORTRANGE(""https://docs.google.com/spreadsheets/d/1SQRLoxD_LXfQNfB7NOxI5jlxbkDlcNPwla_2gSTySP8/edit#gid=274515254"",""Thermal!$C$2:$D$175""),2,0),0)"),"段落")</f>
        <v>段落</v>
      </c>
    </row>
    <row r="101">
      <c r="A101" s="68" t="str">
        <f>IFERROR(__xludf.DUMMYFUNCTION("JOIN(""-"",""app"",SPLIT(LOWER( C101),"" ""))"),"app-type-here-the-description")</f>
        <v>app-type-here-the-description</v>
      </c>
      <c r="C101" s="118" t="s">
        <v>3496</v>
      </c>
      <c r="D101" s="26" t="s">
        <v>3497</v>
      </c>
      <c r="E101" s="46" t="str">
        <f>IFERROR(__xludf.DUMMYFUNCTION("IFERROR(VLOOKUP(C101,IMPORTRANGE(""https://docs.google.com/spreadsheets/d/1SQRLoxD_LXfQNfB7NOxI5jlxbkDlcNPwla_2gSTySP8/edit#gid=274515254"",""Thermal!$C$2:$D$175""),2,0),0)"),"説明をここに入力")</f>
        <v>説明をここに入力</v>
      </c>
    </row>
    <row r="102">
      <c r="A102" s="68" t="str">
        <f>IFERROR(__xludf.DUMMYFUNCTION("JOIN(""-"",""app"",SPLIT(LOWER( C102),"" ""))"),"app-heading")</f>
        <v>app-heading</v>
      </c>
      <c r="C102" s="118" t="s">
        <v>2852</v>
      </c>
      <c r="D102" s="118" t="s">
        <v>2853</v>
      </c>
      <c r="E102" s="46" t="str">
        <f>IFERROR(__xludf.DUMMYFUNCTION("IFERROR(VLOOKUP(C102,IMPORTRANGE(""https://docs.google.com/spreadsheets/d/1SQRLoxD_LXfQNfB7NOxI5jlxbkDlcNPwla_2gSTySP8/edit#gid=274515254"",""Thermal!$C$2:$D$175""),2,0),0)"),"見出し")</f>
        <v>見出し</v>
      </c>
    </row>
    <row r="103">
      <c r="A103" s="68" t="str">
        <f>IFERROR(__xludf.DUMMYFUNCTION("JOIN(""-"",""app"",SPLIT(LOWER( C103),"" ""))"),"app-bold")</f>
        <v>app-bold</v>
      </c>
      <c r="C103" s="118" t="s">
        <v>2856</v>
      </c>
      <c r="D103" s="118" t="s">
        <v>2857</v>
      </c>
      <c r="E103" s="46" t="str">
        <f>IFERROR(__xludf.DUMMYFUNCTION("IFERROR(VLOOKUP(C103,IMPORTRANGE(""https://docs.google.com/spreadsheets/d/1SQRLoxD_LXfQNfB7NOxI5jlxbkDlcNPwla_2gSTySP8/edit#gid=274515254"",""Thermal!$C$2:$D$175""),2,0),0)"),"太字")</f>
        <v>太字</v>
      </c>
    </row>
    <row r="104">
      <c r="A104" s="68" t="str">
        <f>IFERROR(__xludf.DUMMYFUNCTION("JOIN(""-"",""app"",SPLIT(LOWER( C104),"" ""))"),"app-italic")</f>
        <v>app-italic</v>
      </c>
      <c r="C104" s="118" t="s">
        <v>2860</v>
      </c>
      <c r="D104" s="26" t="s">
        <v>2861</v>
      </c>
      <c r="E104" s="46" t="str">
        <f>IFERROR(__xludf.DUMMYFUNCTION("IFERROR(VLOOKUP(C104,IMPORTRANGE(""https://docs.google.com/spreadsheets/d/1SQRLoxD_LXfQNfB7NOxI5jlxbkDlcNPwla_2gSTySP8/edit#gid=274515254"",""Thermal!$C$2:$D$175""),2,0),0)"),"斜体")</f>
        <v>斜体</v>
      </c>
    </row>
    <row r="105">
      <c r="A105" s="68" t="str">
        <f>IFERROR(__xludf.DUMMYFUNCTION("JOIN(""-"",""app"",SPLIT(LOWER( C105),"" ""))"),"app-highlight")</f>
        <v>app-highlight</v>
      </c>
      <c r="C105" s="118" t="s">
        <v>2864</v>
      </c>
      <c r="D105" s="118" t="s">
        <v>2865</v>
      </c>
      <c r="E105" s="46" t="str">
        <f>IFERROR(__xludf.DUMMYFUNCTION("IFERROR(VLOOKUP(C105,IMPORTRANGE(""https://docs.google.com/spreadsheets/d/1SQRLoxD_LXfQNfB7NOxI5jlxbkDlcNPwla_2gSTySP8/edit#gid=274515254"",""Thermal!$C$2:$D$175""),2,0),0)"),"ハイライト")</f>
        <v>ハイライト</v>
      </c>
    </row>
    <row r="106">
      <c r="A106" s="68" t="str">
        <f>IFERROR(__xludf.DUMMYFUNCTION("JOIN(""-"",""app"",SPLIT(LOWER( C106),"" ""))"),"app-block-quote")</f>
        <v>app-block-quote</v>
      </c>
      <c r="C106" s="118" t="s">
        <v>2896</v>
      </c>
      <c r="D106" s="118" t="s">
        <v>2897</v>
      </c>
      <c r="E106" s="93" t="s">
        <v>2898</v>
      </c>
    </row>
    <row r="107">
      <c r="A107" s="68" t="str">
        <f>IFERROR(__xludf.DUMMYFUNCTION("JOIN(""-"",""app"",SPLIT(LOWER( C107),"" ""))"),"app-link")</f>
        <v>app-link</v>
      </c>
      <c r="C107" s="118" t="s">
        <v>1047</v>
      </c>
      <c r="D107" s="118" t="s">
        <v>1048</v>
      </c>
      <c r="E107" s="46" t="str">
        <f>IFERROR(__xludf.DUMMYFUNCTION("IFERROR(VLOOKUP(C107,IMPORTRANGE(""https://docs.google.com/spreadsheets/d/1SQRLoxD_LXfQNfB7NOxI5jlxbkDlcNPwla_2gSTySP8/edit#gid=274515254"",""Thermal!$C$2:$D$175""),2,0),0)"),"リンク")</f>
        <v>リンク</v>
      </c>
    </row>
    <row r="108">
      <c r="A108" s="68" t="str">
        <f>IFERROR(__xludf.DUMMYFUNCTION("JOIN(""-"",""app"",SPLIT(LOWER( C108),"" ""))"),"app-numbered-list")</f>
        <v>app-numbered-list</v>
      </c>
      <c r="C108" s="118" t="s">
        <v>2902</v>
      </c>
      <c r="D108" s="118" t="s">
        <v>3498</v>
      </c>
      <c r="E108" s="46" t="str">
        <f>IFERROR(__xludf.DUMMYFUNCTION("IFERROR(VLOOKUP(C108,IMPORTRANGE(""https://docs.google.com/spreadsheets/d/1SQRLoxD_LXfQNfB7NOxI5jlxbkDlcNPwla_2gSTySP8/edit#gid=274515254"",""Thermal!$C$2:$D$175""),2,0),0)"),"番号付きリスト")</f>
        <v>番号付きリスト</v>
      </c>
    </row>
    <row r="109">
      <c r="A109" s="68" t="str">
        <f>IFERROR(__xludf.DUMMYFUNCTION("JOIN(""-"",""app"",SPLIT(LOWER( C109),"" ""))"),"app-bulleted-list")</f>
        <v>app-bulleted-list</v>
      </c>
      <c r="C109" s="118" t="s">
        <v>2906</v>
      </c>
      <c r="D109" s="118" t="s">
        <v>2907</v>
      </c>
      <c r="E109" s="46" t="str">
        <f>IFERROR(__xludf.DUMMYFUNCTION("IFERROR(VLOOKUP(C109,IMPORTRANGE(""https://docs.google.com/spreadsheets/d/1SQRLoxD_LXfQNfB7NOxI5jlxbkDlcNPwla_2gSTySP8/edit#gid=274515254"",""Thermal!$C$2:$D$175""),2,0),0)"),"箇条書きリスト")</f>
        <v>箇条書きリスト</v>
      </c>
    </row>
    <row r="110">
      <c r="A110" s="68" t="str">
        <f>IFERROR(__xludf.DUMMYFUNCTION("JOIN(""-"",""app"",SPLIT(LOWER( C110),"" ""))"),"app-to-do-list")</f>
        <v>app-to-do-list</v>
      </c>
      <c r="C110" s="118" t="s">
        <v>2910</v>
      </c>
      <c r="D110" s="118" t="s">
        <v>2911</v>
      </c>
      <c r="E110" s="46" t="str">
        <f>IFERROR(__xludf.DUMMYFUNCTION("IFERROR(VLOOKUP(C110,IMPORTRANGE(""https://docs.google.com/spreadsheets/d/1SQRLoxD_LXfQNfB7NOxI5jlxbkDlcNPwla_2gSTySP8/edit#gid=274515254"",""Thermal!$C$2:$D$175""),2,0),0)"),"Todoリスト")</f>
        <v>Todoリスト</v>
      </c>
    </row>
    <row r="111">
      <c r="A111" s="68" t="str">
        <f>IFERROR(__xludf.DUMMYFUNCTION("JOIN(""-"",""app"",SPLIT(LOWER( C111),"" ""))"),"app-insert-table")</f>
        <v>app-insert-table</v>
      </c>
      <c r="C111" s="118" t="s">
        <v>2914</v>
      </c>
      <c r="D111" s="118" t="s">
        <v>2915</v>
      </c>
      <c r="E111" s="46" t="str">
        <f>IFERROR(__xludf.DUMMYFUNCTION("IFERROR(VLOOKUP(C111,IMPORTRANGE(""https://docs.google.com/spreadsheets/d/1SQRLoxD_LXfQNfB7NOxI5jlxbkDlcNPwla_2gSTySP8/edit#gid=274515254"",""Thermal!$C$2:$D$175""),2,0),0)"),"表の挿入")</f>
        <v>表の挿入</v>
      </c>
    </row>
    <row r="112">
      <c r="A112" s="68" t="str">
        <f>IFERROR(__xludf.DUMMYFUNCTION("JOIN(""-"",""app"",SPLIT(LOWER( C112),"" ""))"),"app-undo")</f>
        <v>app-undo</v>
      </c>
      <c r="C112" s="118" t="s">
        <v>2918</v>
      </c>
      <c r="D112" s="118" t="s">
        <v>2919</v>
      </c>
      <c r="E112" s="46" t="str">
        <f>IFERROR(__xludf.DUMMYFUNCTION("IFERROR(VLOOKUP(C112,IMPORTRANGE(""https://docs.google.com/spreadsheets/d/1SQRLoxD_LXfQNfB7NOxI5jlxbkDlcNPwla_2gSTySP8/edit#gid=274515254"",""Thermal!$C$2:$D$175""),2,0),0)"),"取り消し")</f>
        <v>取り消し</v>
      </c>
    </row>
    <row r="113">
      <c r="A113" s="68" t="str">
        <f>IFERROR(__xludf.DUMMYFUNCTION("JOIN(""-"",""app"",SPLIT(LOWER( C113),"" ""))"),"app-redo")</f>
        <v>app-redo</v>
      </c>
      <c r="C113" s="118" t="s">
        <v>2922</v>
      </c>
      <c r="D113" s="118" t="s">
        <v>2923</v>
      </c>
      <c r="E113" s="46" t="str">
        <f>IFERROR(__xludf.DUMMYFUNCTION("IFERROR(VLOOKUP(C113,IMPORTRANGE(""https://docs.google.com/spreadsheets/d/1SQRLoxD_LXfQNfB7NOxI5jlxbkDlcNPwla_2gSTySP8/edit#gid=274515254"",""Thermal!$C$2:$D$175""),2,0),0)"),"やり直し")</f>
        <v>やり直し</v>
      </c>
    </row>
    <row r="114" ht="24.75" customHeight="1">
      <c r="A114" s="68" t="str">
        <f>IFERROR(__xludf.DUMMYFUNCTION("JOIN(""-"",""app"",SPLIT(LOWER( C114),"" ""))"),"app-new-checklist")</f>
        <v>app-new-checklist</v>
      </c>
      <c r="B114" s="8" t="s">
        <v>3499</v>
      </c>
      <c r="C114" s="118" t="s">
        <v>3079</v>
      </c>
      <c r="D114" s="26" t="s">
        <v>3080</v>
      </c>
      <c r="E114" s="46" t="str">
        <f>IFERROR(__xludf.DUMMYFUNCTION("IFERROR(VLOOKUP(C114,IMPORTRANGE(""https://docs.google.com/spreadsheets/d/1SQRLoxD_LXfQNfB7NOxI5jlxbkDlcNPwla_2gSTySP8/edit#gid=274515254"",""Thermal!$C$2:$D$175""),2,0),0)"),"新規チェックリスト")</f>
        <v>新規チェックリスト</v>
      </c>
    </row>
    <row r="115" ht="20.25" customHeight="1">
      <c r="A115" s="68" t="str">
        <f>IFERROR(__xludf.DUMMYFUNCTION("JOIN(""-"",""app"",SPLIT(LOWER( C115),"" ""))"),"app-or")</f>
        <v>app-or</v>
      </c>
      <c r="C115" s="26" t="s">
        <v>2210</v>
      </c>
      <c r="D115" s="26" t="s">
        <v>2211</v>
      </c>
      <c r="E115" s="46" t="str">
        <f>IFERROR(__xludf.DUMMYFUNCTION("IFERROR(VLOOKUP(C115,IMPORTRANGE(""https://docs.google.com/spreadsheets/d/1SQRLoxD_LXfQNfB7NOxI5jlxbkDlcNPwla_2gSTySP8/edit#gid=274515254"",""Thermal!$C$2:$D$175""),2,0),0)"),"または")</f>
        <v>または</v>
      </c>
    </row>
    <row r="116">
      <c r="A116" s="68" t="str">
        <f>IFERROR(__xludf.DUMMYFUNCTION("JOIN(""-"",""app"",SPLIT(LOWER( C116),"" ""))"),"app-show")</f>
        <v>app-show</v>
      </c>
      <c r="B116" s="8" t="s">
        <v>3500</v>
      </c>
      <c r="C116" s="26" t="s">
        <v>3501</v>
      </c>
      <c r="D116" s="26" t="s">
        <v>3502</v>
      </c>
      <c r="E116" s="46" t="str">
        <f>IFERROR(__xludf.DUMMYFUNCTION("IFERROR(VLOOKUP(C116,IMPORTRANGE(""https://docs.google.com/spreadsheets/d/1SQRLoxD_LXfQNfB7NOxI5jlxbkDlcNPwla_2gSTySP8/edit#gid=274515254"",""Thermal!$C$2:$D$175""),2,0),0)"),"表示")</f>
        <v>表示</v>
      </c>
    </row>
    <row r="117">
      <c r="A117" s="68" t="str">
        <f>IFERROR(__xludf.DUMMYFUNCTION("JOIN(""-"",""app"",SPLIT(LOWER( C117),"" ""))"),"app-all")</f>
        <v>app-all</v>
      </c>
      <c r="C117" s="26" t="s">
        <v>927</v>
      </c>
      <c r="D117" s="26" t="s">
        <v>1034</v>
      </c>
      <c r="E117" s="46" t="str">
        <f>IFERROR(__xludf.DUMMYFUNCTION("IFERROR(VLOOKUP(C117,IMPORTRANGE(""https://docs.google.com/spreadsheets/d/1SQRLoxD_LXfQNfB7NOxI5jlxbkDlcNPwla_2gSTySP8/edit#gid=274515254"",""Thermal!$C$2:$D$175""),2,0),0)"),"すべて")</f>
        <v>すべて</v>
      </c>
    </row>
    <row r="118">
      <c r="A118" s="68" t="str">
        <f>IFERROR(__xludf.DUMMYFUNCTION("JOIN(""-"",""app"",SPLIT(LOWER( C118),"" ""))"),"app-sort-by")</f>
        <v>app-sort-by</v>
      </c>
      <c r="C118" s="26" t="s">
        <v>3503</v>
      </c>
      <c r="D118" s="26" t="s">
        <v>3504</v>
      </c>
      <c r="E118" s="46" t="str">
        <f>IFERROR(__xludf.DUMMYFUNCTION("IFERROR(VLOOKUP(C118,IMPORTRANGE(""https://docs.google.com/spreadsheets/d/1SQRLoxD_LXfQNfB7NOxI5jlxbkDlcNPwla_2gSTySP8/edit#gid=274515254"",""Thermal!$C$2:$D$175""),2,0),0)"),"ソート基準")</f>
        <v>ソート基準</v>
      </c>
    </row>
    <row r="119">
      <c r="A119" s="68" t="str">
        <f>IFERROR(__xludf.DUMMYFUNCTION("JOIN(""-"",""app"",SPLIT(LOWER( C119),"" ""))"),"app-download")</f>
        <v>app-download</v>
      </c>
      <c r="C119" s="26" t="s">
        <v>3505</v>
      </c>
      <c r="D119" s="26" t="s">
        <v>3506</v>
      </c>
      <c r="E119" s="46" t="str">
        <f>IFERROR(__xludf.DUMMYFUNCTION("IFERROR(VLOOKUP(C119,IMPORTRANGE(""https://docs.google.com/spreadsheets/d/1SQRLoxD_LXfQNfB7NOxI5jlxbkDlcNPwla_2gSTySP8/edit#gid=274515254"",""Thermal!$C$2:$D$175""),2,0),0)"),"ダウンロード")</f>
        <v>ダウンロード</v>
      </c>
    </row>
    <row r="120">
      <c r="A120" s="68" t="str">
        <f>IFERROR(__xludf.DUMMYFUNCTION("JOIN(""-"",""app"",SPLIT(LOWER( C120),"" ""))"),"app-drop-files-here-to-attach-or-browse")</f>
        <v>app-drop-files-here-to-attach-or-browse</v>
      </c>
      <c r="C120" s="118" t="s">
        <v>3507</v>
      </c>
      <c r="D120" s="26" t="s">
        <v>3508</v>
      </c>
      <c r="E120" s="46" t="str">
        <f>IFERROR(__xludf.DUMMYFUNCTION("IFERROR(VLOOKUP(C120,IMPORTRANGE(""https://docs.google.com/spreadsheets/d/1SQRLoxD_LXfQNfB7NOxI5jlxbkDlcNPwla_2gSTySP8/edit#gid=274515254"",""Thermal!$C$2:$D$175""),2,0),0)"),"添付するファイルをここにドロップまたはファイルを参照")</f>
        <v>添付するファイルをここにドロップまたはファイルを参照</v>
      </c>
    </row>
    <row r="121">
      <c r="A121" s="68" t="str">
        <f>IFERROR(__xludf.DUMMYFUNCTION("JOIN(""-"",""app"",SPLIT(LOWER( C121),"" ""))"),"app-uploaded-time")</f>
        <v>app-uploaded-time</v>
      </c>
      <c r="C121" s="118" t="s">
        <v>3509</v>
      </c>
      <c r="D121" s="118" t="s">
        <v>3510</v>
      </c>
      <c r="E121" s="46" t="str">
        <f>IFERROR(__xludf.DUMMYFUNCTION("IFERROR(VLOOKUP(C121,IMPORTRANGE(""https://docs.google.com/spreadsheets/d/1SQRLoxD_LXfQNfB7NOxI5jlxbkDlcNPwla_2gSTySP8/edit#gid=274515254"",""Thermal!$C$2:$D$175""),2,0),0)"),"アップロード時間")</f>
        <v>アップロード時間</v>
      </c>
    </row>
    <row r="122">
      <c r="A122" s="68" t="str">
        <f>IFERROR(__xludf.DUMMYFUNCTION("JOIN(""-"",""app"",SPLIT(LOWER( C122),"" ""))"),"app-no-schedule")</f>
        <v>app-no-schedule</v>
      </c>
      <c r="B122" s="8" t="s">
        <v>3511</v>
      </c>
      <c r="C122" s="118" t="s">
        <v>3512</v>
      </c>
      <c r="D122" s="118" t="s">
        <v>3513</v>
      </c>
      <c r="E122" s="46" t="str">
        <f>IFERROR(__xludf.DUMMYFUNCTION("IFERROR(VLOOKUP(C122,IMPORTRANGE(""https://docs.google.com/spreadsheets/d/1SQRLoxD_LXfQNfB7NOxI5jlxbkDlcNPwla_2gSTySP8/edit#gid=274515254"",""Thermal!$C$2:$D$175""),2,0),0)"),"スケジュールなし")</f>
        <v>スケジュールなし</v>
      </c>
    </row>
    <row r="123">
      <c r="A123" s="68" t="str">
        <f>IFERROR(__xludf.DUMMYFUNCTION("JOIN(""-"",""app"",SPLIT(LOWER( C123),"" ""))"),"app-no-recurrence-schedule-added-to-the-ticket")</f>
        <v>app-no-recurrence-schedule-added-to-the-ticket</v>
      </c>
      <c r="C123" s="118" t="s">
        <v>3514</v>
      </c>
      <c r="D123" s="118" t="s">
        <v>3515</v>
      </c>
      <c r="E123" s="46" t="str">
        <f>IFERROR(__xludf.DUMMYFUNCTION("IFERROR(VLOOKUP(C123,IMPORTRANGE(""https://docs.google.com/spreadsheets/d/1SQRLoxD_LXfQNfB7NOxI5jlxbkDlcNPwla_2gSTySP8/edit#gid=274515254"",""Thermal!$C$2:$D$175""),2,0),0)"),"チケットに追加された繰り返しスケジュールなし")</f>
        <v>チケットに追加された繰り返しスケジュールなし</v>
      </c>
    </row>
    <row r="124">
      <c r="A124" s="68" t="str">
        <f>IFERROR(__xludf.DUMMYFUNCTION("JOIN(""-"",""app"",SPLIT(LOWER( C124),"" ""))"),"app-create-schedule")</f>
        <v>app-create-schedule</v>
      </c>
      <c r="C124" s="118" t="s">
        <v>3516</v>
      </c>
      <c r="D124" s="118" t="s">
        <v>3517</v>
      </c>
      <c r="E124" s="46" t="str">
        <f>IFERROR(__xludf.DUMMYFUNCTION("IFERROR(VLOOKUP(C124,IMPORTRANGE(""https://docs.google.com/spreadsheets/d/1SQRLoxD_LXfQNfB7NOxI5jlxbkDlcNPwla_2gSTySP8/edit#gid=274515254"",""Thermal!$C$2:$D$175""),2,0),0)"),"スケジュールを作成")</f>
        <v>スケジュールを作成</v>
      </c>
    </row>
    <row r="125" ht="23.25" customHeight="1">
      <c r="A125" s="68" t="str">
        <f>IFERROR(__xludf.DUMMYFUNCTION("JOIN(""-"",""app"",SPLIT(LOWER( C125),"" ""))"),"app-activity")</f>
        <v>app-activity</v>
      </c>
      <c r="B125" s="8" t="s">
        <v>3518</v>
      </c>
      <c r="C125" s="118" t="s">
        <v>3519</v>
      </c>
      <c r="D125" s="118" t="s">
        <v>3520</v>
      </c>
      <c r="E125" s="46" t="str">
        <f>IFERROR(__xludf.DUMMYFUNCTION("IFERROR(VLOOKUP(C125,IMPORTRANGE(""https://docs.google.com/spreadsheets/d/1SQRLoxD_LXfQNfB7NOxI5jlxbkDlcNPwla_2gSTySP8/edit#gid=274515254"",""Thermal!$C$2:$D$175""),2,0),0)"),"アクティビティ")</f>
        <v>アクティビティ</v>
      </c>
    </row>
    <row r="126" ht="18.75" customHeight="1">
      <c r="A126" s="68" t="str">
        <f>IFERROR(__xludf.DUMMYFUNCTION("JOIN(""-"",""app"",SPLIT(LOWER( C126),"" ""))"),"app-last-thursday")</f>
        <v>app-last-thursday</v>
      </c>
      <c r="C126" s="118" t="s">
        <v>3521</v>
      </c>
      <c r="D126" s="118" t="s">
        <v>3522</v>
      </c>
      <c r="E126" s="46" t="str">
        <f>IFERROR(__xludf.DUMMYFUNCTION("IFERROR(VLOOKUP(C126,IMPORTRANGE(""https://docs.google.com/spreadsheets/d/1SQRLoxD_LXfQNfB7NOxI5jlxbkDlcNPwla_2gSTySP8/edit#gid=274515254"",""Thermal!$C$2:$D$175""),2,0),0)"),"先週の木曜日")</f>
        <v>先週の木曜日</v>
      </c>
    </row>
    <row r="127">
      <c r="A127" s="26" t="s">
        <v>171</v>
      </c>
      <c r="C127" s="26" t="s">
        <v>3523</v>
      </c>
      <c r="D127" s="26" t="s">
        <v>3524</v>
      </c>
      <c r="E127" s="46" t="str">
        <f>IFERROR(__xludf.DUMMYFUNCTION("IFERROR(VLOOKUP(C127,IMPORTRANGE(""https://docs.google.com/spreadsheets/d/1SQRLoxD_LXfQNfB7NOxI5jlxbkDlcNPwla_2gSTySP8/edit#gid=274515254"",""Thermal!$C$2:$D$175""),2,0),0)"),"追加添付")</f>
        <v>追加添付</v>
      </c>
    </row>
    <row r="128">
      <c r="A128" s="26" t="s">
        <v>194</v>
      </c>
      <c r="C128" s="26" t="s">
        <v>3525</v>
      </c>
      <c r="D128" s="26" t="s">
        <v>3526</v>
      </c>
      <c r="E128" s="46" t="str">
        <f>IFERROR(__xludf.DUMMYFUNCTION("IFERROR(VLOOKUP(C128,IMPORTRANGE(""https://docs.google.com/spreadsheets/d/1SQRLoxD_LXfQNfB7NOxI5jlxbkDlcNPwla_2gSTySP8/edit#gid=274515254"",""Thermal!$C$2:$D$175""),2,0),0)"),"１つの添付ファイルを追加")</f>
        <v>１つの添付ファイルを追加</v>
      </c>
    </row>
    <row r="129">
      <c r="A129" s="26" t="s">
        <v>3527</v>
      </c>
      <c r="C129" s="26" t="s">
        <v>3528</v>
      </c>
      <c r="D129" s="26" t="s">
        <v>3529</v>
      </c>
      <c r="E129" s="46" t="str">
        <f>IFERROR(__xludf.DUMMYFUNCTION("IFERROR(VLOOKUP(C129,IMPORTRANGE(""https://docs.google.com/spreadsheets/d/1SQRLoxD_LXfQNfB7NOxI5jlxbkDlcNPwla_2gSTySP8/edit#gid=274515254"",""Thermal!$C$2:$D$175""),2,0),0)"),"ステータス変更")</f>
        <v>ステータス変更</v>
      </c>
    </row>
    <row r="130">
      <c r="A130" s="26" t="s">
        <v>178</v>
      </c>
      <c r="C130" s="26" t="s">
        <v>179</v>
      </c>
      <c r="D130" s="26" t="s">
        <v>180</v>
      </c>
      <c r="E130" s="46" t="str">
        <f>IFERROR(__xludf.DUMMYFUNCTION("IFERROR(VLOOKUP(C130,IMPORTRANGE(""https://docs.google.com/spreadsheets/d/1SQRLoxD_LXfQNfB7NOxI5jlxbkDlcNPwla_2gSTySP8/edit#gid=274515254"",""Thermal!$C$2:$D$175""),2,0),0)"),"から")</f>
        <v>から</v>
      </c>
    </row>
    <row r="131">
      <c r="A131" s="141" t="s">
        <v>3530</v>
      </c>
      <c r="B131" s="8" t="s">
        <v>3531</v>
      </c>
      <c r="C131" s="118" t="s">
        <v>3532</v>
      </c>
      <c r="D131" s="118" t="s">
        <v>3533</v>
      </c>
      <c r="E131" s="46" t="str">
        <f>IFERROR(__xludf.DUMMYFUNCTION("IFERROR(VLOOKUP(C131,IMPORTRANGE(""https://docs.google.com/spreadsheets/d/1SQRLoxD_LXfQNfB7NOxI5jlxbkDlcNPwla_2gSTySP8/edit#gid=274515254"",""Thermal!$C$2:$D$175""),2,0),0)"),"コメントなし")</f>
        <v>コメントなし</v>
      </c>
    </row>
    <row r="132">
      <c r="A132" s="141" t="s">
        <v>3534</v>
      </c>
      <c r="C132" s="118" t="s">
        <v>3535</v>
      </c>
      <c r="D132" s="26" t="s">
        <v>3536</v>
      </c>
      <c r="E132" s="46" t="str">
        <f>IFERROR(__xludf.DUMMYFUNCTION("IFERROR(VLOOKUP(C132,IMPORTRANGE(""https://docs.google.com/spreadsheets/d/1SQRLoxD_LXfQNfB7NOxI5jlxbkDlcNPwla_2gSTySP8/edit#gid=274515254"",""Thermal!$C$2:$D$175""),2,0),0)"),"会話はリアルタイムで更新されるため、協同作業を強化し、フィードバックをすぐに得られるという利点があります。@メンションで、別のユーザをメンションしてコメントにファイル添付することもできます")</f>
        <v>会話はリアルタイムで更新されるため、協同作業を強化し、フィードバックをすぐに得られるという利点があります。@メンションで、別のユーザをメンションしてコメントにファイル添付することもできます</v>
      </c>
    </row>
    <row r="133">
      <c r="A133" s="141" t="s">
        <v>3537</v>
      </c>
      <c r="C133" s="118" t="s">
        <v>3538</v>
      </c>
      <c r="D133" s="26" t="s">
        <v>3539</v>
      </c>
      <c r="E133" s="46" t="str">
        <f>IFERROR(__xludf.DUMMYFUNCTION("IFERROR(VLOOKUP(C133,IMPORTRANGE(""https://docs.google.com/spreadsheets/d/1SQRLoxD_LXfQNfB7NOxI5jlxbkDlcNPwla_2gSTySP8/edit#gid=274515254"",""Thermal!$C$2:$D$175""),2,0),0)"),"会話を開始する")</f>
        <v>会話を開始する</v>
      </c>
    </row>
    <row r="134">
      <c r="A134" s="68" t="str">
        <f>IFERROR(__xludf.DUMMYFUNCTION("JOIN(""-"",""app"",SPLIT(LOWER( C134),"" ""))"),"app-pending")</f>
        <v>app-pending</v>
      </c>
      <c r="B134" s="8" t="s">
        <v>3540</v>
      </c>
      <c r="C134" s="118" t="s">
        <v>183</v>
      </c>
      <c r="D134" s="118" t="s">
        <v>184</v>
      </c>
      <c r="E134" s="46" t="str">
        <f>IFERROR(__xludf.DUMMYFUNCTION("IFERROR(VLOOKUP(C134,IMPORTRANGE(""https://docs.google.com/spreadsheets/d/1SQRLoxD_LXfQNfB7NOxI5jlxbkDlcNPwla_2gSTySP8/edit#gid=274515254"",""Thermal!$C$2:$D$175""),2,0),0)"),"保留")</f>
        <v>保留</v>
      </c>
    </row>
    <row r="135">
      <c r="A135" s="68" t="str">
        <f>IFERROR(__xludf.DUMMYFUNCTION("JOIN(""-"",""app"",SPLIT(LOWER( C135),"" ""))"),"app-in-progress")</f>
        <v>app-in-progress</v>
      </c>
      <c r="C135" s="26" t="s">
        <v>3541</v>
      </c>
      <c r="D135" s="118" t="s">
        <v>783</v>
      </c>
      <c r="E135" s="46" t="str">
        <f>IFERROR(__xludf.DUMMYFUNCTION("IFERROR(VLOOKUP(C135,IMPORTRANGE(""https://docs.google.com/spreadsheets/d/1SQRLoxD_LXfQNfB7NOxI5jlxbkDlcNPwla_2gSTySP8/edit#gid=274515254"",""Thermal!$C$2:$D$175""),2,0),0)"),"進行中")</f>
        <v>進行中</v>
      </c>
    </row>
    <row r="136">
      <c r="A136" s="68" t="str">
        <f>IFERROR(__xludf.DUMMYFUNCTION("JOIN(""-"",""app"",SPLIT(LOWER( C136),"" ""))"),"app-resolved")</f>
        <v>app-resolved</v>
      </c>
      <c r="C136" s="118" t="s">
        <v>302</v>
      </c>
      <c r="D136" s="118" t="s">
        <v>303</v>
      </c>
      <c r="E136" s="46" t="str">
        <f>IFERROR(__xludf.DUMMYFUNCTION("IFERROR(VLOOKUP(C136,IMPORTRANGE(""https://docs.google.com/spreadsheets/d/1SQRLoxD_LXfQNfB7NOxI5jlxbkDlcNPwla_2gSTySP8/edit#gid=274515254"",""Thermal!$C$2:$D$175""),2,0),0)"),"解決済み")</f>
        <v>解決済み</v>
      </c>
    </row>
    <row r="137">
      <c r="A137" s="68" t="str">
        <f>IFERROR(__xludf.DUMMYFUNCTION("JOIN(""-"",""app"",SPLIT(LOWER( C137),"" ""))"),"app-closed")</f>
        <v>app-closed</v>
      </c>
      <c r="C137" s="26" t="s">
        <v>828</v>
      </c>
      <c r="D137" s="26" t="s">
        <v>829</v>
      </c>
      <c r="E137" s="46" t="str">
        <f>IFERROR(__xludf.DUMMYFUNCTION("IFERROR(VLOOKUP(C137,IMPORTRANGE(""https://docs.google.com/spreadsheets/d/1SQRLoxD_LXfQNfB7NOxI5jlxbkDlcNPwla_2gSTySP8/edit#gid=274515254"",""Thermal!$C$2:$D$175""),2,0),0)"),"終了")</f>
        <v>終了</v>
      </c>
    </row>
    <row r="138">
      <c r="A138" s="68" t="str">
        <f>IFERROR(__xludf.DUMMYFUNCTION("JOIN(""-"",""app"",SPLIT(LOWER( C138),"" ""))"),"app-rejected")</f>
        <v>app-rejected</v>
      </c>
      <c r="C138" s="118" t="s">
        <v>306</v>
      </c>
      <c r="D138" s="118" t="s">
        <v>307</v>
      </c>
      <c r="E138" s="46" t="str">
        <f>IFERROR(__xludf.DUMMYFUNCTION("IFERROR(VLOOKUP(C138,IMPORTRANGE(""https://docs.google.com/spreadsheets/d/1SQRLoxD_LXfQNfB7NOxI5jlxbkDlcNPwla_2gSTySP8/edit#gid=274515254"",""Thermal!$C$2:$D$175""),2,0),0)"),"拒否")</f>
        <v>拒否</v>
      </c>
    </row>
    <row r="139">
      <c r="A139" s="68" t="str">
        <f>IFERROR(__xludf.DUMMYFUNCTION("JOIN(""-"",""app"",SPLIT(LOWER( C139),"" ""))"),"app-pin-ticket")</f>
        <v>app-pin-ticket</v>
      </c>
      <c r="B139" s="8" t="s">
        <v>3542</v>
      </c>
      <c r="C139" s="118" t="s">
        <v>3543</v>
      </c>
      <c r="D139" s="118" t="s">
        <v>2006</v>
      </c>
      <c r="E139" s="46" t="str">
        <f>IFERROR(__xludf.DUMMYFUNCTION("IFERROR(VLOOKUP(C139,IMPORTRANGE(""https://docs.google.com/spreadsheets/d/1SQRLoxD_LXfQNfB7NOxI5jlxbkDlcNPwla_2gSTySP8/edit#gid=274515254"",""Thermal!$C$2:$D$175""),2,0),0)"),"チケットをピン留め")</f>
        <v>チケットをピン留め</v>
      </c>
    </row>
    <row r="140">
      <c r="A140" s="68" t="str">
        <f>IFERROR(__xludf.DUMMYFUNCTION("JOIN(""-"",""app"",SPLIT(LOWER( C140),"" ""))"),"app-download-attachments")</f>
        <v>app-download-attachments</v>
      </c>
      <c r="C140" s="118" t="s">
        <v>3544</v>
      </c>
      <c r="D140" s="118" t="s">
        <v>2015</v>
      </c>
      <c r="E140" s="46" t="str">
        <f>IFERROR(__xludf.DUMMYFUNCTION("IFERROR(VLOOKUP(C140,IMPORTRANGE(""https://docs.google.com/spreadsheets/d/1SQRLoxD_LXfQNfB7NOxI5jlxbkDlcNPwla_2gSTySP8/edit#gid=274515254"",""Thermal!$C$2:$D$175""),2,0),0)"),"添付ファイルをダウンロード")</f>
        <v>添付ファイルをダウンロード</v>
      </c>
    </row>
    <row r="141">
      <c r="A141" s="68" t="str">
        <f>IFERROR(__xludf.DUMMYFUNCTION("JOIN(""-"",""app"",SPLIT(LOWER( C141),"" ""))"),"app-take-up")</f>
        <v>app-take-up</v>
      </c>
      <c r="C141" s="118" t="s">
        <v>1350</v>
      </c>
      <c r="D141" s="26" t="s">
        <v>2027</v>
      </c>
      <c r="E141" s="46" t="str">
        <f>IFERROR(__xludf.DUMMYFUNCTION("IFERROR(VLOOKUP(C141,IMPORTRANGE(""https://docs.google.com/spreadsheets/d/1SQRLoxD_LXfQNfB7NOxI5jlxbkDlcNPwla_2gSTySP8/edit#gid=274515254"",""Thermal!$C$2:$D$175""),2,0),0)"),"承諾")</f>
        <v>承諾</v>
      </c>
    </row>
    <row r="142">
      <c r="A142" s="68" t="str">
        <f>IFERROR(__xludf.DUMMYFUNCTION("JOIN(""-"",""app"",SPLIT(LOWER( C142),"" ""))"),"app-save-as-template")</f>
        <v>app-save-as-template</v>
      </c>
      <c r="C142" s="118" t="s">
        <v>3545</v>
      </c>
      <c r="D142" s="118" t="s">
        <v>3546</v>
      </c>
      <c r="E142" s="46" t="str">
        <f>IFERROR(__xludf.DUMMYFUNCTION("IFERROR(VLOOKUP(C142,IMPORTRANGE(""https://docs.google.com/spreadsheets/d/1SQRLoxD_LXfQNfB7NOxI5jlxbkDlcNPwla_2gSTySP8/edit#gid=274515254"",""Thermal!$C$2:$D$175""),2,0),0)"),"テンプレートに保存")</f>
        <v>テンプレートに保存</v>
      </c>
    </row>
    <row r="143">
      <c r="A143" s="68" t="str">
        <f>IFERROR(__xludf.DUMMYFUNCTION("JOIN(""-"",""app"",SPLIT(LOWER( C143),"" ""))"),"app-duplicate")</f>
        <v>app-duplicate</v>
      </c>
      <c r="B143" s="71" t="s">
        <v>3547</v>
      </c>
      <c r="C143" s="118" t="s">
        <v>493</v>
      </c>
      <c r="D143" s="118" t="s">
        <v>494</v>
      </c>
      <c r="E143" s="46" t="str">
        <f>IFERROR(__xludf.DUMMYFUNCTION("IFERROR(VLOOKUP(C143,IMPORTRANGE(""https://docs.google.com/spreadsheets/d/1SQRLoxD_LXfQNfB7NOxI5jlxbkDlcNPwla_2gSTySP8/edit#gid=274515254"",""Thermal!$C$2:$D$175""),2,0),0)"),"複製")</f>
        <v>複製</v>
      </c>
    </row>
    <row r="144">
      <c r="A144" s="68" t="str">
        <f>IFERROR(__xludf.DUMMYFUNCTION("JOIN(""-"",""app"",SPLIT(LOWER( C144),"" ""))"),"app-copy-url")</f>
        <v>app-copy-url</v>
      </c>
      <c r="B144" s="71" t="s">
        <v>3548</v>
      </c>
      <c r="C144" s="118" t="s">
        <v>1984</v>
      </c>
      <c r="D144" s="118" t="s">
        <v>1985</v>
      </c>
      <c r="E144" s="46" t="str">
        <f>IFERROR(__xludf.DUMMYFUNCTION("IFERROR(VLOOKUP(C144,IMPORTRANGE(""https://docs.google.com/spreadsheets/d/1SQRLoxD_LXfQNfB7NOxI5jlxbkDlcNPwla_2gSTySP8/edit#gid=274515254"",""Thermal!$C$2:$D$175""),2,0),0)"),"URLコピー")</f>
        <v>URLコピー</v>
      </c>
    </row>
    <row r="145">
      <c r="A145" s="68" t="str">
        <f>IFERROR(__xludf.DUMMYFUNCTION("JOIN(""-"",""app"",SPLIT(LOWER( C145),"" ""))"),"app-archive")</f>
        <v>app-archive</v>
      </c>
      <c r="B145" s="71" t="s">
        <v>3549</v>
      </c>
      <c r="C145" s="118" t="s">
        <v>1993</v>
      </c>
      <c r="D145" s="118" t="s">
        <v>1994</v>
      </c>
      <c r="E145" s="46" t="str">
        <f>IFERROR(__xludf.DUMMYFUNCTION("IFERROR(VLOOKUP(C145,IMPORTRANGE(""https://docs.google.com/spreadsheets/d/1SQRLoxD_LXfQNfB7NOxI5jlxbkDlcNPwla_2gSTySP8/edit#gid=274515254"",""Thermal!$C$2:$D$175""),2,0),0)"),"アーカイブ")</f>
        <v>アーカイブ</v>
      </c>
    </row>
    <row r="146">
      <c r="A146" s="68" t="str">
        <f>IFERROR(__xludf.DUMMYFUNCTION("JOIN(""-"",""app"",SPLIT(LOWER( C146),"" ""))"),"app-delete")</f>
        <v>app-delete</v>
      </c>
      <c r="B146" s="71" t="s">
        <v>3550</v>
      </c>
      <c r="C146" s="118" t="s">
        <v>259</v>
      </c>
      <c r="D146" s="118" t="s">
        <v>260</v>
      </c>
      <c r="E146" s="46" t="str">
        <f>IFERROR(__xludf.DUMMYFUNCTION("IFERROR(VLOOKUP(C146,IMPORTRANGE(""https://docs.google.com/spreadsheets/d/1SQRLoxD_LXfQNfB7NOxI5jlxbkDlcNPwla_2gSTySP8/edit#gid=274515254"",""Thermal!$C$2:$D$175""),2,0),0)"),"削除")</f>
        <v>削除</v>
      </c>
    </row>
    <row r="147">
      <c r="A147" s="141" t="s">
        <v>3551</v>
      </c>
      <c r="B147" s="8" t="s">
        <v>3552</v>
      </c>
      <c r="C147" s="118" t="s">
        <v>3553</v>
      </c>
      <c r="D147" s="118" t="s">
        <v>3554</v>
      </c>
      <c r="E147" s="46" t="str">
        <f>IFERROR(__xludf.DUMMYFUNCTION("IFERROR(VLOOKUP(C147,IMPORTRANGE(""https://docs.google.com/spreadsheets/d/1SQRLoxD_LXfQNfB7NOxI5jlxbkDlcNPwla_2gSTySP8/edit#gid=274515254"",""Thermal!$C$2:$D$175""),2,0),0)"),"詳細")</f>
        <v>詳細</v>
      </c>
    </row>
    <row r="148">
      <c r="A148" s="145" t="s">
        <v>3555</v>
      </c>
      <c r="C148" s="118" t="s">
        <v>3556</v>
      </c>
      <c r="D148" s="118" t="s">
        <v>3557</v>
      </c>
      <c r="E148" s="46" t="str">
        <f>IFERROR(__xludf.DUMMYFUNCTION("IFERROR(VLOOKUP(C148,IMPORTRANGE(""https://docs.google.com/spreadsheets/d/1SQRLoxD_LXfQNfB7NOxI5jlxbkDlcNPwla_2gSTySP8/edit#gid=274515254"",""Thermal!$C$2:$D$175""),2,0),0)"),"問題")</f>
        <v>問題</v>
      </c>
    </row>
    <row r="149">
      <c r="A149" s="141" t="s">
        <v>3558</v>
      </c>
      <c r="C149" s="118" t="s">
        <v>3559</v>
      </c>
      <c r="D149" s="26" t="s">
        <v>3559</v>
      </c>
      <c r="E149" s="46" t="str">
        <f>IFERROR(__xludf.DUMMYFUNCTION("IFERROR(VLOOKUP(C149,IMPORTRANGE(""https://docs.google.com/spreadsheets/d/1SQRLoxD_LXfQNfB7NOxI5jlxbkDlcNPwla_2gSTySP8/edit#gid=274515254"",""Thermal!$C$2:$D$175""),2,0),0)"),"UID")</f>
        <v>UID</v>
      </c>
    </row>
    <row r="150">
      <c r="A150" s="141" t="s">
        <v>3560</v>
      </c>
      <c r="C150" s="118" t="s">
        <v>3561</v>
      </c>
      <c r="D150" s="118" t="s">
        <v>3562</v>
      </c>
      <c r="E150" s="46" t="str">
        <f>IFERROR(__xludf.DUMMYFUNCTION("IFERROR(VLOOKUP(C150,IMPORTRANGE(""https://docs.google.com/spreadsheets/d/1SQRLoxD_LXfQNfB7NOxI5jlxbkDlcNPwla_2gSTySP8/edit#gid=274515254"",""Thermal!$C$2:$D$175""),2,0),0)"),"不具合のタイプ")</f>
        <v>不具合のタイプ</v>
      </c>
    </row>
    <row r="151">
      <c r="A151" s="141" t="s">
        <v>3563</v>
      </c>
      <c r="C151" s="118" t="s">
        <v>895</v>
      </c>
      <c r="D151" s="26" t="s">
        <v>896</v>
      </c>
      <c r="E151" s="46" t="str">
        <f>IFERROR(__xludf.DUMMYFUNCTION("IFERROR(VLOOKUP(C151,IMPORTRANGE(""https://docs.google.com/spreadsheets/d/1SQRLoxD_LXfQNfB7NOxI5jlxbkDlcNPwla_2gSTySP8/edit#gid=274515254"",""Thermal!$C$2:$D$175""),2,0),0)"),"ストリング番号")</f>
        <v>ストリング番号</v>
      </c>
    </row>
    <row r="152">
      <c r="A152" s="141" t="s">
        <v>3564</v>
      </c>
      <c r="C152" s="7" t="s">
        <v>3565</v>
      </c>
      <c r="D152" s="38" t="s">
        <v>3566</v>
      </c>
      <c r="E152" s="46" t="str">
        <f>IFERROR(__xludf.DUMMYFUNCTION("IFERROR(VLOOKUP(C152,IMPORTRANGE(""https://docs.google.com/spreadsheets/d/1SQRLoxD_LXfQNfB7NOxI5jlxbkDlcNPwla_2gSTySP8/edit#gid=274515254"",""Thermal!$C$2:$D$175""),2,0),0)"),"不具合の詳細")</f>
        <v>不具合の詳細</v>
      </c>
    </row>
    <row r="153">
      <c r="A153" s="145" t="s">
        <v>3567</v>
      </c>
      <c r="C153" s="26" t="s">
        <v>3568</v>
      </c>
      <c r="D153" s="26" t="s">
        <v>3569</v>
      </c>
      <c r="E153" s="46" t="str">
        <f>IFERROR(__xludf.DUMMYFUNCTION("IFERROR(VLOOKUP(C153,IMPORTRANGE(""https://docs.google.com/spreadsheets/d/1SQRLoxD_LXfQNfB7NOxI5jlxbkDlcNPwla_2gSTySP8/edit#gid=274515254"",""Thermal!$C$2:$D$175""),2,0),0)"),"モジュール内セルの単純なストリング加熱")</f>
        <v>モジュール内セルの単純なストリング加熱</v>
      </c>
    </row>
    <row r="154">
      <c r="A154" s="141" t="s">
        <v>886</v>
      </c>
      <c r="C154" s="118" t="s">
        <v>887</v>
      </c>
      <c r="D154" s="118" t="s">
        <v>888</v>
      </c>
      <c r="E154" s="46" t="str">
        <f>IFERROR(__xludf.DUMMYFUNCTION("IFERROR(VLOOKUP(C154,IMPORTRANGE(""https://docs.google.com/spreadsheets/d/1SQRLoxD_LXfQNfB7NOxI5jlxbkDlcNPwla_2gSTySP8/edit#gid=274515254"",""Thermal!$C$2:$D$175""),2,0),0)"),"未検証")</f>
        <v>未検証</v>
      </c>
    </row>
    <row r="155">
      <c r="A155" s="141" t="s">
        <v>3570</v>
      </c>
      <c r="C155" s="118" t="s">
        <v>3571</v>
      </c>
      <c r="D155" s="118" t="s">
        <v>3572</v>
      </c>
      <c r="E155" s="46" t="str">
        <f>IFERROR(__xludf.DUMMYFUNCTION("IFERROR(VLOOKUP(C155,IMPORTRANGE(""https://docs.google.com/spreadsheets/d/1SQRLoxD_LXfQNfB7NOxI5jlxbkDlcNPwla_2gSTySP8/edit#gid=274515254"",""Thermal!$C$2:$D$175""),2,0),0)"),"座標")</f>
        <v>座標</v>
      </c>
    </row>
    <row r="156">
      <c r="A156" s="141" t="s">
        <v>3573</v>
      </c>
      <c r="C156" s="118" t="s">
        <v>3574</v>
      </c>
      <c r="D156" s="118" t="s">
        <v>3575</v>
      </c>
      <c r="E156" s="46" t="str">
        <f>IFERROR(__xludf.DUMMYFUNCTION("IFERROR(VLOOKUP(C156,IMPORTRANGE(""https://docs.google.com/spreadsheets/d/1SQRLoxD_LXfQNfB7NOxI5jlxbkDlcNPwla_2gSTySP8/edit#gid=274515254"",""Thermal!$C$2:$D$175""),2,0),0)"),"利用不可")</f>
        <v>利用不可</v>
      </c>
    </row>
    <row r="157">
      <c r="A157" s="141" t="s">
        <v>3576</v>
      </c>
      <c r="C157" s="118" t="s">
        <v>892</v>
      </c>
      <c r="D157" s="118" t="s">
        <v>893</v>
      </c>
      <c r="E157" s="46" t="str">
        <f>IFERROR(__xludf.DUMMYFUNCTION("IFERROR(VLOOKUP(C157,IMPORTRANGE(""https://docs.google.com/spreadsheets/d/1SQRLoxD_LXfQNfB7NOxI5jlxbkDlcNPwla_2gSTySP8/edit#gid=274515254"",""Thermal!$C$2:$D$175""),2,0),0)"),"温度")</f>
        <v>温度</v>
      </c>
    </row>
    <row r="158">
      <c r="A158" s="121" t="str">
        <f>IFERROR(__xludf.DUMMYFUNCTION("JOIN(""-"",""app"",SPLIT(LOWER( C158),"" ""))"),"app-issue-timestamp")</f>
        <v>app-issue-timestamp</v>
      </c>
      <c r="B158" s="103" t="s">
        <v>3577</v>
      </c>
      <c r="C158" s="106" t="s">
        <v>3578</v>
      </c>
      <c r="D158" s="106" t="s">
        <v>94</v>
      </c>
      <c r="E158" s="46" t="str">
        <f>IFERROR(__xludf.DUMMYFUNCTION("IFERROR(VLOOKUP(C158,IMPORTRANGE(""https://docs.google.com/spreadsheets/d/1SQRLoxD_LXfQNfB7NOxI5jlxbkDlcNPwla_2gSTySP8/edit#gid=274515254"",""Thermal!$C$2:$D$175""),2,0),0)"),"不具合の日時刻印")</f>
        <v>不具合の日時刻印</v>
      </c>
    </row>
    <row r="159">
      <c r="A159" s="121" t="str">
        <f>IFERROR(__xludf.DUMMYFUNCTION("JOIN(""-"",""app"",SPLIT(LOWER( C159),"" ""))"),"app-status")</f>
        <v>app-status</v>
      </c>
      <c r="C159" s="106" t="s">
        <v>339</v>
      </c>
      <c r="D159" s="106" t="s">
        <v>340</v>
      </c>
      <c r="E159" s="46" t="str">
        <f>IFERROR(__xludf.DUMMYFUNCTION("IFERROR(VLOOKUP(C159,IMPORTRANGE(""https://docs.google.com/spreadsheets/d/1SQRLoxD_LXfQNfB7NOxI5jlxbkDlcNPwla_2gSTySP8/edit#gid=274515254"",""Thermal!$C$2:$D$175""),2,0),0)"),"ステータス")</f>
        <v>ステータス</v>
      </c>
    </row>
    <row r="160">
      <c r="A160" s="121" t="str">
        <f>IFERROR(__xludf.DUMMYFUNCTION("JOIN(""-"",""app"",SPLIT(LOWER( C160),"" ""))"),"app-not-available")</f>
        <v>app-not-available</v>
      </c>
      <c r="B160" s="103" t="s">
        <v>3579</v>
      </c>
      <c r="C160" s="106" t="s">
        <v>3580</v>
      </c>
      <c r="D160" s="106" t="s">
        <v>3575</v>
      </c>
      <c r="E160" s="46" t="str">
        <f>IFERROR(__xludf.DUMMYFUNCTION("IFERROR(VLOOKUP(C160,IMPORTRANGE(""https://docs.google.com/spreadsheets/d/1SQRLoxD_LXfQNfB7NOxI5jlxbkDlcNPwla_2gSTySP8/edit#gid=274515254"",""Thermal!$C$2:$D$175""),2,0),0)"),"利用不可")</f>
        <v>利用不可</v>
      </c>
    </row>
    <row r="161">
      <c r="A161" s="141" t="s">
        <v>3581</v>
      </c>
      <c r="B161" s="8" t="s">
        <v>3582</v>
      </c>
      <c r="C161" s="118" t="s">
        <v>3583</v>
      </c>
      <c r="D161" s="118" t="s">
        <v>399</v>
      </c>
      <c r="E161" s="46" t="str">
        <f>IFERROR(__xludf.DUMMYFUNCTION("IFERROR(VLOOKUP(C161,IMPORTRANGE(""https://docs.google.com/spreadsheets/d/1SQRLoxD_LXfQNfB7NOxI5jlxbkDlcNPwla_2gSTySP8/edit#gid=274515254"",""Thermal!$C$2:$D$175""),2,0),0)"),"チケットの作成")</f>
        <v>チケットの作成</v>
      </c>
    </row>
    <row r="162">
      <c r="A162" s="141" t="s">
        <v>3584</v>
      </c>
      <c r="B162" s="8" t="s">
        <v>3585</v>
      </c>
      <c r="C162" s="118" t="s">
        <v>3586</v>
      </c>
      <c r="D162" s="26" t="s">
        <v>3587</v>
      </c>
      <c r="E162" s="46" t="str">
        <f>IFERROR(__xludf.DUMMYFUNCTION("IFERROR(VLOOKUP(C162,IMPORTRANGE(""https://docs.google.com/spreadsheets/d/1SQRLoxD_LXfQNfB7NOxI5jlxbkDlcNPwla_2gSTySP8/edit#gid=274515254"",""Thermal!$C$2:$D$175""),2,0),0)"),"生画像")</f>
        <v>生画像</v>
      </c>
    </row>
    <row r="163" ht="27.0" customHeight="1">
      <c r="A163" s="141" t="s">
        <v>3588</v>
      </c>
      <c r="C163" s="118" t="s">
        <v>3589</v>
      </c>
      <c r="D163" s="26" t="s">
        <v>3590</v>
      </c>
      <c r="E163" s="46" t="str">
        <f>IFERROR(__xludf.DUMMYFUNCTION("IFERROR(VLOOKUP(C163,IMPORTRANGE(""https://docs.google.com/spreadsheets/d/1SQRLoxD_LXfQNfB7NOxI5jlxbkDlcNPwla_2gSTySP8/edit#gid=274515254"",""Thermal!$C$2:$D$175""),2,0),0)"),"生画像提供なし")</f>
        <v>生画像提供なし</v>
      </c>
    </row>
    <row r="164">
      <c r="A164" s="121" t="str">
        <f>IFERROR(__xludf.DUMMYFUNCTION("JOIN(""-"",""app"",SPLIT(LOWER( C164),"" ""))"),"app-files")</f>
        <v>app-files</v>
      </c>
      <c r="B164" s="103" t="s">
        <v>3591</v>
      </c>
      <c r="C164" s="106" t="s">
        <v>3215</v>
      </c>
      <c r="D164" s="106" t="s">
        <v>3216</v>
      </c>
      <c r="E164" s="93" t="s">
        <v>3217</v>
      </c>
    </row>
    <row r="165">
      <c r="A165" s="121" t="str">
        <f>IFERROR(__xludf.DUMMYFUNCTION("JOIN(""-"",""app"",SPLIT(LOWER( C165),"" ""))"),"app-folders")</f>
        <v>app-folders</v>
      </c>
      <c r="C165" s="106" t="s">
        <v>3218</v>
      </c>
      <c r="D165" s="106" t="s">
        <v>3219</v>
      </c>
      <c r="E165" s="93" t="s">
        <v>3220</v>
      </c>
    </row>
    <row r="166">
      <c r="A166" s="121" t="str">
        <f>IFERROR(__xludf.DUMMYFUNCTION("JOIN(""-"",""app"",SPLIT(LOWER( C166),"" ""))"),"app-none")</f>
        <v>app-none</v>
      </c>
      <c r="C166" s="106" t="s">
        <v>439</v>
      </c>
      <c r="D166" s="127" t="s">
        <v>440</v>
      </c>
      <c r="E166" s="93" t="s">
        <v>2828</v>
      </c>
    </row>
    <row r="167">
      <c r="A167" s="121" t="str">
        <f>IFERROR(__xludf.DUMMYFUNCTION("JOIN(""-"",""app"",SPLIT(LOWER( C167),"" ""))"),"app-none")</f>
        <v>app-none</v>
      </c>
      <c r="B167" s="128" t="s">
        <v>3592</v>
      </c>
      <c r="C167" s="106" t="s">
        <v>439</v>
      </c>
      <c r="D167" s="127" t="s">
        <v>440</v>
      </c>
      <c r="E167" s="93" t="s">
        <v>2828</v>
      </c>
    </row>
    <row r="168">
      <c r="A168" s="121" t="str">
        <f>IFERROR(__xludf.DUMMYFUNCTION("JOIN(""-"",""app"",SPLIT(LOWER( C168),"" ""))"),"app-rename")</f>
        <v>app-rename</v>
      </c>
      <c r="B168" s="128" t="s">
        <v>3593</v>
      </c>
      <c r="C168" s="106" t="s">
        <v>1721</v>
      </c>
      <c r="D168" s="106" t="s">
        <v>1722</v>
      </c>
      <c r="E168" s="93" t="s">
        <v>3594</v>
      </c>
    </row>
    <row r="169">
      <c r="A169" s="121" t="str">
        <f>IFERROR(__xludf.DUMMYFUNCTION("JOIN(""-"",""app"",SPLIT(LOWER( C169),"" ""))"),"app-share")</f>
        <v>app-share</v>
      </c>
      <c r="B169" s="128" t="s">
        <v>3595</v>
      </c>
      <c r="C169" s="106" t="s">
        <v>501</v>
      </c>
      <c r="D169" s="106" t="s">
        <v>502</v>
      </c>
      <c r="E169" s="93" t="s">
        <v>3596</v>
      </c>
    </row>
    <row r="170">
      <c r="A170" s="121" t="str">
        <f>IFERROR(__xludf.DUMMYFUNCTION("JOIN(""-"",""app"",SPLIT(LOWER( C170),"" ""))"),"app-view-activity")</f>
        <v>app-view-activity</v>
      </c>
      <c r="B170" s="128" t="s">
        <v>3597</v>
      </c>
      <c r="C170" s="106" t="s">
        <v>3598</v>
      </c>
      <c r="D170" s="106" t="s">
        <v>3599</v>
      </c>
      <c r="E170" s="93" t="s">
        <v>3600</v>
      </c>
    </row>
    <row r="171">
      <c r="A171" s="121" t="str">
        <f>IFERROR(__xludf.DUMMYFUNCTION("JOIN(""-"",""app"",SPLIT(LOWER( C171),"" ""))"),"app-drag-and-drop-files-here-to-upload.-you-can-add-users,-teams,-tags-and-multiple-versions-to-a-file.
you-can-share-a-file-with-other-members-without-adding-them-to-the-file.")</f>
        <v>app-drag-and-drop-files-here-to-upload.-you-can-add-users,-teams,-tags-and-multiple-versions-to-a-file.
you-can-share-a-file-with-other-members-without-adding-them-to-the-file.</v>
      </c>
      <c r="B171" s="128" t="s">
        <v>3601</v>
      </c>
      <c r="C171" s="106" t="s">
        <v>3602</v>
      </c>
      <c r="D171" s="106" t="s">
        <v>3603</v>
      </c>
      <c r="E171" s="93" t="s">
        <v>3604</v>
      </c>
    </row>
    <row r="172">
      <c r="A172" s="121" t="str">
        <f>IFERROR(__xludf.DUMMYFUNCTION("JOIN(""-"",""app"",SPLIT(LOWER( C172),"" ""))"),"app-you-added-1-user")</f>
        <v>app-you-added-1-user</v>
      </c>
      <c r="B172" s="103" t="s">
        <v>3605</v>
      </c>
      <c r="C172" s="106" t="s">
        <v>3606</v>
      </c>
      <c r="D172" s="106" t="s">
        <v>3607</v>
      </c>
      <c r="E172" s="93" t="s">
        <v>3608</v>
      </c>
    </row>
    <row r="173">
      <c r="A173" s="121" t="str">
        <f>IFERROR(__xludf.DUMMYFUNCTION("JOIN(""-"",""app"",SPLIT(LOWER( C173),"" ""))"),"app-you-created-a-new-file")</f>
        <v>app-you-created-a-new-file</v>
      </c>
      <c r="C173" s="106" t="s">
        <v>3609</v>
      </c>
      <c r="D173" s="106" t="s">
        <v>3610</v>
      </c>
      <c r="E173" s="93" t="s">
        <v>3611</v>
      </c>
    </row>
    <row r="174">
      <c r="A174" s="121" t="str">
        <f>IFERROR(__xludf.DUMMYFUNCTION("JOIN(""-"",""app"",SPLIT(LOWER( C174),"" ""))"),"app-you-created-a-new-folder")</f>
        <v>app-you-created-a-new-folder</v>
      </c>
      <c r="C174" s="106" t="s">
        <v>3612</v>
      </c>
      <c r="D174" s="106" t="s">
        <v>3613</v>
      </c>
      <c r="E174" s="93" t="s">
        <v>3614</v>
      </c>
    </row>
    <row r="175">
      <c r="A175" s="121" t="str">
        <f>IFERROR(__xludf.DUMMYFUNCTION("JOIN(""-"",""app"",SPLIT(LOWER( C175),"" ""))"),"app-info")</f>
        <v>app-info</v>
      </c>
      <c r="B175" s="128" t="s">
        <v>3615</v>
      </c>
      <c r="C175" s="106" t="s">
        <v>3616</v>
      </c>
      <c r="D175" s="106" t="s">
        <v>3617</v>
      </c>
      <c r="E175" s="93" t="s">
        <v>3618</v>
      </c>
    </row>
    <row r="176">
      <c r="A176" s="121" t="str">
        <f>IFERROR(__xludf.DUMMYFUNCTION("JOIN(""-"",""app"",SPLIT(LOWER( C176),"" ""))"),"app-files")</f>
        <v>app-files</v>
      </c>
      <c r="B176" s="103" t="s">
        <v>3619</v>
      </c>
      <c r="C176" s="106" t="s">
        <v>3620</v>
      </c>
      <c r="D176" s="106" t="s">
        <v>3621</v>
      </c>
      <c r="E176" s="93" t="s">
        <v>3217</v>
      </c>
    </row>
    <row r="177">
      <c r="A177" s="121" t="str">
        <f>IFERROR(__xludf.DUMMYFUNCTION("JOIN(""-"",""app"",SPLIT(LOWER( C177),"" ""))"),"app-created")</f>
        <v>app-created</v>
      </c>
      <c r="C177" s="106" t="s">
        <v>3622</v>
      </c>
      <c r="D177" s="106" t="s">
        <v>3623</v>
      </c>
      <c r="E177" s="93" t="s">
        <v>3624</v>
      </c>
    </row>
    <row r="178">
      <c r="A178" s="121" t="str">
        <f>IFERROR(__xludf.DUMMYFUNCTION("JOIN(""-"",""app"",SPLIT(LOWER( C178),"" ""))"),"app-modified")</f>
        <v>app-modified</v>
      </c>
      <c r="C178" s="106" t="s">
        <v>3625</v>
      </c>
      <c r="D178" s="106" t="s">
        <v>3626</v>
      </c>
      <c r="E178" s="93" t="s">
        <v>3627</v>
      </c>
    </row>
    <row r="179">
      <c r="A179" s="121" t="str">
        <f>IFERROR(__xludf.DUMMYFUNCTION("JOIN(""-"",""app"",SPLIT(LOWER( C179),"" ""))"),"app-location")</f>
        <v>app-location</v>
      </c>
      <c r="C179" s="106" t="s">
        <v>3059</v>
      </c>
      <c r="D179" s="106" t="s">
        <v>3060</v>
      </c>
      <c r="E179" s="116" t="str">
        <f>IFERROR(__xludf.DUMMYFUNCTION("IFERROR(VLOOKUP(C179,IMPORTRANGE(""https://docs.google.com/spreadsheets/d/1SQRLoxD_LXfQNfB7NOxI5jlxbkDlcNPwla_2gSTySP8/edit#gid=274515254"",""Thermal!$C$2:$D$175""),2,0),0)"),"場所")</f>
        <v>場所</v>
      </c>
    </row>
    <row r="180">
      <c r="A180" s="121" t="str">
        <f>IFERROR(__xludf.DUMMYFUNCTION("JOIN(""-"",""app"",SPLIT(LOWER( C180),"" ""))"),"app-download-all")</f>
        <v>app-download-all</v>
      </c>
      <c r="C180" s="106" t="s">
        <v>3628</v>
      </c>
      <c r="D180" s="106" t="s">
        <v>3629</v>
      </c>
      <c r="E180" s="93" t="s">
        <v>3630</v>
      </c>
    </row>
    <row r="181">
      <c r="A181" s="121" t="str">
        <f>IFERROR(__xludf.DUMMYFUNCTION("JOIN(""-"",""app"",SPLIT(LOWER( C181),"" ""))"),"app-download")</f>
        <v>app-download</v>
      </c>
      <c r="B181" s="128" t="s">
        <v>3631</v>
      </c>
      <c r="C181" s="106" t="s">
        <v>3505</v>
      </c>
      <c r="D181" s="106" t="s">
        <v>3506</v>
      </c>
      <c r="E181" s="116" t="str">
        <f>IFERROR(__xludf.DUMMYFUNCTION("IFERROR(VLOOKUP(C181,IMPORTRANGE(""https://docs.google.com/spreadsheets/d/1SQRLoxD_LXfQNfB7NOxI5jlxbkDlcNPwla_2gSTySP8/edit#gid=274515254"",""Thermal!$C$2:$D$175""),2,0),0)"),"ダウンロード")</f>
        <v>ダウンロード</v>
      </c>
    </row>
    <row r="182">
      <c r="A182" s="121" t="str">
        <f>IFERROR(__xludf.DUMMYFUNCTION("JOIN(""-"",""app"",SPLIT(LOWER( C182),"" ""))"),"app-move-to")</f>
        <v>app-move-to</v>
      </c>
      <c r="B182" s="128" t="s">
        <v>3632</v>
      </c>
      <c r="C182" s="106" t="s">
        <v>3633</v>
      </c>
      <c r="D182" s="106" t="s">
        <v>3634</v>
      </c>
      <c r="E182" s="93" t="s">
        <v>3635</v>
      </c>
    </row>
    <row r="183">
      <c r="A183" s="121" t="str">
        <f>IFERROR(__xludf.DUMMYFUNCTION("JOIN(""-"",""app"",SPLIT(LOWER( C183),"" ""))"),"app-create-ticket")</f>
        <v>app-create-ticket</v>
      </c>
      <c r="B183" s="128" t="s">
        <v>3636</v>
      </c>
      <c r="C183" s="106" t="s">
        <v>3583</v>
      </c>
      <c r="D183" s="106" t="s">
        <v>399</v>
      </c>
      <c r="E183" s="46" t="str">
        <f>IFERROR(__xludf.DUMMYFUNCTION("IFERROR(VLOOKUP(C183,IMPORTRANGE(""https://docs.google.com/spreadsheets/d/1SQRLoxD_LXfQNfB7NOxI5jlxbkDlcNPwla_2gSTySP8/edit#gid=274515254"",""Thermal!$C$2:$D$175""),2,0),0)"),"チケットの作成")</f>
        <v>チケットの作成</v>
      </c>
    </row>
    <row r="184">
      <c r="A184" s="121" t="str">
        <f>IFERROR(__xludf.DUMMYFUNCTION("JOIN(""-"",""app"",SPLIT(LOWER( C184),"" ""))"),"app-rename")</f>
        <v>app-rename</v>
      </c>
      <c r="B184" s="128" t="s">
        <v>3637</v>
      </c>
      <c r="C184" s="106" t="s">
        <v>1721</v>
      </c>
      <c r="D184" s="106" t="s">
        <v>1722</v>
      </c>
      <c r="E184" s="93" t="s">
        <v>3594</v>
      </c>
    </row>
    <row r="185">
      <c r="A185" s="121" t="str">
        <f>IFERROR(__xludf.DUMMYFUNCTION("JOIN(""-"",""app"",SPLIT(LOWER( C185),"" ""))"),"app-share")</f>
        <v>app-share</v>
      </c>
      <c r="B185" s="128" t="s">
        <v>3638</v>
      </c>
      <c r="C185" s="106" t="s">
        <v>501</v>
      </c>
      <c r="D185" s="106" t="s">
        <v>502</v>
      </c>
      <c r="E185" s="93" t="s">
        <v>3596</v>
      </c>
    </row>
    <row r="186">
      <c r="A186" s="121" t="str">
        <f>IFERROR(__xludf.DUMMYFUNCTION("JOIN(""-"",""app"",SPLIT(LOWER( C186),"" ""))"),"app-info")</f>
        <v>app-info</v>
      </c>
      <c r="B186" s="128" t="s">
        <v>3639</v>
      </c>
      <c r="C186" s="106" t="s">
        <v>3616</v>
      </c>
      <c r="D186" s="106" t="s">
        <v>3617</v>
      </c>
      <c r="E186" s="93" t="s">
        <v>3618</v>
      </c>
    </row>
    <row r="187">
      <c r="A187" s="121" t="str">
        <f>IFERROR(__xludf.DUMMYFUNCTION("JOIN(""-"",""app"",SPLIT(LOWER( C187),"" ""))"),"app-created")</f>
        <v>app-created</v>
      </c>
      <c r="B187" s="103" t="s">
        <v>3640</v>
      </c>
      <c r="C187" s="106" t="s">
        <v>3622</v>
      </c>
      <c r="D187" s="106" t="s">
        <v>3623</v>
      </c>
      <c r="E187" s="93" t="s">
        <v>3624</v>
      </c>
    </row>
    <row r="188">
      <c r="A188" s="121" t="str">
        <f>IFERROR(__xludf.DUMMYFUNCTION("JOIN(""-"",""app"",SPLIT(LOWER( C188),"" ""))"),"app-modified")</f>
        <v>app-modified</v>
      </c>
      <c r="C188" s="106" t="s">
        <v>3625</v>
      </c>
      <c r="D188" s="106" t="s">
        <v>3626</v>
      </c>
      <c r="E188" s="93" t="s">
        <v>3627</v>
      </c>
    </row>
    <row r="189">
      <c r="A189" s="121" t="str">
        <f>IFERROR(__xludf.DUMMYFUNCTION("JOIN(""-"",""app"",SPLIT(LOWER( C189),"" ""))"),"app-location")</f>
        <v>app-location</v>
      </c>
      <c r="C189" s="106" t="s">
        <v>3059</v>
      </c>
      <c r="D189" s="106" t="s">
        <v>3060</v>
      </c>
      <c r="E189" s="46" t="str">
        <f>IFERROR(__xludf.DUMMYFUNCTION("IFERROR(VLOOKUP(C189,IMPORTRANGE(""https://docs.google.com/spreadsheets/d/1SQRLoxD_LXfQNfB7NOxI5jlxbkDlcNPwla_2gSTySP8/edit#gid=274515254"",""Thermal!$C$2:$D$175""),2,0),0)"),"場所")</f>
        <v>場所</v>
      </c>
    </row>
    <row r="190">
      <c r="A190" s="121" t="str">
        <f>IFERROR(__xludf.DUMMYFUNCTION("JOIN(""-"",""app"",SPLIT(LOWER( C190),"" ""))"),"app-download")</f>
        <v>app-download</v>
      </c>
      <c r="C190" s="106" t="s">
        <v>3505</v>
      </c>
      <c r="D190" s="106" t="s">
        <v>3506</v>
      </c>
      <c r="E190" s="46" t="str">
        <f>IFERROR(__xludf.DUMMYFUNCTION("IFERROR(VLOOKUP(C190,IMPORTRANGE(""https://docs.google.com/spreadsheets/d/1SQRLoxD_LXfQNfB7NOxI5jlxbkDlcNPwla_2gSTySP8/edit#gid=274515254"",""Thermal!$C$2:$D$175""),2,0),0)"),"ダウンロード")</f>
        <v>ダウンロード</v>
      </c>
    </row>
    <row r="191">
      <c r="A191" s="121" t="str">
        <f>IFERROR(__xludf.DUMMYFUNCTION("JOIN(""-"",""app"",SPLIT(LOWER( C191),"" ""))"),"app-share")</f>
        <v>app-share</v>
      </c>
      <c r="C191" s="106" t="s">
        <v>501</v>
      </c>
      <c r="D191" s="106" t="s">
        <v>502</v>
      </c>
      <c r="E191" s="93" t="s">
        <v>3596</v>
      </c>
    </row>
    <row r="192">
      <c r="A192" s="121" t="str">
        <f>IFERROR(__xludf.DUMMYFUNCTION("JOIN(""-"",""app"",SPLIT(LOWER( C192),"" ""))"),"app-view-activity")</f>
        <v>app-view-activity</v>
      </c>
      <c r="B192" s="128" t="s">
        <v>3641</v>
      </c>
      <c r="C192" s="106" t="s">
        <v>3598</v>
      </c>
      <c r="D192" s="106" t="s">
        <v>3599</v>
      </c>
      <c r="E192" s="93" t="s">
        <v>3600</v>
      </c>
    </row>
    <row r="193">
      <c r="A193" s="68" t="str">
        <f>IFERROR(__xludf.DUMMYFUNCTION("JOIN(""-"",""app"",SPLIT(LOWER( C193),"" ""))"),"app-you-viewed-the-file")</f>
        <v>app-you-viewed-the-file</v>
      </c>
      <c r="B193" s="103" t="s">
        <v>3642</v>
      </c>
      <c r="C193" s="146" t="s">
        <v>3643</v>
      </c>
      <c r="D193" s="146" t="s">
        <v>3644</v>
      </c>
      <c r="E193" s="93" t="s">
        <v>3645</v>
      </c>
    </row>
    <row r="194">
      <c r="A194" s="121" t="str">
        <f>IFERROR(__xludf.DUMMYFUNCTION("JOIN(""-"",""app"",SPLIT(LOWER( C194),"" ""))"),"app-you-created-a-new-file")</f>
        <v>app-you-created-a-new-file</v>
      </c>
      <c r="C194" s="106" t="s">
        <v>3609</v>
      </c>
      <c r="D194" s="106" t="s">
        <v>3610</v>
      </c>
      <c r="E194" s="93" t="s">
        <v>3646</v>
      </c>
    </row>
    <row r="195">
      <c r="A195" s="121" t="str">
        <f>IFERROR(__xludf.DUMMYFUNCTION("JOIN(""-"",""app"",SPLIT(LOWER( C195),"" ""))"),"app-you-downloaded-the-file")</f>
        <v>app-you-downloaded-the-file</v>
      </c>
      <c r="C195" s="146" t="s">
        <v>3647</v>
      </c>
      <c r="D195" s="146" t="s">
        <v>3648</v>
      </c>
      <c r="E195" s="93" t="s">
        <v>3649</v>
      </c>
    </row>
    <row r="196">
      <c r="A196" s="121" t="str">
        <f>IFERROR(__xludf.DUMMYFUNCTION("JOIN(""-"",""app"",SPLIT(LOWER( C196),"" ""))"),"app-you-added-1-user")</f>
        <v>app-you-added-1-user</v>
      </c>
      <c r="C196" s="106" t="s">
        <v>3606</v>
      </c>
      <c r="D196" s="106" t="s">
        <v>3607</v>
      </c>
      <c r="E196" s="93" t="s">
        <v>3650</v>
      </c>
    </row>
    <row r="197">
      <c r="A197" s="121" t="str">
        <f>IFERROR(__xludf.DUMMYFUNCTION("JOIN(""-"",""app"",SPLIT(LOWER( C197),"" ""))"),"app-upload-new-version")</f>
        <v>app-upload-new-version</v>
      </c>
      <c r="B197" s="103" t="s">
        <v>3651</v>
      </c>
      <c r="C197" s="106" t="s">
        <v>3652</v>
      </c>
      <c r="D197" s="106" t="s">
        <v>3653</v>
      </c>
      <c r="E197" s="93" t="s">
        <v>3654</v>
      </c>
    </row>
    <row r="198">
      <c r="A198" s="121" t="str">
        <f>IFERROR(__xludf.DUMMYFUNCTION("JOIN(""-"",""app"",SPLIT(LOWER( C198),"" ""))"),"app-version-name")</f>
        <v>app-version-name</v>
      </c>
      <c r="C198" s="146" t="s">
        <v>3655</v>
      </c>
      <c r="D198" s="146" t="s">
        <v>3656</v>
      </c>
      <c r="E198" s="93" t="s">
        <v>3657</v>
      </c>
    </row>
    <row r="199">
      <c r="A199" s="121" t="str">
        <f>IFERROR(__xludf.DUMMYFUNCTION("JOIN(""-"",""app"",SPLIT(LOWER( C199),"" ""))"),"app-show-versions")</f>
        <v>app-show-versions</v>
      </c>
      <c r="B199" s="128" t="s">
        <v>3658</v>
      </c>
      <c r="C199" s="106" t="s">
        <v>3659</v>
      </c>
      <c r="D199" s="106" t="s">
        <v>3660</v>
      </c>
      <c r="E199" s="93" t="s">
        <v>3661</v>
      </c>
    </row>
    <row r="200">
      <c r="A200" s="121" t="str">
        <f>IFERROR(__xludf.DUMMYFUNCTION("JOIN(""-"",""app"",SPLIT(LOWER( C200),"" ""))"),"app-versions")</f>
        <v>app-versions</v>
      </c>
      <c r="B200" s="103" t="s">
        <v>3662</v>
      </c>
      <c r="C200" s="106" t="s">
        <v>3663</v>
      </c>
      <c r="D200" s="106" t="s">
        <v>3664</v>
      </c>
      <c r="E200" s="93" t="s">
        <v>3665</v>
      </c>
    </row>
    <row r="201">
      <c r="A201" s="121" t="str">
        <f>IFERROR(__xludf.DUMMYFUNCTION("JOIN(""-"",""app"",SPLIT(LOWER( C201),"" ""))"),"app-upload-new-version")</f>
        <v>app-upload-new-version</v>
      </c>
      <c r="C201" s="106" t="s">
        <v>3652</v>
      </c>
      <c r="D201" s="106" t="s">
        <v>3653</v>
      </c>
      <c r="E201" s="93" t="s">
        <v>3654</v>
      </c>
    </row>
    <row r="202">
      <c r="A202" s="121" t="str">
        <f>IFERROR(__xludf.DUMMYFUNCTION("JOIN(""-"",""app"",SPLIT(LOWER( C202),"" ""))"),"app-download")</f>
        <v>app-download</v>
      </c>
      <c r="B202" s="103" t="s">
        <v>3666</v>
      </c>
      <c r="C202" s="106" t="s">
        <v>3505</v>
      </c>
      <c r="D202" s="106" t="s">
        <v>3506</v>
      </c>
      <c r="E202" s="46" t="str">
        <f>IFERROR(__xludf.DUMMYFUNCTION("IFERROR(VLOOKUP(C202,IMPORTRANGE(""https://docs.google.com/spreadsheets/d/1SQRLoxD_LXfQNfB7NOxI5jlxbkDlcNPwla_2gSTySP8/edit#gid=274515254"",""Thermal!$C$2:$D$175""),2,0),0)"),"ダウンロード")</f>
        <v>ダウンロード</v>
      </c>
    </row>
    <row r="203">
      <c r="A203" s="121" t="str">
        <f>IFERROR(__xludf.DUMMYFUNCTION("JOIN(""-"",""app"",SPLIT(LOWER( C203),"" ""))"),"app-move-to")</f>
        <v>app-move-to</v>
      </c>
      <c r="C203" s="106" t="s">
        <v>3633</v>
      </c>
      <c r="D203" s="106" t="s">
        <v>3634</v>
      </c>
      <c r="E203" s="93" t="s">
        <v>3635</v>
      </c>
    </row>
    <row r="204">
      <c r="A204" s="121" t="str">
        <f>IFERROR(__xludf.DUMMYFUNCTION("JOIN(""-"",""app"",SPLIT(LOWER( C204),"" ""))"),"app-create-ticket")</f>
        <v>app-create-ticket</v>
      </c>
      <c r="C204" s="106" t="s">
        <v>3583</v>
      </c>
      <c r="D204" s="106" t="s">
        <v>399</v>
      </c>
      <c r="E204" s="46" t="str">
        <f>IFERROR(__xludf.DUMMYFUNCTION("IFERROR(VLOOKUP(C204,IMPORTRANGE(""https://docs.google.com/spreadsheets/d/1SQRLoxD_LXfQNfB7NOxI5jlxbkDlcNPwla_2gSTySP8/edit#gid=274515254"",""Thermal!$C$2:$D$175""),2,0),0)"),"チケットの作成")</f>
        <v>チケットの作成</v>
      </c>
    </row>
    <row r="205">
      <c r="A205" s="121" t="s">
        <v>2814</v>
      </c>
      <c r="B205" s="128" t="s">
        <v>3667</v>
      </c>
      <c r="C205" s="106" t="s">
        <v>2816</v>
      </c>
      <c r="D205" s="106" t="s">
        <v>2817</v>
      </c>
      <c r="E205" s="93" t="s">
        <v>3668</v>
      </c>
    </row>
    <row r="206">
      <c r="A206" s="121" t="str">
        <f>IFERROR(__xludf.DUMMYFUNCTION("JOIN(""-"",""app"",SPLIT(LOWER( C206),"" ""))"),"app-compare-map")</f>
        <v>app-compare-map</v>
      </c>
      <c r="B206" s="128" t="s">
        <v>3669</v>
      </c>
      <c r="C206" s="106" t="s">
        <v>2803</v>
      </c>
      <c r="D206" s="106" t="s">
        <v>2804</v>
      </c>
      <c r="E206" s="93" t="s">
        <v>3670</v>
      </c>
    </row>
    <row r="207">
      <c r="A207" s="121" t="str">
        <f>IFERROR(__xludf.DUMMYFUNCTION("JOIN(""-"",""app"",SPLIT(LOWER( C207),"" ""))"),"app-select-project")</f>
        <v>app-select-project</v>
      </c>
      <c r="B207" s="128" t="s">
        <v>3671</v>
      </c>
      <c r="C207" s="106" t="s">
        <v>2575</v>
      </c>
      <c r="D207" s="106" t="s">
        <v>2576</v>
      </c>
      <c r="E207" s="93" t="s">
        <v>3672</v>
      </c>
    </row>
    <row r="208">
      <c r="A208" s="147" t="str">
        <f>IFERROR(__xludf.DUMMYFUNCTION("JOIN(""-"",""app"",SPLIT(LOWER( C208),"" ""))"),"app-comment")</f>
        <v>app-comment</v>
      </c>
      <c r="B208" s="106"/>
      <c r="C208" s="148" t="s">
        <v>3673</v>
      </c>
      <c r="D208" s="148" t="s">
        <v>3674</v>
      </c>
      <c r="E208" s="46" t="str">
        <f>IFERROR(__xludf.DUMMYFUNCTION("IFERROR(VLOOKUP(C208,IMPORTRANGE(""https://docs.google.com/spreadsheets/d/1SQRLoxD_LXfQNfB7NOxI5jlxbkDlcNPwla_2gSTySP8/edit#gid=274515254"",""Thermal!$C$2:$D$175""),2,0),0)"),"コメント")</f>
        <v>コメント</v>
      </c>
    </row>
    <row r="209">
      <c r="A209" s="147" t="str">
        <f>IFERROR(__xludf.DUMMYFUNCTION("JOIN(""-"",""app"",SPLIT(LOWER( C209),"" ""))"),"app-view-ticket")</f>
        <v>app-view-ticket</v>
      </c>
      <c r="B209" s="106"/>
      <c r="C209" s="148" t="s">
        <v>3675</v>
      </c>
      <c r="D209" s="148" t="s">
        <v>3676</v>
      </c>
      <c r="E209" s="46" t="str">
        <f>IFERROR(__xludf.DUMMYFUNCTION("IFERROR(VLOOKUP(C209,IMPORTRANGE(""https://docs.google.com/spreadsheets/d/1SQRLoxD_LXfQNfB7NOxI5jlxbkDlcNPwla_2gSTySP8/edit#gid=274515254"",""Thermal!$C$2:$D$175""),2,0),0)"),"チケットを表示")</f>
        <v>チケットを表示</v>
      </c>
    </row>
    <row r="210">
      <c r="A210" s="147" t="str">
        <f>IFERROR(__xludf.DUMMYFUNCTION("JOIN(""-"",""app"",SPLIT(LOWER( C210),"" ""))"),"app-defect-type")</f>
        <v>app-defect-type</v>
      </c>
      <c r="B210" s="106"/>
      <c r="C210" s="148" t="s">
        <v>333</v>
      </c>
      <c r="D210" s="148" t="s">
        <v>3677</v>
      </c>
      <c r="E210" s="46" t="str">
        <f>IFERROR(__xludf.DUMMYFUNCTION("IFERROR(VLOOKUP(C210,IMPORTRANGE(""https://docs.google.com/spreadsheets/d/1SQRLoxD_LXfQNfB7NOxI5jlxbkDlcNPwla_2gSTySP8/edit#gid=274515254"",""Thermal!$C$2:$D$175""),2,0),0)"),"欠陥のタイプ")</f>
        <v>欠陥のタイプ</v>
      </c>
    </row>
    <row r="211">
      <c r="A211" s="129" t="s">
        <v>3678</v>
      </c>
      <c r="B211" s="106"/>
      <c r="C211" s="149" t="s">
        <v>3679</v>
      </c>
      <c r="D211" s="148" t="s">
        <v>3680</v>
      </c>
      <c r="E211" s="93" t="s">
        <v>3681</v>
      </c>
    </row>
    <row r="212">
      <c r="A212" s="129" t="s">
        <v>3682</v>
      </c>
      <c r="B212" s="106"/>
      <c r="C212" s="150" t="s">
        <v>3683</v>
      </c>
      <c r="D212" s="148" t="s">
        <v>3684</v>
      </c>
      <c r="E212" s="93" t="s">
        <v>3685</v>
      </c>
    </row>
    <row r="213">
      <c r="A213" s="74"/>
      <c r="B213" s="7"/>
      <c r="C213" s="74"/>
      <c r="D213" s="74"/>
    </row>
    <row r="214">
      <c r="B214" s="7"/>
      <c r="C214" s="74"/>
      <c r="D214" s="74"/>
    </row>
    <row r="215">
      <c r="B215" s="7"/>
      <c r="C215" s="74"/>
      <c r="D215" s="74"/>
    </row>
    <row r="216">
      <c r="B216" s="7"/>
      <c r="C216" s="74"/>
      <c r="D216" s="74"/>
    </row>
    <row r="217">
      <c r="B217" s="7"/>
      <c r="C217" s="74"/>
      <c r="D217" s="74"/>
    </row>
    <row r="218">
      <c r="B218" s="7"/>
      <c r="C218" s="74"/>
      <c r="D218" s="74"/>
    </row>
    <row r="219">
      <c r="B219" s="7"/>
      <c r="C219" s="74"/>
      <c r="D219" s="74"/>
    </row>
    <row r="220">
      <c r="B220" s="7"/>
      <c r="C220" s="74"/>
      <c r="D220" s="74"/>
    </row>
    <row r="221">
      <c r="B221" s="7"/>
      <c r="C221" s="74"/>
      <c r="D221" s="74"/>
    </row>
    <row r="222">
      <c r="B222" s="7"/>
      <c r="C222" s="74"/>
      <c r="D222" s="74"/>
    </row>
    <row r="223">
      <c r="B223" s="7"/>
      <c r="C223" s="74"/>
      <c r="D223" s="74"/>
    </row>
    <row r="224">
      <c r="B224" s="7"/>
      <c r="C224" s="74"/>
      <c r="D224" s="74"/>
    </row>
    <row r="225">
      <c r="B225" s="7"/>
      <c r="C225" s="74"/>
      <c r="D225" s="74"/>
    </row>
    <row r="226">
      <c r="B226" s="7"/>
      <c r="C226" s="74"/>
      <c r="D226" s="74"/>
    </row>
    <row r="227">
      <c r="B227" s="7"/>
      <c r="C227" s="74"/>
      <c r="D227" s="74"/>
    </row>
    <row r="228">
      <c r="B228" s="7"/>
      <c r="C228" s="74"/>
      <c r="D228" s="74"/>
    </row>
    <row r="229">
      <c r="B229" s="7"/>
      <c r="C229" s="74"/>
      <c r="D229" s="74"/>
    </row>
    <row r="230">
      <c r="B230" s="7"/>
      <c r="C230" s="74"/>
      <c r="D230" s="74"/>
    </row>
    <row r="231">
      <c r="B231" s="7"/>
      <c r="C231" s="74"/>
      <c r="D231" s="74"/>
    </row>
    <row r="232">
      <c r="B232" s="7"/>
      <c r="C232" s="74"/>
      <c r="D232" s="74"/>
    </row>
    <row r="233">
      <c r="B233" s="7"/>
      <c r="C233" s="74"/>
      <c r="D233" s="74"/>
    </row>
    <row r="234">
      <c r="B234" s="7"/>
      <c r="C234" s="74"/>
      <c r="D234" s="74"/>
    </row>
    <row r="235">
      <c r="B235" s="7"/>
      <c r="C235" s="74"/>
      <c r="D235" s="74"/>
    </row>
    <row r="236">
      <c r="B236" s="7"/>
      <c r="C236" s="74"/>
      <c r="D236" s="74"/>
    </row>
    <row r="237">
      <c r="B237" s="7"/>
      <c r="C237" s="74"/>
      <c r="D237" s="74"/>
    </row>
    <row r="238">
      <c r="B238" s="7"/>
      <c r="C238" s="74"/>
      <c r="D238" s="74"/>
    </row>
    <row r="239">
      <c r="B239" s="7"/>
      <c r="C239" s="74"/>
      <c r="D239" s="74"/>
    </row>
    <row r="240">
      <c r="B240" s="7"/>
      <c r="C240" s="74"/>
      <c r="D240" s="74"/>
    </row>
    <row r="241">
      <c r="B241" s="7"/>
      <c r="C241" s="74"/>
      <c r="D241" s="74"/>
    </row>
    <row r="242">
      <c r="B242" s="7"/>
      <c r="C242" s="74"/>
      <c r="D242" s="74"/>
    </row>
    <row r="243">
      <c r="B243" s="7"/>
      <c r="C243" s="74"/>
      <c r="D243" s="74"/>
    </row>
    <row r="244">
      <c r="B244" s="7"/>
      <c r="C244" s="74"/>
      <c r="D244" s="74"/>
    </row>
    <row r="245">
      <c r="B245" s="7"/>
      <c r="C245" s="74"/>
      <c r="D245" s="74"/>
    </row>
    <row r="246">
      <c r="B246" s="7"/>
      <c r="C246" s="74"/>
      <c r="D246" s="74"/>
    </row>
    <row r="247">
      <c r="B247" s="7"/>
      <c r="C247" s="74"/>
      <c r="D247" s="74"/>
    </row>
    <row r="248">
      <c r="B248" s="7"/>
      <c r="C248" s="74"/>
      <c r="D248" s="74"/>
    </row>
    <row r="249">
      <c r="B249" s="7"/>
      <c r="C249" s="74"/>
      <c r="D249" s="74"/>
    </row>
    <row r="250">
      <c r="B250" s="7"/>
      <c r="C250" s="74"/>
      <c r="D250" s="74"/>
    </row>
    <row r="251">
      <c r="B251" s="7"/>
      <c r="C251" s="74"/>
      <c r="D251" s="74"/>
    </row>
    <row r="252">
      <c r="B252" s="7"/>
      <c r="C252" s="74"/>
      <c r="D252" s="74"/>
    </row>
    <row r="253">
      <c r="B253" s="7"/>
      <c r="C253" s="74"/>
      <c r="D253" s="74"/>
    </row>
    <row r="254">
      <c r="B254" s="7"/>
      <c r="C254" s="74"/>
      <c r="D254" s="74"/>
    </row>
    <row r="255">
      <c r="B255" s="7"/>
      <c r="C255" s="74"/>
      <c r="D255" s="74"/>
    </row>
    <row r="256">
      <c r="B256" s="7"/>
      <c r="C256" s="74"/>
      <c r="D256" s="74"/>
    </row>
    <row r="257">
      <c r="B257" s="7"/>
      <c r="C257" s="74"/>
      <c r="D257" s="74"/>
    </row>
    <row r="258">
      <c r="B258" s="7"/>
      <c r="C258" s="74"/>
      <c r="D258" s="74"/>
    </row>
    <row r="259">
      <c r="B259" s="7"/>
      <c r="C259" s="74"/>
      <c r="D259" s="74"/>
    </row>
    <row r="260">
      <c r="B260" s="7"/>
      <c r="C260" s="74"/>
      <c r="D260" s="74"/>
    </row>
    <row r="261">
      <c r="B261" s="7"/>
      <c r="C261" s="74"/>
      <c r="D261" s="74"/>
    </row>
    <row r="262">
      <c r="B262" s="7"/>
      <c r="C262" s="74"/>
      <c r="D262" s="74"/>
    </row>
    <row r="263">
      <c r="B263" s="7"/>
      <c r="C263" s="74"/>
      <c r="D263" s="74"/>
    </row>
    <row r="264">
      <c r="B264" s="7"/>
      <c r="C264" s="74"/>
      <c r="D264" s="74"/>
    </row>
    <row r="265">
      <c r="B265" s="7"/>
      <c r="C265" s="74"/>
      <c r="D265" s="74"/>
    </row>
    <row r="266">
      <c r="B266" s="7"/>
      <c r="C266" s="74"/>
      <c r="D266" s="74"/>
    </row>
    <row r="267">
      <c r="B267" s="7"/>
      <c r="C267" s="74"/>
      <c r="D267" s="74"/>
    </row>
    <row r="268">
      <c r="B268" s="7"/>
      <c r="C268" s="74"/>
      <c r="D268" s="74"/>
    </row>
    <row r="269">
      <c r="B269" s="7"/>
      <c r="C269" s="74"/>
      <c r="D269" s="74"/>
    </row>
    <row r="270">
      <c r="B270" s="7"/>
      <c r="C270" s="74"/>
      <c r="D270" s="74"/>
    </row>
    <row r="271">
      <c r="B271" s="7"/>
      <c r="C271" s="74"/>
      <c r="D271" s="74"/>
    </row>
    <row r="272">
      <c r="B272" s="7"/>
      <c r="C272" s="74"/>
      <c r="D272" s="74"/>
    </row>
    <row r="273">
      <c r="B273" s="7"/>
      <c r="C273" s="74"/>
      <c r="D273" s="74"/>
    </row>
    <row r="274">
      <c r="B274" s="7"/>
      <c r="C274" s="74"/>
      <c r="D274" s="74"/>
    </row>
    <row r="275">
      <c r="B275" s="7"/>
      <c r="C275" s="74"/>
      <c r="D275" s="74"/>
    </row>
    <row r="276">
      <c r="B276" s="7"/>
      <c r="C276" s="74"/>
      <c r="D276" s="74"/>
    </row>
    <row r="277">
      <c r="B277" s="7"/>
      <c r="C277" s="74"/>
      <c r="D277" s="74"/>
    </row>
    <row r="278">
      <c r="B278" s="7"/>
      <c r="C278" s="74"/>
      <c r="D278" s="74"/>
    </row>
    <row r="279">
      <c r="B279" s="7"/>
      <c r="C279" s="74"/>
      <c r="D279" s="74"/>
    </row>
    <row r="280">
      <c r="B280" s="7"/>
      <c r="C280" s="74"/>
      <c r="D280" s="74"/>
    </row>
    <row r="281">
      <c r="B281" s="7"/>
      <c r="C281" s="74"/>
      <c r="D281" s="74"/>
    </row>
    <row r="282">
      <c r="B282" s="7"/>
      <c r="C282" s="74"/>
      <c r="D282" s="74"/>
    </row>
    <row r="283">
      <c r="B283" s="7"/>
      <c r="C283" s="74"/>
      <c r="D283" s="74"/>
    </row>
    <row r="284">
      <c r="B284" s="7"/>
      <c r="C284" s="74"/>
      <c r="D284" s="74"/>
    </row>
    <row r="285">
      <c r="B285" s="7"/>
      <c r="C285" s="74"/>
      <c r="D285" s="74"/>
    </row>
    <row r="286">
      <c r="B286" s="7"/>
      <c r="C286" s="74"/>
      <c r="D286" s="74"/>
    </row>
    <row r="287">
      <c r="B287" s="7"/>
      <c r="C287" s="74"/>
      <c r="D287" s="74"/>
    </row>
    <row r="288">
      <c r="B288" s="7"/>
      <c r="C288" s="74"/>
      <c r="D288" s="74"/>
    </row>
    <row r="289">
      <c r="B289" s="7"/>
      <c r="C289" s="74"/>
      <c r="D289" s="74"/>
    </row>
    <row r="290">
      <c r="B290" s="7"/>
      <c r="C290" s="74"/>
      <c r="D290" s="74"/>
    </row>
    <row r="291">
      <c r="B291" s="7"/>
      <c r="C291" s="74"/>
      <c r="D291" s="74"/>
    </row>
    <row r="292">
      <c r="B292" s="7"/>
      <c r="C292" s="74"/>
      <c r="D292" s="74"/>
    </row>
    <row r="293">
      <c r="B293" s="7"/>
      <c r="C293" s="74"/>
      <c r="D293" s="74"/>
    </row>
    <row r="294">
      <c r="B294" s="7"/>
      <c r="C294" s="74"/>
      <c r="D294" s="74"/>
    </row>
    <row r="295">
      <c r="B295" s="7"/>
      <c r="C295" s="74"/>
      <c r="D295" s="74"/>
    </row>
    <row r="296">
      <c r="B296" s="7"/>
      <c r="C296" s="74"/>
      <c r="D296" s="74"/>
    </row>
    <row r="297">
      <c r="B297" s="7"/>
      <c r="C297" s="74"/>
      <c r="D297" s="74"/>
    </row>
    <row r="298">
      <c r="B298" s="7"/>
      <c r="C298" s="74"/>
      <c r="D298" s="74"/>
    </row>
    <row r="299">
      <c r="B299" s="7"/>
      <c r="C299" s="74"/>
      <c r="D299" s="74"/>
    </row>
    <row r="300">
      <c r="B300" s="7"/>
      <c r="C300" s="74"/>
      <c r="D300" s="74"/>
    </row>
    <row r="301">
      <c r="B301" s="7"/>
      <c r="C301" s="74"/>
      <c r="D301" s="74"/>
    </row>
    <row r="302">
      <c r="B302" s="7"/>
      <c r="C302" s="74"/>
      <c r="D302" s="74"/>
    </row>
    <row r="303">
      <c r="B303" s="7"/>
      <c r="C303" s="74"/>
      <c r="D303" s="74"/>
    </row>
    <row r="304">
      <c r="B304" s="7"/>
      <c r="C304" s="74"/>
      <c r="D304" s="74"/>
    </row>
    <row r="305">
      <c r="B305" s="7"/>
      <c r="C305" s="74"/>
      <c r="D305" s="74"/>
    </row>
    <row r="306">
      <c r="B306" s="7"/>
      <c r="C306" s="74"/>
      <c r="D306" s="74"/>
    </row>
    <row r="307">
      <c r="B307" s="7"/>
      <c r="C307" s="74"/>
      <c r="D307" s="74"/>
    </row>
    <row r="308">
      <c r="B308" s="7"/>
      <c r="C308" s="74"/>
      <c r="D308" s="74"/>
    </row>
    <row r="309">
      <c r="B309" s="7"/>
      <c r="C309" s="74"/>
      <c r="D309" s="74"/>
    </row>
    <row r="310">
      <c r="B310" s="7"/>
      <c r="C310" s="74"/>
      <c r="D310" s="74"/>
    </row>
    <row r="311">
      <c r="B311" s="7"/>
      <c r="C311" s="74"/>
      <c r="D311" s="74"/>
    </row>
    <row r="312">
      <c r="B312" s="7"/>
      <c r="C312" s="74"/>
      <c r="D312" s="74"/>
    </row>
    <row r="313">
      <c r="B313" s="7"/>
      <c r="C313" s="74"/>
      <c r="D313" s="74"/>
    </row>
    <row r="314">
      <c r="B314" s="7"/>
      <c r="C314" s="74"/>
      <c r="D314" s="74"/>
    </row>
    <row r="315">
      <c r="B315" s="7"/>
      <c r="C315" s="74"/>
      <c r="D315" s="74"/>
    </row>
    <row r="316">
      <c r="B316" s="7"/>
      <c r="C316" s="74"/>
      <c r="D316" s="74"/>
    </row>
    <row r="317">
      <c r="B317" s="7"/>
      <c r="C317" s="74"/>
      <c r="D317" s="74"/>
    </row>
    <row r="318">
      <c r="B318" s="7"/>
      <c r="C318" s="74"/>
      <c r="D318" s="74"/>
    </row>
    <row r="319">
      <c r="B319" s="7"/>
      <c r="C319" s="74"/>
      <c r="D319" s="74"/>
    </row>
    <row r="320">
      <c r="B320" s="7"/>
      <c r="C320" s="74"/>
      <c r="D320" s="74"/>
    </row>
    <row r="321">
      <c r="B321" s="7"/>
      <c r="C321" s="74"/>
      <c r="D321" s="74"/>
    </row>
    <row r="322">
      <c r="B322" s="7"/>
      <c r="C322" s="74"/>
      <c r="D322" s="74"/>
    </row>
    <row r="323">
      <c r="B323" s="7"/>
      <c r="C323" s="74"/>
      <c r="D323" s="74"/>
    </row>
    <row r="324">
      <c r="B324" s="7"/>
      <c r="C324" s="74"/>
      <c r="D324" s="74"/>
    </row>
    <row r="325">
      <c r="B325" s="7"/>
      <c r="C325" s="74"/>
      <c r="D325" s="74"/>
    </row>
    <row r="326">
      <c r="B326" s="7"/>
      <c r="C326" s="74"/>
      <c r="D326" s="74"/>
    </row>
    <row r="327">
      <c r="B327" s="7"/>
      <c r="C327" s="74"/>
      <c r="D327" s="74"/>
    </row>
    <row r="328">
      <c r="B328" s="7"/>
      <c r="C328" s="74"/>
      <c r="D328" s="74"/>
    </row>
    <row r="329">
      <c r="B329" s="7"/>
      <c r="C329" s="74"/>
      <c r="D329" s="74"/>
    </row>
    <row r="330">
      <c r="B330" s="7"/>
      <c r="C330" s="74"/>
      <c r="D330" s="74"/>
    </row>
    <row r="331">
      <c r="B331" s="7"/>
      <c r="C331" s="74"/>
      <c r="D331" s="74"/>
    </row>
    <row r="332">
      <c r="B332" s="7"/>
      <c r="C332" s="74"/>
      <c r="D332" s="74"/>
    </row>
    <row r="333">
      <c r="B333" s="7"/>
      <c r="C333" s="74"/>
      <c r="D333" s="74"/>
    </row>
    <row r="334">
      <c r="B334" s="7"/>
      <c r="C334" s="74"/>
      <c r="D334" s="74"/>
    </row>
    <row r="335">
      <c r="B335" s="7"/>
      <c r="C335" s="74"/>
      <c r="D335" s="74"/>
    </row>
    <row r="336">
      <c r="B336" s="7"/>
      <c r="C336" s="74"/>
      <c r="D336" s="74"/>
    </row>
    <row r="337">
      <c r="B337" s="7"/>
      <c r="C337" s="74"/>
      <c r="D337" s="74"/>
    </row>
    <row r="338">
      <c r="B338" s="7"/>
      <c r="C338" s="74"/>
      <c r="D338" s="74"/>
    </row>
    <row r="339">
      <c r="B339" s="7"/>
      <c r="C339" s="74"/>
      <c r="D339" s="74"/>
    </row>
    <row r="340">
      <c r="B340" s="7"/>
      <c r="C340" s="74"/>
      <c r="D340" s="74"/>
    </row>
    <row r="341">
      <c r="B341" s="7"/>
      <c r="C341" s="74"/>
      <c r="D341" s="74"/>
    </row>
    <row r="342">
      <c r="B342" s="7"/>
      <c r="C342" s="74"/>
      <c r="D342" s="74"/>
    </row>
    <row r="343">
      <c r="B343" s="7"/>
      <c r="C343" s="74"/>
      <c r="D343" s="74"/>
    </row>
    <row r="344">
      <c r="B344" s="7"/>
      <c r="C344" s="74"/>
      <c r="D344" s="74"/>
    </row>
    <row r="345">
      <c r="B345" s="7"/>
      <c r="C345" s="74"/>
      <c r="D345" s="74"/>
    </row>
    <row r="346">
      <c r="B346" s="7"/>
      <c r="C346" s="74"/>
      <c r="D346" s="74"/>
    </row>
    <row r="347">
      <c r="B347" s="7"/>
      <c r="C347" s="74"/>
      <c r="D347" s="74"/>
    </row>
    <row r="348">
      <c r="B348" s="7"/>
      <c r="C348" s="74"/>
      <c r="D348" s="74"/>
    </row>
    <row r="349">
      <c r="B349" s="7"/>
      <c r="C349" s="74"/>
      <c r="D349" s="74"/>
    </row>
    <row r="350">
      <c r="B350" s="7"/>
      <c r="C350" s="74"/>
      <c r="D350" s="74"/>
    </row>
    <row r="351">
      <c r="B351" s="7"/>
      <c r="C351" s="74"/>
      <c r="D351" s="74"/>
    </row>
    <row r="352">
      <c r="B352" s="7"/>
      <c r="C352" s="74"/>
      <c r="D352" s="74"/>
    </row>
    <row r="353">
      <c r="B353" s="7"/>
      <c r="C353" s="74"/>
      <c r="D353" s="74"/>
    </row>
    <row r="354">
      <c r="B354" s="7"/>
      <c r="C354" s="74"/>
      <c r="D354" s="74"/>
    </row>
    <row r="355">
      <c r="B355" s="7"/>
      <c r="C355" s="74"/>
      <c r="D355" s="74"/>
    </row>
    <row r="356">
      <c r="B356" s="7"/>
      <c r="C356" s="74"/>
      <c r="D356" s="74"/>
    </row>
    <row r="357">
      <c r="B357" s="7"/>
      <c r="C357" s="74"/>
      <c r="D357" s="74"/>
    </row>
    <row r="358">
      <c r="B358" s="7"/>
      <c r="C358" s="74"/>
      <c r="D358" s="74"/>
    </row>
    <row r="359">
      <c r="B359" s="7"/>
      <c r="C359" s="74"/>
      <c r="D359" s="74"/>
    </row>
    <row r="360">
      <c r="B360" s="7"/>
      <c r="C360" s="74"/>
      <c r="D360" s="74"/>
    </row>
    <row r="361">
      <c r="B361" s="7"/>
      <c r="C361" s="74"/>
      <c r="D361" s="74"/>
    </row>
    <row r="362">
      <c r="B362" s="7"/>
      <c r="C362" s="74"/>
      <c r="D362" s="74"/>
    </row>
    <row r="363">
      <c r="B363" s="7"/>
      <c r="C363" s="74"/>
      <c r="D363" s="74"/>
    </row>
    <row r="364">
      <c r="B364" s="7"/>
      <c r="C364" s="74"/>
      <c r="D364" s="74"/>
    </row>
    <row r="365">
      <c r="B365" s="7"/>
      <c r="C365" s="74"/>
      <c r="D365" s="74"/>
    </row>
    <row r="366">
      <c r="B366" s="7"/>
      <c r="C366" s="74"/>
      <c r="D366" s="74"/>
    </row>
    <row r="367">
      <c r="B367" s="7"/>
      <c r="C367" s="74"/>
      <c r="D367" s="74"/>
    </row>
    <row r="368">
      <c r="B368" s="7"/>
      <c r="C368" s="74"/>
      <c r="D368" s="74"/>
    </row>
    <row r="369">
      <c r="B369" s="7"/>
      <c r="C369" s="74"/>
      <c r="D369" s="74"/>
    </row>
    <row r="370">
      <c r="B370" s="7"/>
      <c r="C370" s="74"/>
      <c r="D370" s="74"/>
    </row>
    <row r="371">
      <c r="B371" s="7"/>
      <c r="C371" s="74"/>
      <c r="D371" s="74"/>
    </row>
    <row r="372">
      <c r="B372" s="7"/>
      <c r="C372" s="74"/>
      <c r="D372" s="74"/>
    </row>
    <row r="373">
      <c r="B373" s="7"/>
      <c r="C373" s="74"/>
      <c r="D373" s="74"/>
    </row>
    <row r="374">
      <c r="B374" s="7"/>
      <c r="C374" s="74"/>
      <c r="D374" s="74"/>
    </row>
    <row r="375">
      <c r="B375" s="7"/>
      <c r="C375" s="74"/>
      <c r="D375" s="74"/>
    </row>
    <row r="376">
      <c r="B376" s="7"/>
      <c r="C376" s="74"/>
      <c r="D376" s="74"/>
    </row>
    <row r="377">
      <c r="B377" s="7"/>
      <c r="C377" s="74"/>
      <c r="D377" s="74"/>
    </row>
    <row r="378">
      <c r="B378" s="7"/>
      <c r="C378" s="74"/>
      <c r="D378" s="74"/>
    </row>
    <row r="379">
      <c r="B379" s="7"/>
      <c r="C379" s="74"/>
      <c r="D379" s="74"/>
    </row>
    <row r="380">
      <c r="B380" s="7"/>
      <c r="C380" s="74"/>
      <c r="D380" s="74"/>
    </row>
    <row r="381">
      <c r="B381" s="7"/>
      <c r="C381" s="74"/>
      <c r="D381" s="74"/>
    </row>
    <row r="382">
      <c r="B382" s="7"/>
      <c r="C382" s="74"/>
      <c r="D382" s="74"/>
    </row>
    <row r="383">
      <c r="B383" s="7"/>
      <c r="C383" s="74"/>
      <c r="D383" s="74"/>
    </row>
    <row r="384">
      <c r="B384" s="7"/>
      <c r="C384" s="74"/>
      <c r="D384" s="74"/>
    </row>
    <row r="385">
      <c r="B385" s="7"/>
      <c r="C385" s="74"/>
      <c r="D385" s="74"/>
    </row>
    <row r="386">
      <c r="B386" s="7"/>
      <c r="C386" s="74"/>
      <c r="D386" s="74"/>
    </row>
    <row r="387">
      <c r="B387" s="7"/>
      <c r="C387" s="74"/>
      <c r="D387" s="74"/>
    </row>
    <row r="388">
      <c r="B388" s="7"/>
      <c r="C388" s="74"/>
      <c r="D388" s="74"/>
    </row>
    <row r="389">
      <c r="B389" s="7"/>
      <c r="C389" s="74"/>
      <c r="D389" s="74"/>
    </row>
    <row r="390">
      <c r="B390" s="7"/>
      <c r="C390" s="74"/>
      <c r="D390" s="74"/>
    </row>
    <row r="391">
      <c r="B391" s="7"/>
      <c r="C391" s="74"/>
      <c r="D391" s="74"/>
    </row>
    <row r="392">
      <c r="B392" s="7"/>
      <c r="C392" s="74"/>
      <c r="D392" s="74"/>
    </row>
    <row r="393">
      <c r="B393" s="7"/>
      <c r="C393" s="74"/>
      <c r="D393" s="74"/>
    </row>
    <row r="394">
      <c r="B394" s="7"/>
      <c r="C394" s="74"/>
      <c r="D394" s="74"/>
    </row>
    <row r="395">
      <c r="B395" s="7"/>
      <c r="C395" s="74"/>
      <c r="D395" s="74"/>
    </row>
    <row r="396">
      <c r="B396" s="7"/>
      <c r="C396" s="74"/>
      <c r="D396" s="74"/>
    </row>
    <row r="397">
      <c r="B397" s="7"/>
      <c r="C397" s="74"/>
      <c r="D397" s="74"/>
    </row>
    <row r="398">
      <c r="B398" s="7"/>
      <c r="C398" s="74"/>
      <c r="D398" s="74"/>
    </row>
    <row r="399">
      <c r="B399" s="7"/>
      <c r="C399" s="74"/>
      <c r="D399" s="74"/>
    </row>
    <row r="400">
      <c r="B400" s="7"/>
      <c r="C400" s="74"/>
      <c r="D400" s="74"/>
    </row>
    <row r="401">
      <c r="B401" s="7"/>
      <c r="C401" s="74"/>
      <c r="D401" s="74"/>
    </row>
    <row r="402">
      <c r="B402" s="7"/>
      <c r="C402" s="74"/>
      <c r="D402" s="74"/>
    </row>
    <row r="403">
      <c r="B403" s="7"/>
      <c r="C403" s="74"/>
      <c r="D403" s="74"/>
    </row>
    <row r="404">
      <c r="B404" s="7"/>
      <c r="C404" s="74"/>
      <c r="D404" s="74"/>
    </row>
    <row r="405">
      <c r="B405" s="7"/>
      <c r="C405" s="74"/>
      <c r="D405" s="74"/>
    </row>
    <row r="406">
      <c r="B406" s="7"/>
      <c r="C406" s="74"/>
      <c r="D406" s="74"/>
    </row>
    <row r="407">
      <c r="B407" s="7"/>
      <c r="C407" s="74"/>
      <c r="D407" s="74"/>
    </row>
    <row r="408">
      <c r="B408" s="7"/>
      <c r="C408" s="74"/>
      <c r="D408" s="74"/>
    </row>
    <row r="409">
      <c r="B409" s="7"/>
      <c r="C409" s="74"/>
      <c r="D409" s="74"/>
    </row>
    <row r="410">
      <c r="B410" s="7"/>
      <c r="C410" s="74"/>
      <c r="D410" s="74"/>
    </row>
    <row r="411">
      <c r="B411" s="7"/>
      <c r="C411" s="74"/>
      <c r="D411" s="74"/>
    </row>
    <row r="412">
      <c r="B412" s="7"/>
      <c r="C412" s="74"/>
      <c r="D412" s="74"/>
    </row>
    <row r="413">
      <c r="B413" s="7"/>
      <c r="C413" s="74"/>
      <c r="D413" s="74"/>
    </row>
    <row r="414">
      <c r="B414" s="7"/>
      <c r="C414" s="74"/>
      <c r="D414" s="74"/>
    </row>
    <row r="415">
      <c r="B415" s="7"/>
      <c r="C415" s="74"/>
      <c r="D415" s="74"/>
    </row>
    <row r="416">
      <c r="B416" s="7"/>
      <c r="C416" s="74"/>
      <c r="D416" s="74"/>
    </row>
    <row r="417">
      <c r="B417" s="7"/>
      <c r="C417" s="74"/>
      <c r="D417" s="74"/>
    </row>
    <row r="418">
      <c r="B418" s="7"/>
      <c r="C418" s="74"/>
      <c r="D418" s="74"/>
    </row>
    <row r="419">
      <c r="B419" s="7"/>
      <c r="C419" s="74"/>
      <c r="D419" s="74"/>
    </row>
    <row r="420">
      <c r="B420" s="7"/>
      <c r="C420" s="74"/>
      <c r="D420" s="74"/>
    </row>
    <row r="421">
      <c r="B421" s="7"/>
      <c r="C421" s="74"/>
      <c r="D421" s="74"/>
    </row>
    <row r="422">
      <c r="B422" s="7"/>
      <c r="C422" s="74"/>
      <c r="D422" s="74"/>
    </row>
    <row r="423">
      <c r="B423" s="7"/>
      <c r="C423" s="74"/>
      <c r="D423" s="74"/>
    </row>
    <row r="424">
      <c r="B424" s="7"/>
      <c r="C424" s="74"/>
      <c r="D424" s="74"/>
    </row>
    <row r="425">
      <c r="B425" s="7"/>
      <c r="C425" s="74"/>
      <c r="D425" s="74"/>
    </row>
    <row r="426">
      <c r="B426" s="7"/>
      <c r="C426" s="74"/>
      <c r="D426" s="74"/>
    </row>
    <row r="427">
      <c r="B427" s="7"/>
      <c r="C427" s="74"/>
      <c r="D427" s="74"/>
    </row>
    <row r="428">
      <c r="B428" s="7"/>
      <c r="C428" s="74"/>
      <c r="D428" s="74"/>
    </row>
    <row r="429">
      <c r="B429" s="7"/>
      <c r="C429" s="74"/>
      <c r="D429" s="74"/>
    </row>
    <row r="430">
      <c r="B430" s="7"/>
      <c r="C430" s="74"/>
      <c r="D430" s="74"/>
    </row>
    <row r="431">
      <c r="B431" s="7"/>
      <c r="C431" s="74"/>
      <c r="D431" s="74"/>
    </row>
    <row r="432">
      <c r="B432" s="7"/>
      <c r="C432" s="74"/>
      <c r="D432" s="74"/>
    </row>
    <row r="433">
      <c r="B433" s="7"/>
      <c r="C433" s="74"/>
      <c r="D433" s="74"/>
    </row>
    <row r="434">
      <c r="B434" s="7"/>
      <c r="C434" s="74"/>
      <c r="D434" s="74"/>
    </row>
    <row r="435">
      <c r="B435" s="7"/>
      <c r="C435" s="74"/>
      <c r="D435" s="74"/>
    </row>
    <row r="436">
      <c r="B436" s="7"/>
      <c r="C436" s="74"/>
      <c r="D436" s="74"/>
    </row>
    <row r="437">
      <c r="B437" s="7"/>
      <c r="C437" s="74"/>
      <c r="D437" s="74"/>
    </row>
    <row r="438">
      <c r="B438" s="7"/>
      <c r="C438" s="74"/>
      <c r="D438" s="74"/>
    </row>
    <row r="439">
      <c r="B439" s="7"/>
      <c r="C439" s="74"/>
      <c r="D439" s="74"/>
    </row>
    <row r="440">
      <c r="B440" s="7"/>
      <c r="C440" s="74"/>
      <c r="D440" s="74"/>
    </row>
    <row r="441">
      <c r="B441" s="7"/>
      <c r="C441" s="74"/>
      <c r="D441" s="74"/>
    </row>
    <row r="442">
      <c r="B442" s="7"/>
      <c r="C442" s="74"/>
      <c r="D442" s="74"/>
    </row>
    <row r="443">
      <c r="B443" s="7"/>
      <c r="C443" s="74"/>
      <c r="D443" s="74"/>
    </row>
    <row r="444">
      <c r="B444" s="7"/>
      <c r="C444" s="74"/>
      <c r="D444" s="74"/>
    </row>
    <row r="445">
      <c r="B445" s="7"/>
      <c r="C445" s="74"/>
      <c r="D445" s="74"/>
    </row>
    <row r="446">
      <c r="B446" s="7"/>
      <c r="C446" s="74"/>
      <c r="D446" s="74"/>
    </row>
    <row r="447">
      <c r="B447" s="7"/>
      <c r="C447" s="74"/>
      <c r="D447" s="74"/>
    </row>
    <row r="448">
      <c r="B448" s="7"/>
      <c r="C448" s="74"/>
      <c r="D448" s="74"/>
    </row>
    <row r="449">
      <c r="B449" s="7"/>
      <c r="C449" s="74"/>
      <c r="D449" s="74"/>
    </row>
    <row r="450">
      <c r="B450" s="7"/>
      <c r="C450" s="74"/>
      <c r="D450" s="74"/>
    </row>
    <row r="451">
      <c r="B451" s="7"/>
      <c r="C451" s="74"/>
      <c r="D451" s="74"/>
    </row>
    <row r="452">
      <c r="B452" s="7"/>
      <c r="C452" s="74"/>
      <c r="D452" s="74"/>
    </row>
    <row r="453">
      <c r="B453" s="7"/>
      <c r="C453" s="74"/>
      <c r="D453" s="74"/>
    </row>
    <row r="454">
      <c r="B454" s="7"/>
      <c r="C454" s="74"/>
      <c r="D454" s="74"/>
    </row>
    <row r="455">
      <c r="B455" s="7"/>
      <c r="C455" s="74"/>
      <c r="D455" s="74"/>
    </row>
    <row r="456">
      <c r="B456" s="7"/>
      <c r="C456" s="74"/>
      <c r="D456" s="74"/>
    </row>
    <row r="457">
      <c r="B457" s="7"/>
      <c r="C457" s="74"/>
      <c r="D457" s="74"/>
    </row>
    <row r="458">
      <c r="B458" s="7"/>
      <c r="C458" s="74"/>
      <c r="D458" s="74"/>
    </row>
    <row r="459">
      <c r="B459" s="7"/>
      <c r="C459" s="74"/>
      <c r="D459" s="74"/>
    </row>
    <row r="460">
      <c r="B460" s="7"/>
      <c r="C460" s="74"/>
      <c r="D460" s="74"/>
    </row>
    <row r="461">
      <c r="B461" s="7"/>
      <c r="C461" s="74"/>
      <c r="D461" s="74"/>
    </row>
    <row r="462">
      <c r="B462" s="7"/>
      <c r="C462" s="74"/>
      <c r="D462" s="74"/>
    </row>
    <row r="463">
      <c r="B463" s="7"/>
      <c r="C463" s="74"/>
      <c r="D463" s="74"/>
    </row>
    <row r="464">
      <c r="B464" s="7"/>
      <c r="C464" s="74"/>
      <c r="D464" s="74"/>
    </row>
    <row r="465">
      <c r="B465" s="7"/>
      <c r="C465" s="74"/>
      <c r="D465" s="74"/>
    </row>
    <row r="466">
      <c r="B466" s="7"/>
      <c r="C466" s="74"/>
      <c r="D466" s="74"/>
    </row>
    <row r="467">
      <c r="B467" s="7"/>
      <c r="C467" s="74"/>
      <c r="D467" s="74"/>
    </row>
    <row r="468">
      <c r="B468" s="7"/>
      <c r="C468" s="74"/>
      <c r="D468" s="74"/>
    </row>
    <row r="469">
      <c r="B469" s="7"/>
      <c r="C469" s="74"/>
      <c r="D469" s="74"/>
    </row>
    <row r="470">
      <c r="B470" s="7"/>
      <c r="C470" s="74"/>
      <c r="D470" s="74"/>
    </row>
    <row r="471">
      <c r="B471" s="7"/>
      <c r="C471" s="74"/>
      <c r="D471" s="74"/>
    </row>
    <row r="472">
      <c r="B472" s="7"/>
      <c r="C472" s="74"/>
      <c r="D472" s="74"/>
    </row>
    <row r="473">
      <c r="B473" s="7"/>
      <c r="C473" s="74"/>
      <c r="D473" s="74"/>
    </row>
    <row r="474">
      <c r="B474" s="7"/>
      <c r="C474" s="74"/>
      <c r="D474" s="74"/>
    </row>
    <row r="475">
      <c r="B475" s="7"/>
      <c r="C475" s="74"/>
      <c r="D475" s="74"/>
    </row>
    <row r="476">
      <c r="B476" s="7"/>
      <c r="C476" s="74"/>
      <c r="D476" s="74"/>
    </row>
    <row r="477">
      <c r="B477" s="7"/>
      <c r="C477" s="74"/>
      <c r="D477" s="74"/>
    </row>
    <row r="478">
      <c r="B478" s="7"/>
      <c r="C478" s="74"/>
      <c r="D478" s="74"/>
    </row>
    <row r="479">
      <c r="B479" s="7"/>
      <c r="C479" s="74"/>
      <c r="D479" s="74"/>
    </row>
    <row r="480">
      <c r="B480" s="7"/>
      <c r="C480" s="74"/>
      <c r="D480" s="74"/>
    </row>
    <row r="481">
      <c r="B481" s="7"/>
      <c r="C481" s="74"/>
      <c r="D481" s="74"/>
    </row>
    <row r="482">
      <c r="B482" s="7"/>
      <c r="C482" s="74"/>
      <c r="D482" s="74"/>
    </row>
    <row r="483">
      <c r="B483" s="7"/>
      <c r="C483" s="74"/>
      <c r="D483" s="74"/>
    </row>
    <row r="484">
      <c r="B484" s="7"/>
      <c r="C484" s="74"/>
      <c r="D484" s="74"/>
    </row>
    <row r="485">
      <c r="B485" s="7"/>
      <c r="C485" s="74"/>
      <c r="D485" s="74"/>
    </row>
    <row r="486">
      <c r="B486" s="7"/>
      <c r="C486" s="74"/>
      <c r="D486" s="74"/>
    </row>
    <row r="487">
      <c r="B487" s="7"/>
      <c r="C487" s="74"/>
      <c r="D487" s="74"/>
    </row>
    <row r="488">
      <c r="B488" s="7"/>
      <c r="C488" s="74"/>
      <c r="D488" s="74"/>
    </row>
    <row r="489">
      <c r="B489" s="7"/>
      <c r="C489" s="74"/>
      <c r="D489" s="74"/>
    </row>
    <row r="490">
      <c r="B490" s="7"/>
      <c r="C490" s="74"/>
      <c r="D490" s="74"/>
    </row>
    <row r="491">
      <c r="B491" s="7"/>
      <c r="C491" s="74"/>
      <c r="D491" s="74"/>
    </row>
    <row r="492">
      <c r="B492" s="7"/>
      <c r="C492" s="74"/>
      <c r="D492" s="74"/>
    </row>
    <row r="493">
      <c r="B493" s="7"/>
      <c r="C493" s="74"/>
      <c r="D493" s="74"/>
    </row>
    <row r="494">
      <c r="B494" s="7"/>
      <c r="C494" s="74"/>
      <c r="D494" s="74"/>
    </row>
    <row r="495">
      <c r="B495" s="7"/>
      <c r="C495" s="74"/>
      <c r="D495" s="74"/>
    </row>
    <row r="496">
      <c r="B496" s="7"/>
      <c r="C496" s="74"/>
      <c r="D496" s="74"/>
    </row>
    <row r="497">
      <c r="B497" s="7"/>
      <c r="C497" s="74"/>
      <c r="D497" s="74"/>
    </row>
    <row r="498">
      <c r="B498" s="7"/>
      <c r="C498" s="74"/>
      <c r="D498" s="74"/>
    </row>
    <row r="499">
      <c r="B499" s="7"/>
      <c r="C499" s="74"/>
      <c r="D499" s="74"/>
    </row>
    <row r="500">
      <c r="B500" s="7"/>
      <c r="C500" s="74"/>
      <c r="D500" s="74"/>
    </row>
    <row r="501">
      <c r="B501" s="7"/>
      <c r="C501" s="74"/>
      <c r="D501" s="74"/>
    </row>
    <row r="502">
      <c r="B502" s="7"/>
      <c r="C502" s="74"/>
      <c r="D502" s="74"/>
    </row>
    <row r="503">
      <c r="B503" s="7"/>
      <c r="C503" s="74"/>
      <c r="D503" s="74"/>
    </row>
    <row r="504">
      <c r="B504" s="7"/>
      <c r="C504" s="74"/>
      <c r="D504" s="74"/>
    </row>
    <row r="505">
      <c r="B505" s="7"/>
      <c r="C505" s="74"/>
      <c r="D505" s="74"/>
    </row>
    <row r="506">
      <c r="B506" s="7"/>
      <c r="C506" s="74"/>
      <c r="D506" s="74"/>
    </row>
    <row r="507">
      <c r="B507" s="7"/>
      <c r="C507" s="74"/>
      <c r="D507" s="74"/>
    </row>
    <row r="508">
      <c r="B508" s="7"/>
      <c r="C508" s="74"/>
      <c r="D508" s="74"/>
    </row>
    <row r="509">
      <c r="B509" s="7"/>
      <c r="C509" s="74"/>
      <c r="D509" s="74"/>
    </row>
    <row r="510">
      <c r="B510" s="7"/>
      <c r="C510" s="74"/>
      <c r="D510" s="74"/>
    </row>
    <row r="511">
      <c r="B511" s="7"/>
      <c r="C511" s="74"/>
      <c r="D511" s="74"/>
    </row>
    <row r="512">
      <c r="B512" s="7"/>
      <c r="C512" s="74"/>
      <c r="D512" s="74"/>
    </row>
    <row r="513">
      <c r="B513" s="7"/>
      <c r="C513" s="74"/>
      <c r="D513" s="74"/>
    </row>
    <row r="514">
      <c r="B514" s="7"/>
      <c r="C514" s="74"/>
      <c r="D514" s="74"/>
    </row>
    <row r="515">
      <c r="B515" s="7"/>
      <c r="C515" s="74"/>
      <c r="D515" s="74"/>
    </row>
    <row r="516">
      <c r="B516" s="7"/>
      <c r="C516" s="74"/>
      <c r="D516" s="74"/>
    </row>
    <row r="517">
      <c r="B517" s="7"/>
      <c r="C517" s="74"/>
      <c r="D517" s="74"/>
    </row>
    <row r="518">
      <c r="B518" s="7"/>
      <c r="C518" s="74"/>
      <c r="D518" s="74"/>
    </row>
    <row r="519">
      <c r="B519" s="7"/>
      <c r="C519" s="74"/>
      <c r="D519" s="74"/>
    </row>
    <row r="520">
      <c r="B520" s="7"/>
      <c r="C520" s="74"/>
      <c r="D520" s="74"/>
    </row>
    <row r="521">
      <c r="B521" s="7"/>
      <c r="C521" s="74"/>
      <c r="D521" s="74"/>
    </row>
    <row r="522">
      <c r="B522" s="7"/>
      <c r="C522" s="74"/>
      <c r="D522" s="74"/>
    </row>
    <row r="523">
      <c r="B523" s="7"/>
      <c r="C523" s="74"/>
      <c r="D523" s="74"/>
    </row>
    <row r="524">
      <c r="B524" s="7"/>
      <c r="C524" s="74"/>
      <c r="D524" s="74"/>
    </row>
    <row r="525">
      <c r="B525" s="7"/>
      <c r="C525" s="74"/>
      <c r="D525" s="74"/>
    </row>
    <row r="526">
      <c r="B526" s="7"/>
      <c r="C526" s="74"/>
      <c r="D526" s="74"/>
    </row>
    <row r="527">
      <c r="B527" s="7"/>
      <c r="C527" s="74"/>
      <c r="D527" s="74"/>
    </row>
    <row r="528">
      <c r="B528" s="7"/>
      <c r="C528" s="74"/>
      <c r="D528" s="74"/>
    </row>
    <row r="529">
      <c r="B529" s="7"/>
      <c r="C529" s="74"/>
      <c r="D529" s="74"/>
    </row>
    <row r="530">
      <c r="B530" s="7"/>
      <c r="C530" s="74"/>
      <c r="D530" s="74"/>
    </row>
    <row r="531">
      <c r="B531" s="7"/>
      <c r="C531" s="74"/>
      <c r="D531" s="74"/>
    </row>
    <row r="532">
      <c r="B532" s="7"/>
      <c r="C532" s="74"/>
      <c r="D532" s="74"/>
    </row>
    <row r="533">
      <c r="B533" s="7"/>
      <c r="C533" s="74"/>
      <c r="D533" s="74"/>
    </row>
    <row r="534">
      <c r="B534" s="7"/>
      <c r="C534" s="74"/>
      <c r="D534" s="74"/>
    </row>
    <row r="535">
      <c r="B535" s="7"/>
      <c r="C535" s="74"/>
      <c r="D535" s="74"/>
    </row>
    <row r="536">
      <c r="B536" s="7"/>
      <c r="C536" s="74"/>
      <c r="D536" s="74"/>
    </row>
    <row r="537">
      <c r="B537" s="7"/>
      <c r="C537" s="74"/>
      <c r="D537" s="74"/>
    </row>
    <row r="538">
      <c r="B538" s="7"/>
      <c r="C538" s="74"/>
      <c r="D538" s="74"/>
    </row>
    <row r="539">
      <c r="B539" s="7"/>
      <c r="C539" s="74"/>
      <c r="D539" s="74"/>
    </row>
    <row r="540">
      <c r="B540" s="7"/>
      <c r="C540" s="74"/>
      <c r="D540" s="74"/>
    </row>
    <row r="541">
      <c r="B541" s="7"/>
      <c r="C541" s="74"/>
      <c r="D541" s="74"/>
    </row>
    <row r="542">
      <c r="B542" s="7"/>
      <c r="C542" s="74"/>
      <c r="D542" s="74"/>
    </row>
    <row r="543">
      <c r="B543" s="7"/>
      <c r="C543" s="74"/>
      <c r="D543" s="74"/>
    </row>
    <row r="544">
      <c r="B544" s="7"/>
      <c r="C544" s="74"/>
      <c r="D544" s="74"/>
    </row>
    <row r="545">
      <c r="B545" s="7"/>
      <c r="C545" s="74"/>
      <c r="D545" s="74"/>
    </row>
    <row r="546">
      <c r="B546" s="7"/>
      <c r="C546" s="74"/>
      <c r="D546" s="74"/>
    </row>
    <row r="547">
      <c r="B547" s="7"/>
      <c r="C547" s="74"/>
      <c r="D547" s="74"/>
    </row>
    <row r="548">
      <c r="B548" s="7"/>
      <c r="C548" s="74"/>
      <c r="D548" s="74"/>
    </row>
    <row r="549">
      <c r="B549" s="7"/>
      <c r="C549" s="74"/>
      <c r="D549" s="74"/>
    </row>
    <row r="550">
      <c r="B550" s="7"/>
      <c r="C550" s="74"/>
      <c r="D550" s="74"/>
    </row>
    <row r="551">
      <c r="B551" s="7"/>
      <c r="C551" s="74"/>
      <c r="D551" s="74"/>
    </row>
    <row r="552">
      <c r="B552" s="7"/>
      <c r="C552" s="74"/>
      <c r="D552" s="74"/>
    </row>
    <row r="553">
      <c r="B553" s="7"/>
      <c r="C553" s="74"/>
      <c r="D553" s="74"/>
    </row>
    <row r="554">
      <c r="B554" s="7"/>
      <c r="C554" s="74"/>
      <c r="D554" s="74"/>
    </row>
    <row r="555">
      <c r="B555" s="7"/>
      <c r="C555" s="74"/>
      <c r="D555" s="74"/>
    </row>
    <row r="556">
      <c r="B556" s="7"/>
      <c r="C556" s="74"/>
      <c r="D556" s="74"/>
    </row>
    <row r="557">
      <c r="B557" s="7"/>
      <c r="C557" s="74"/>
      <c r="D557" s="74"/>
    </row>
    <row r="558">
      <c r="B558" s="7"/>
      <c r="C558" s="74"/>
      <c r="D558" s="74"/>
    </row>
    <row r="559">
      <c r="B559" s="7"/>
      <c r="C559" s="74"/>
      <c r="D559" s="74"/>
    </row>
    <row r="560">
      <c r="B560" s="7"/>
      <c r="C560" s="74"/>
      <c r="D560" s="74"/>
    </row>
    <row r="561">
      <c r="B561" s="7"/>
      <c r="C561" s="74"/>
      <c r="D561" s="74"/>
    </row>
    <row r="562">
      <c r="B562" s="7"/>
      <c r="C562" s="74"/>
      <c r="D562" s="74"/>
    </row>
    <row r="563">
      <c r="B563" s="7"/>
      <c r="C563" s="74"/>
      <c r="D563" s="74"/>
    </row>
    <row r="564">
      <c r="B564" s="7"/>
      <c r="C564" s="74"/>
      <c r="D564" s="74"/>
    </row>
    <row r="565">
      <c r="B565" s="7"/>
      <c r="C565" s="74"/>
      <c r="D565" s="74"/>
    </row>
    <row r="566">
      <c r="B566" s="7"/>
      <c r="C566" s="74"/>
      <c r="D566" s="74"/>
    </row>
    <row r="567">
      <c r="B567" s="7"/>
      <c r="C567" s="74"/>
      <c r="D567" s="74"/>
    </row>
    <row r="568">
      <c r="B568" s="7"/>
      <c r="C568" s="74"/>
      <c r="D568" s="74"/>
    </row>
    <row r="569">
      <c r="B569" s="7"/>
      <c r="C569" s="74"/>
      <c r="D569" s="74"/>
    </row>
    <row r="570">
      <c r="B570" s="7"/>
      <c r="C570" s="74"/>
      <c r="D570" s="74"/>
    </row>
    <row r="571">
      <c r="B571" s="7"/>
      <c r="C571" s="74"/>
      <c r="D571" s="74"/>
    </row>
    <row r="572">
      <c r="B572" s="7"/>
      <c r="C572" s="74"/>
      <c r="D572" s="74"/>
    </row>
    <row r="573">
      <c r="B573" s="7"/>
      <c r="C573" s="74"/>
      <c r="D573" s="74"/>
    </row>
    <row r="574">
      <c r="B574" s="7"/>
      <c r="C574" s="74"/>
      <c r="D574" s="74"/>
    </row>
    <row r="575">
      <c r="B575" s="7"/>
      <c r="C575" s="74"/>
      <c r="D575" s="74"/>
    </row>
    <row r="576">
      <c r="B576" s="7"/>
      <c r="C576" s="74"/>
      <c r="D576" s="74"/>
    </row>
    <row r="577">
      <c r="B577" s="7"/>
      <c r="C577" s="74"/>
      <c r="D577" s="74"/>
    </row>
    <row r="578">
      <c r="B578" s="7"/>
      <c r="C578" s="74"/>
      <c r="D578" s="74"/>
    </row>
    <row r="579">
      <c r="B579" s="7"/>
      <c r="C579" s="74"/>
      <c r="D579" s="74"/>
    </row>
    <row r="580">
      <c r="B580" s="7"/>
      <c r="C580" s="74"/>
      <c r="D580" s="74"/>
    </row>
    <row r="581">
      <c r="B581" s="7"/>
      <c r="C581" s="74"/>
      <c r="D581" s="74"/>
    </row>
    <row r="582">
      <c r="B582" s="7"/>
      <c r="C582" s="74"/>
      <c r="D582" s="74"/>
    </row>
    <row r="583">
      <c r="B583" s="7"/>
      <c r="C583" s="74"/>
      <c r="D583" s="74"/>
    </row>
    <row r="584">
      <c r="B584" s="7"/>
      <c r="C584" s="74"/>
      <c r="D584" s="74"/>
    </row>
    <row r="585">
      <c r="B585" s="7"/>
      <c r="C585" s="74"/>
      <c r="D585" s="74"/>
    </row>
    <row r="586">
      <c r="B586" s="7"/>
      <c r="C586" s="74"/>
      <c r="D586" s="74"/>
    </row>
    <row r="587">
      <c r="B587" s="7"/>
      <c r="C587" s="74"/>
      <c r="D587" s="74"/>
    </row>
    <row r="588">
      <c r="B588" s="7"/>
      <c r="C588" s="74"/>
      <c r="D588" s="74"/>
    </row>
    <row r="589">
      <c r="B589" s="7"/>
      <c r="C589" s="74"/>
      <c r="D589" s="74"/>
    </row>
    <row r="590">
      <c r="B590" s="7"/>
      <c r="C590" s="74"/>
      <c r="D590" s="74"/>
    </row>
    <row r="591">
      <c r="B591" s="7"/>
      <c r="C591" s="74"/>
      <c r="D591" s="74"/>
    </row>
    <row r="592">
      <c r="B592" s="7"/>
      <c r="C592" s="74"/>
      <c r="D592" s="74"/>
    </row>
    <row r="593">
      <c r="B593" s="7"/>
      <c r="C593" s="74"/>
      <c r="D593" s="74"/>
    </row>
    <row r="594">
      <c r="B594" s="7"/>
      <c r="C594" s="74"/>
      <c r="D594" s="74"/>
    </row>
    <row r="595">
      <c r="B595" s="7"/>
      <c r="C595" s="74"/>
      <c r="D595" s="74"/>
    </row>
    <row r="596">
      <c r="B596" s="7"/>
      <c r="C596" s="74"/>
      <c r="D596" s="74"/>
    </row>
    <row r="597">
      <c r="B597" s="7"/>
      <c r="C597" s="74"/>
      <c r="D597" s="74"/>
    </row>
    <row r="598">
      <c r="B598" s="7"/>
      <c r="C598" s="74"/>
      <c r="D598" s="74"/>
    </row>
    <row r="599">
      <c r="B599" s="7"/>
      <c r="C599" s="74"/>
      <c r="D599" s="74"/>
    </row>
    <row r="600">
      <c r="B600" s="7"/>
      <c r="C600" s="74"/>
      <c r="D600" s="74"/>
    </row>
    <row r="601">
      <c r="B601" s="7"/>
      <c r="C601" s="74"/>
      <c r="D601" s="74"/>
    </row>
    <row r="602">
      <c r="B602" s="7"/>
      <c r="C602" s="74"/>
      <c r="D602" s="74"/>
    </row>
    <row r="603">
      <c r="B603" s="7"/>
      <c r="C603" s="74"/>
      <c r="D603" s="74"/>
    </row>
    <row r="604">
      <c r="B604" s="7"/>
      <c r="C604" s="74"/>
      <c r="D604" s="74"/>
    </row>
    <row r="605">
      <c r="B605" s="7"/>
      <c r="C605" s="74"/>
      <c r="D605" s="74"/>
    </row>
    <row r="606">
      <c r="B606" s="7"/>
      <c r="C606" s="74"/>
      <c r="D606" s="74"/>
    </row>
    <row r="607">
      <c r="B607" s="7"/>
      <c r="C607" s="74"/>
      <c r="D607" s="74"/>
    </row>
    <row r="608">
      <c r="B608" s="7"/>
      <c r="C608" s="74"/>
      <c r="D608" s="74"/>
    </row>
    <row r="609">
      <c r="B609" s="7"/>
      <c r="C609" s="74"/>
      <c r="D609" s="74"/>
    </row>
    <row r="610">
      <c r="B610" s="7"/>
      <c r="C610" s="74"/>
      <c r="D610" s="74"/>
    </row>
    <row r="611">
      <c r="B611" s="7"/>
      <c r="C611" s="74"/>
      <c r="D611" s="74"/>
    </row>
    <row r="612">
      <c r="B612" s="7"/>
      <c r="C612" s="74"/>
      <c r="D612" s="74"/>
    </row>
    <row r="613">
      <c r="B613" s="7"/>
      <c r="C613" s="74"/>
      <c r="D613" s="74"/>
    </row>
    <row r="614">
      <c r="B614" s="7"/>
      <c r="C614" s="74"/>
      <c r="D614" s="74"/>
    </row>
    <row r="615">
      <c r="B615" s="7"/>
      <c r="C615" s="74"/>
      <c r="D615" s="74"/>
    </row>
    <row r="616">
      <c r="B616" s="7"/>
      <c r="C616" s="74"/>
      <c r="D616" s="74"/>
    </row>
    <row r="617">
      <c r="B617" s="7"/>
      <c r="C617" s="74"/>
      <c r="D617" s="74"/>
    </row>
    <row r="618">
      <c r="B618" s="7"/>
      <c r="C618" s="74"/>
      <c r="D618" s="74"/>
    </row>
    <row r="619">
      <c r="B619" s="7"/>
      <c r="C619" s="74"/>
      <c r="D619" s="74"/>
    </row>
    <row r="620">
      <c r="B620" s="7"/>
      <c r="C620" s="74"/>
      <c r="D620" s="74"/>
    </row>
    <row r="621">
      <c r="B621" s="7"/>
      <c r="C621" s="74"/>
      <c r="D621" s="74"/>
    </row>
    <row r="622">
      <c r="B622" s="7"/>
      <c r="C622" s="74"/>
      <c r="D622" s="74"/>
    </row>
    <row r="623">
      <c r="B623" s="7"/>
      <c r="C623" s="74"/>
      <c r="D623" s="74"/>
    </row>
    <row r="624">
      <c r="B624" s="7"/>
      <c r="C624" s="74"/>
      <c r="D624" s="74"/>
    </row>
    <row r="625">
      <c r="B625" s="7"/>
      <c r="C625" s="74"/>
      <c r="D625" s="74"/>
    </row>
    <row r="626">
      <c r="B626" s="7"/>
      <c r="C626" s="74"/>
      <c r="D626" s="74"/>
    </row>
    <row r="627">
      <c r="B627" s="7"/>
      <c r="C627" s="74"/>
      <c r="D627" s="74"/>
    </row>
    <row r="628">
      <c r="B628" s="7"/>
      <c r="C628" s="74"/>
      <c r="D628" s="74"/>
    </row>
    <row r="629">
      <c r="B629" s="7"/>
      <c r="C629" s="74"/>
      <c r="D629" s="74"/>
    </row>
    <row r="630">
      <c r="B630" s="7"/>
      <c r="C630" s="74"/>
      <c r="D630" s="74"/>
    </row>
    <row r="631">
      <c r="B631" s="7"/>
      <c r="C631" s="74"/>
      <c r="D631" s="74"/>
    </row>
    <row r="632">
      <c r="B632" s="7"/>
      <c r="C632" s="74"/>
      <c r="D632" s="74"/>
    </row>
    <row r="633">
      <c r="B633" s="7"/>
      <c r="C633" s="74"/>
      <c r="D633" s="74"/>
    </row>
    <row r="634">
      <c r="B634" s="7"/>
      <c r="C634" s="74"/>
      <c r="D634" s="74"/>
    </row>
    <row r="635">
      <c r="B635" s="7"/>
      <c r="C635" s="74"/>
      <c r="D635" s="74"/>
    </row>
    <row r="636">
      <c r="B636" s="7"/>
      <c r="C636" s="74"/>
      <c r="D636" s="74"/>
    </row>
    <row r="637">
      <c r="B637" s="7"/>
      <c r="C637" s="74"/>
      <c r="D637" s="74"/>
    </row>
    <row r="638">
      <c r="B638" s="7"/>
      <c r="C638" s="74"/>
      <c r="D638" s="74"/>
    </row>
    <row r="639">
      <c r="B639" s="7"/>
      <c r="C639" s="74"/>
      <c r="D639" s="74"/>
    </row>
    <row r="640">
      <c r="B640" s="7"/>
      <c r="C640" s="74"/>
      <c r="D640" s="74"/>
    </row>
    <row r="641">
      <c r="B641" s="7"/>
      <c r="C641" s="74"/>
      <c r="D641" s="74"/>
    </row>
    <row r="642">
      <c r="B642" s="7"/>
      <c r="C642" s="74"/>
      <c r="D642" s="74"/>
    </row>
    <row r="643">
      <c r="B643" s="7"/>
      <c r="C643" s="74"/>
      <c r="D643" s="74"/>
    </row>
    <row r="644">
      <c r="B644" s="7"/>
      <c r="C644" s="74"/>
      <c r="D644" s="74"/>
    </row>
    <row r="645">
      <c r="B645" s="7"/>
      <c r="C645" s="74"/>
      <c r="D645" s="74"/>
    </row>
    <row r="646">
      <c r="B646" s="7"/>
      <c r="C646" s="74"/>
      <c r="D646" s="74"/>
    </row>
    <row r="647">
      <c r="B647" s="7"/>
      <c r="C647" s="74"/>
      <c r="D647" s="74"/>
    </row>
    <row r="648">
      <c r="B648" s="7"/>
      <c r="C648" s="74"/>
      <c r="D648" s="74"/>
    </row>
    <row r="649">
      <c r="B649" s="7"/>
      <c r="C649" s="74"/>
      <c r="D649" s="74"/>
    </row>
    <row r="650">
      <c r="B650" s="7"/>
      <c r="C650" s="74"/>
      <c r="D650" s="74"/>
    </row>
    <row r="651">
      <c r="B651" s="7"/>
      <c r="C651" s="74"/>
      <c r="D651" s="74"/>
    </row>
    <row r="652">
      <c r="B652" s="7"/>
      <c r="C652" s="74"/>
      <c r="D652" s="74"/>
    </row>
    <row r="653">
      <c r="B653" s="7"/>
      <c r="C653" s="74"/>
      <c r="D653" s="74"/>
    </row>
    <row r="654">
      <c r="B654" s="7"/>
      <c r="C654" s="74"/>
      <c r="D654" s="74"/>
    </row>
    <row r="655">
      <c r="B655" s="7"/>
      <c r="C655" s="74"/>
      <c r="D655" s="74"/>
    </row>
    <row r="656">
      <c r="B656" s="7"/>
      <c r="C656" s="74"/>
      <c r="D656" s="74"/>
    </row>
    <row r="657">
      <c r="B657" s="7"/>
      <c r="C657" s="74"/>
      <c r="D657" s="74"/>
    </row>
    <row r="658">
      <c r="B658" s="7"/>
      <c r="C658" s="74"/>
      <c r="D658" s="74"/>
    </row>
    <row r="659">
      <c r="B659" s="7"/>
      <c r="C659" s="74"/>
      <c r="D659" s="74"/>
    </row>
    <row r="660">
      <c r="B660" s="7"/>
      <c r="C660" s="74"/>
      <c r="D660" s="74"/>
    </row>
    <row r="661">
      <c r="B661" s="7"/>
      <c r="C661" s="74"/>
      <c r="D661" s="74"/>
    </row>
    <row r="662">
      <c r="B662" s="7"/>
      <c r="C662" s="74"/>
      <c r="D662" s="74"/>
    </row>
    <row r="663">
      <c r="B663" s="7"/>
      <c r="C663" s="74"/>
      <c r="D663" s="74"/>
    </row>
    <row r="664">
      <c r="B664" s="7"/>
      <c r="C664" s="74"/>
      <c r="D664" s="74"/>
    </row>
    <row r="665">
      <c r="B665" s="7"/>
      <c r="C665" s="74"/>
      <c r="D665" s="74"/>
    </row>
    <row r="666">
      <c r="B666" s="7"/>
      <c r="C666" s="74"/>
      <c r="D666" s="74"/>
    </row>
    <row r="667">
      <c r="B667" s="7"/>
      <c r="C667" s="74"/>
      <c r="D667" s="74"/>
    </row>
    <row r="668">
      <c r="B668" s="7"/>
      <c r="C668" s="74"/>
      <c r="D668" s="74"/>
    </row>
    <row r="669">
      <c r="B669" s="7"/>
      <c r="C669" s="74"/>
      <c r="D669" s="74"/>
    </row>
    <row r="670">
      <c r="B670" s="7"/>
      <c r="C670" s="74"/>
      <c r="D670" s="74"/>
    </row>
    <row r="671">
      <c r="B671" s="7"/>
      <c r="C671" s="74"/>
      <c r="D671" s="74"/>
    </row>
    <row r="672">
      <c r="B672" s="7"/>
      <c r="C672" s="74"/>
      <c r="D672" s="74"/>
    </row>
    <row r="673">
      <c r="B673" s="7"/>
      <c r="C673" s="74"/>
      <c r="D673" s="74"/>
    </row>
    <row r="674">
      <c r="B674" s="7"/>
      <c r="C674" s="74"/>
      <c r="D674" s="74"/>
    </row>
    <row r="675">
      <c r="B675" s="7"/>
      <c r="C675" s="74"/>
      <c r="D675" s="74"/>
    </row>
    <row r="676">
      <c r="B676" s="7"/>
      <c r="C676" s="74"/>
      <c r="D676" s="74"/>
    </row>
    <row r="677">
      <c r="B677" s="7"/>
      <c r="C677" s="74"/>
      <c r="D677" s="74"/>
    </row>
    <row r="678">
      <c r="B678" s="7"/>
      <c r="C678" s="74"/>
      <c r="D678" s="74"/>
    </row>
    <row r="679">
      <c r="B679" s="7"/>
      <c r="C679" s="74"/>
      <c r="D679" s="74"/>
    </row>
    <row r="680">
      <c r="B680" s="7"/>
      <c r="C680" s="74"/>
      <c r="D680" s="74"/>
    </row>
    <row r="681">
      <c r="B681" s="7"/>
      <c r="C681" s="74"/>
      <c r="D681" s="74"/>
    </row>
    <row r="682">
      <c r="B682" s="7"/>
      <c r="C682" s="74"/>
      <c r="D682" s="74"/>
    </row>
    <row r="683">
      <c r="B683" s="7"/>
      <c r="C683" s="74"/>
      <c r="D683" s="74"/>
    </row>
    <row r="684">
      <c r="B684" s="7"/>
      <c r="C684" s="74"/>
      <c r="D684" s="74"/>
    </row>
    <row r="685">
      <c r="B685" s="7"/>
      <c r="C685" s="74"/>
      <c r="D685" s="74"/>
    </row>
    <row r="686">
      <c r="B686" s="7"/>
      <c r="C686" s="74"/>
      <c r="D686" s="74"/>
    </row>
    <row r="687">
      <c r="B687" s="7"/>
      <c r="C687" s="74"/>
      <c r="D687" s="74"/>
    </row>
    <row r="688">
      <c r="B688" s="7"/>
      <c r="C688" s="74"/>
      <c r="D688" s="74"/>
    </row>
    <row r="689">
      <c r="B689" s="7"/>
      <c r="C689" s="74"/>
      <c r="D689" s="74"/>
    </row>
    <row r="690">
      <c r="B690" s="7"/>
      <c r="C690" s="74"/>
      <c r="D690" s="74"/>
    </row>
    <row r="691">
      <c r="B691" s="7"/>
      <c r="C691" s="74"/>
      <c r="D691" s="74"/>
    </row>
    <row r="692">
      <c r="B692" s="7"/>
      <c r="C692" s="74"/>
      <c r="D692" s="74"/>
    </row>
    <row r="693">
      <c r="B693" s="7"/>
      <c r="C693" s="74"/>
      <c r="D693" s="74"/>
    </row>
    <row r="694">
      <c r="B694" s="7"/>
      <c r="C694" s="74"/>
      <c r="D694" s="74"/>
    </row>
    <row r="695">
      <c r="B695" s="7"/>
      <c r="C695" s="74"/>
      <c r="D695" s="74"/>
    </row>
    <row r="696">
      <c r="B696" s="7"/>
      <c r="C696" s="74"/>
      <c r="D696" s="74"/>
    </row>
    <row r="697">
      <c r="B697" s="7"/>
      <c r="C697" s="74"/>
      <c r="D697" s="74"/>
    </row>
    <row r="698">
      <c r="B698" s="7"/>
      <c r="C698" s="74"/>
      <c r="D698" s="74"/>
    </row>
    <row r="699">
      <c r="B699" s="7"/>
      <c r="C699" s="74"/>
      <c r="D699" s="74"/>
    </row>
    <row r="700">
      <c r="B700" s="7"/>
      <c r="C700" s="74"/>
      <c r="D700" s="74"/>
    </row>
    <row r="701">
      <c r="B701" s="7"/>
      <c r="C701" s="74"/>
      <c r="D701" s="74"/>
    </row>
    <row r="702">
      <c r="B702" s="7"/>
      <c r="C702" s="74"/>
      <c r="D702" s="74"/>
    </row>
    <row r="703">
      <c r="B703" s="7"/>
      <c r="C703" s="74"/>
      <c r="D703" s="74"/>
    </row>
    <row r="704">
      <c r="B704" s="7"/>
      <c r="C704" s="74"/>
      <c r="D704" s="74"/>
    </row>
    <row r="705">
      <c r="B705" s="7"/>
      <c r="C705" s="74"/>
      <c r="D705" s="74"/>
    </row>
    <row r="706">
      <c r="B706" s="7"/>
      <c r="C706" s="74"/>
      <c r="D706" s="74"/>
    </row>
    <row r="707">
      <c r="B707" s="7"/>
      <c r="C707" s="74"/>
      <c r="D707" s="74"/>
    </row>
    <row r="708">
      <c r="B708" s="7"/>
      <c r="C708" s="74"/>
      <c r="D708" s="74"/>
    </row>
    <row r="709">
      <c r="B709" s="7"/>
      <c r="C709" s="74"/>
      <c r="D709" s="74"/>
    </row>
    <row r="710">
      <c r="B710" s="7"/>
      <c r="C710" s="74"/>
      <c r="D710" s="74"/>
    </row>
    <row r="711">
      <c r="B711" s="7"/>
      <c r="C711" s="74"/>
      <c r="D711" s="74"/>
    </row>
    <row r="712">
      <c r="B712" s="7"/>
      <c r="C712" s="74"/>
      <c r="D712" s="74"/>
    </row>
    <row r="713">
      <c r="B713" s="7"/>
      <c r="C713" s="74"/>
      <c r="D713" s="74"/>
    </row>
    <row r="714">
      <c r="B714" s="7"/>
      <c r="C714" s="74"/>
      <c r="D714" s="74"/>
    </row>
    <row r="715">
      <c r="B715" s="7"/>
      <c r="C715" s="74"/>
      <c r="D715" s="74"/>
    </row>
    <row r="716">
      <c r="B716" s="7"/>
      <c r="C716" s="74"/>
      <c r="D716" s="74"/>
    </row>
    <row r="717">
      <c r="B717" s="7"/>
      <c r="C717" s="74"/>
      <c r="D717" s="74"/>
    </row>
    <row r="718">
      <c r="B718" s="7"/>
      <c r="C718" s="74"/>
      <c r="D718" s="74"/>
    </row>
    <row r="719">
      <c r="B719" s="7"/>
      <c r="C719" s="74"/>
      <c r="D719" s="74"/>
    </row>
    <row r="720">
      <c r="B720" s="7"/>
      <c r="C720" s="74"/>
      <c r="D720" s="74"/>
    </row>
    <row r="721">
      <c r="B721" s="7"/>
      <c r="C721" s="74"/>
      <c r="D721" s="74"/>
    </row>
    <row r="722">
      <c r="B722" s="7"/>
      <c r="C722" s="74"/>
      <c r="D722" s="74"/>
    </row>
    <row r="723">
      <c r="B723" s="7"/>
      <c r="C723" s="74"/>
      <c r="D723" s="74"/>
    </row>
    <row r="724">
      <c r="B724" s="7"/>
      <c r="C724" s="74"/>
      <c r="D724" s="74"/>
    </row>
    <row r="725">
      <c r="B725" s="7"/>
      <c r="C725" s="74"/>
      <c r="D725" s="74"/>
    </row>
    <row r="726">
      <c r="B726" s="7"/>
      <c r="C726" s="74"/>
      <c r="D726" s="74"/>
    </row>
    <row r="727">
      <c r="B727" s="7"/>
      <c r="C727" s="74"/>
      <c r="D727" s="74"/>
    </row>
    <row r="728">
      <c r="B728" s="7"/>
      <c r="C728" s="74"/>
      <c r="D728" s="74"/>
    </row>
    <row r="729">
      <c r="B729" s="7"/>
      <c r="C729" s="74"/>
      <c r="D729" s="74"/>
    </row>
    <row r="730">
      <c r="B730" s="7"/>
      <c r="C730" s="74"/>
      <c r="D730" s="74"/>
    </row>
    <row r="731">
      <c r="B731" s="7"/>
      <c r="C731" s="74"/>
      <c r="D731" s="74"/>
    </row>
    <row r="732">
      <c r="B732" s="7"/>
      <c r="C732" s="74"/>
      <c r="D732" s="74"/>
    </row>
    <row r="733">
      <c r="B733" s="7"/>
      <c r="C733" s="74"/>
      <c r="D733" s="74"/>
    </row>
    <row r="734">
      <c r="B734" s="7"/>
      <c r="C734" s="74"/>
      <c r="D734" s="74"/>
    </row>
    <row r="735">
      <c r="B735" s="7"/>
      <c r="C735" s="74"/>
      <c r="D735" s="74"/>
    </row>
    <row r="736">
      <c r="B736" s="7"/>
      <c r="C736" s="74"/>
      <c r="D736" s="74"/>
    </row>
    <row r="737">
      <c r="B737" s="7"/>
      <c r="C737" s="74"/>
      <c r="D737" s="74"/>
    </row>
    <row r="738">
      <c r="B738" s="7"/>
      <c r="C738" s="74"/>
      <c r="D738" s="74"/>
    </row>
    <row r="739">
      <c r="B739" s="7"/>
      <c r="C739" s="74"/>
      <c r="D739" s="74"/>
    </row>
    <row r="740">
      <c r="B740" s="7"/>
      <c r="C740" s="74"/>
      <c r="D740" s="74"/>
    </row>
    <row r="741">
      <c r="B741" s="7"/>
      <c r="C741" s="74"/>
      <c r="D741" s="74"/>
    </row>
    <row r="742">
      <c r="B742" s="7"/>
      <c r="C742" s="74"/>
      <c r="D742" s="74"/>
    </row>
    <row r="743">
      <c r="B743" s="7"/>
      <c r="C743" s="74"/>
      <c r="D743" s="74"/>
    </row>
    <row r="744">
      <c r="B744" s="7"/>
      <c r="C744" s="74"/>
      <c r="D744" s="74"/>
    </row>
    <row r="745">
      <c r="B745" s="7"/>
      <c r="C745" s="74"/>
      <c r="D745" s="74"/>
    </row>
    <row r="746">
      <c r="B746" s="7"/>
      <c r="C746" s="74"/>
      <c r="D746" s="74"/>
    </row>
    <row r="747">
      <c r="B747" s="7"/>
      <c r="C747" s="74"/>
      <c r="D747" s="74"/>
    </row>
    <row r="748">
      <c r="B748" s="7"/>
      <c r="C748" s="74"/>
      <c r="D748" s="74"/>
    </row>
    <row r="749">
      <c r="B749" s="7"/>
      <c r="C749" s="74"/>
      <c r="D749" s="74"/>
    </row>
    <row r="750">
      <c r="B750" s="7"/>
      <c r="C750" s="74"/>
      <c r="D750" s="74"/>
    </row>
    <row r="751">
      <c r="B751" s="7"/>
      <c r="C751" s="74"/>
      <c r="D751" s="74"/>
    </row>
    <row r="752">
      <c r="B752" s="7"/>
      <c r="C752" s="74"/>
      <c r="D752" s="74"/>
    </row>
    <row r="753">
      <c r="B753" s="7"/>
      <c r="C753" s="74"/>
      <c r="D753" s="74"/>
    </row>
    <row r="754">
      <c r="B754" s="7"/>
      <c r="C754" s="74"/>
      <c r="D754" s="74"/>
    </row>
    <row r="755">
      <c r="B755" s="7"/>
      <c r="C755" s="74"/>
      <c r="D755" s="74"/>
    </row>
    <row r="756">
      <c r="B756" s="7"/>
      <c r="C756" s="74"/>
      <c r="D756" s="74"/>
    </row>
    <row r="757">
      <c r="B757" s="7"/>
      <c r="C757" s="74"/>
      <c r="D757" s="74"/>
    </row>
    <row r="758">
      <c r="B758" s="7"/>
      <c r="C758" s="74"/>
      <c r="D758" s="74"/>
    </row>
    <row r="759">
      <c r="B759" s="7"/>
      <c r="C759" s="74"/>
      <c r="D759" s="74"/>
    </row>
    <row r="760">
      <c r="B760" s="7"/>
      <c r="C760" s="74"/>
      <c r="D760" s="74"/>
    </row>
    <row r="761">
      <c r="B761" s="7"/>
      <c r="C761" s="74"/>
      <c r="D761" s="74"/>
    </row>
    <row r="762">
      <c r="B762" s="7"/>
      <c r="C762" s="74"/>
      <c r="D762" s="74"/>
    </row>
    <row r="763">
      <c r="B763" s="7"/>
      <c r="C763" s="74"/>
      <c r="D763" s="74"/>
    </row>
    <row r="764">
      <c r="B764" s="7"/>
      <c r="C764" s="74"/>
      <c r="D764" s="74"/>
    </row>
    <row r="765">
      <c r="B765" s="7"/>
      <c r="C765" s="74"/>
      <c r="D765" s="74"/>
    </row>
    <row r="766">
      <c r="B766" s="7"/>
      <c r="C766" s="74"/>
      <c r="D766" s="74"/>
    </row>
    <row r="767">
      <c r="B767" s="7"/>
      <c r="C767" s="74"/>
      <c r="D767" s="74"/>
    </row>
    <row r="768">
      <c r="B768" s="7"/>
      <c r="C768" s="74"/>
      <c r="D768" s="74"/>
    </row>
    <row r="769">
      <c r="B769" s="7"/>
      <c r="C769" s="74"/>
      <c r="D769" s="74"/>
    </row>
    <row r="770">
      <c r="B770" s="7"/>
      <c r="C770" s="74"/>
      <c r="D770" s="74"/>
    </row>
    <row r="771">
      <c r="B771" s="7"/>
      <c r="C771" s="74"/>
      <c r="D771" s="74"/>
    </row>
    <row r="772">
      <c r="B772" s="7"/>
      <c r="C772" s="74"/>
      <c r="D772" s="74"/>
    </row>
    <row r="773">
      <c r="B773" s="7"/>
      <c r="C773" s="74"/>
      <c r="D773" s="74"/>
    </row>
    <row r="774">
      <c r="B774" s="7"/>
      <c r="C774" s="74"/>
      <c r="D774" s="74"/>
    </row>
    <row r="775">
      <c r="B775" s="7"/>
      <c r="C775" s="74"/>
      <c r="D775" s="74"/>
    </row>
    <row r="776">
      <c r="B776" s="7"/>
      <c r="C776" s="74"/>
      <c r="D776" s="74"/>
    </row>
    <row r="777">
      <c r="B777" s="7"/>
      <c r="C777" s="74"/>
      <c r="D777" s="74"/>
    </row>
    <row r="778">
      <c r="B778" s="7"/>
      <c r="C778" s="74"/>
      <c r="D778" s="74"/>
    </row>
    <row r="779">
      <c r="B779" s="7"/>
      <c r="C779" s="74"/>
      <c r="D779" s="74"/>
    </row>
    <row r="780">
      <c r="B780" s="7"/>
      <c r="C780" s="74"/>
      <c r="D780" s="74"/>
    </row>
    <row r="781">
      <c r="B781" s="7"/>
      <c r="C781" s="74"/>
      <c r="D781" s="74"/>
    </row>
    <row r="782">
      <c r="B782" s="7"/>
      <c r="C782" s="74"/>
      <c r="D782" s="74"/>
    </row>
    <row r="783">
      <c r="B783" s="7"/>
      <c r="C783" s="74"/>
      <c r="D783" s="74"/>
    </row>
    <row r="784">
      <c r="B784" s="7"/>
      <c r="C784" s="74"/>
      <c r="D784" s="74"/>
    </row>
    <row r="785">
      <c r="B785" s="7"/>
      <c r="C785" s="74"/>
      <c r="D785" s="74"/>
    </row>
    <row r="786">
      <c r="B786" s="7"/>
      <c r="C786" s="74"/>
      <c r="D786" s="74"/>
    </row>
    <row r="787">
      <c r="B787" s="7"/>
      <c r="C787" s="74"/>
      <c r="D787" s="74"/>
    </row>
    <row r="788">
      <c r="B788" s="7"/>
      <c r="C788" s="74"/>
      <c r="D788" s="74"/>
    </row>
    <row r="789">
      <c r="B789" s="7"/>
      <c r="C789" s="74"/>
      <c r="D789" s="74"/>
    </row>
    <row r="790">
      <c r="B790" s="7"/>
      <c r="C790" s="74"/>
      <c r="D790" s="74"/>
    </row>
    <row r="791">
      <c r="B791" s="7"/>
      <c r="C791" s="74"/>
      <c r="D791" s="74"/>
    </row>
    <row r="792">
      <c r="B792" s="7"/>
      <c r="C792" s="74"/>
      <c r="D792" s="74"/>
    </row>
    <row r="793">
      <c r="B793" s="7"/>
      <c r="C793" s="74"/>
      <c r="D793" s="74"/>
    </row>
    <row r="794">
      <c r="B794" s="7"/>
      <c r="C794" s="74"/>
      <c r="D794" s="74"/>
    </row>
    <row r="795">
      <c r="B795" s="7"/>
      <c r="C795" s="74"/>
      <c r="D795" s="74"/>
    </row>
    <row r="796">
      <c r="B796" s="7"/>
      <c r="C796" s="74"/>
      <c r="D796" s="74"/>
    </row>
    <row r="797">
      <c r="B797" s="7"/>
      <c r="C797" s="74"/>
      <c r="D797" s="74"/>
    </row>
    <row r="798">
      <c r="B798" s="7"/>
      <c r="C798" s="74"/>
      <c r="D798" s="74"/>
    </row>
    <row r="799">
      <c r="B799" s="7"/>
      <c r="C799" s="74"/>
      <c r="D799" s="74"/>
    </row>
    <row r="800">
      <c r="B800" s="7"/>
      <c r="C800" s="74"/>
      <c r="D800" s="74"/>
    </row>
    <row r="801">
      <c r="B801" s="7"/>
      <c r="C801" s="74"/>
      <c r="D801" s="74"/>
    </row>
    <row r="802">
      <c r="B802" s="7"/>
      <c r="C802" s="74"/>
      <c r="D802" s="74"/>
    </row>
    <row r="803">
      <c r="B803" s="7"/>
      <c r="C803" s="74"/>
      <c r="D803" s="74"/>
    </row>
    <row r="804">
      <c r="B804" s="7"/>
      <c r="C804" s="74"/>
      <c r="D804" s="74"/>
    </row>
    <row r="805">
      <c r="B805" s="7"/>
      <c r="C805" s="74"/>
      <c r="D805" s="74"/>
    </row>
    <row r="806">
      <c r="B806" s="7"/>
      <c r="C806" s="74"/>
      <c r="D806" s="74"/>
    </row>
    <row r="807">
      <c r="B807" s="7"/>
      <c r="C807" s="74"/>
      <c r="D807" s="74"/>
    </row>
    <row r="808">
      <c r="B808" s="7"/>
      <c r="C808" s="74"/>
      <c r="D808" s="74"/>
    </row>
    <row r="809">
      <c r="B809" s="7"/>
      <c r="C809" s="74"/>
      <c r="D809" s="74"/>
    </row>
    <row r="810">
      <c r="B810" s="7"/>
      <c r="C810" s="74"/>
      <c r="D810" s="74"/>
    </row>
    <row r="811">
      <c r="B811" s="7"/>
      <c r="C811" s="74"/>
      <c r="D811" s="74"/>
    </row>
    <row r="812">
      <c r="B812" s="7"/>
      <c r="C812" s="74"/>
      <c r="D812" s="74"/>
    </row>
    <row r="813">
      <c r="B813" s="7"/>
      <c r="C813" s="74"/>
      <c r="D813" s="74"/>
    </row>
    <row r="814">
      <c r="B814" s="7"/>
      <c r="C814" s="74"/>
      <c r="D814" s="74"/>
    </row>
    <row r="815">
      <c r="B815" s="7"/>
      <c r="C815" s="74"/>
      <c r="D815" s="74"/>
    </row>
    <row r="816">
      <c r="B816" s="7"/>
      <c r="C816" s="74"/>
      <c r="D816" s="74"/>
    </row>
    <row r="817">
      <c r="B817" s="7"/>
      <c r="C817" s="74"/>
      <c r="D817" s="74"/>
    </row>
    <row r="818">
      <c r="B818" s="7"/>
      <c r="C818" s="74"/>
      <c r="D818" s="74"/>
    </row>
    <row r="819">
      <c r="B819" s="7"/>
      <c r="C819" s="74"/>
      <c r="D819" s="74"/>
    </row>
    <row r="820">
      <c r="B820" s="7"/>
      <c r="C820" s="74"/>
      <c r="D820" s="74"/>
    </row>
    <row r="821">
      <c r="B821" s="7"/>
      <c r="C821" s="74"/>
      <c r="D821" s="74"/>
    </row>
    <row r="822">
      <c r="B822" s="7"/>
      <c r="C822" s="74"/>
      <c r="D822" s="74"/>
    </row>
    <row r="823">
      <c r="B823" s="7"/>
      <c r="C823" s="74"/>
      <c r="D823" s="74"/>
    </row>
    <row r="824">
      <c r="B824" s="7"/>
      <c r="C824" s="74"/>
      <c r="D824" s="74"/>
    </row>
    <row r="825">
      <c r="B825" s="7"/>
      <c r="C825" s="74"/>
      <c r="D825" s="74"/>
    </row>
    <row r="826">
      <c r="B826" s="7"/>
      <c r="C826" s="74"/>
      <c r="D826" s="74"/>
    </row>
    <row r="827">
      <c r="B827" s="7"/>
      <c r="C827" s="74"/>
      <c r="D827" s="74"/>
    </row>
    <row r="828">
      <c r="B828" s="7"/>
      <c r="C828" s="74"/>
      <c r="D828" s="74"/>
    </row>
    <row r="829">
      <c r="B829" s="7"/>
      <c r="C829" s="74"/>
      <c r="D829" s="74"/>
    </row>
    <row r="830">
      <c r="B830" s="7"/>
      <c r="C830" s="74"/>
      <c r="D830" s="74"/>
    </row>
    <row r="831">
      <c r="B831" s="7"/>
      <c r="C831" s="74"/>
      <c r="D831" s="74"/>
    </row>
    <row r="832">
      <c r="B832" s="7"/>
      <c r="C832" s="74"/>
      <c r="D832" s="74"/>
    </row>
    <row r="833">
      <c r="B833" s="7"/>
      <c r="C833" s="74"/>
      <c r="D833" s="74"/>
    </row>
    <row r="834">
      <c r="B834" s="7"/>
      <c r="C834" s="74"/>
      <c r="D834" s="74"/>
    </row>
    <row r="835">
      <c r="B835" s="7"/>
      <c r="C835" s="74"/>
      <c r="D835" s="74"/>
    </row>
    <row r="836">
      <c r="B836" s="7"/>
      <c r="C836" s="74"/>
      <c r="D836" s="74"/>
    </row>
    <row r="837">
      <c r="B837" s="7"/>
      <c r="C837" s="74"/>
      <c r="D837" s="74"/>
    </row>
    <row r="838">
      <c r="B838" s="7"/>
      <c r="C838" s="74"/>
      <c r="D838" s="74"/>
    </row>
    <row r="839">
      <c r="B839" s="7"/>
      <c r="C839" s="74"/>
      <c r="D839" s="74"/>
    </row>
    <row r="840">
      <c r="B840" s="7"/>
      <c r="C840" s="74"/>
      <c r="D840" s="74"/>
    </row>
    <row r="841">
      <c r="B841" s="7"/>
      <c r="C841" s="74"/>
      <c r="D841" s="74"/>
    </row>
    <row r="842">
      <c r="B842" s="7"/>
      <c r="C842" s="74"/>
      <c r="D842" s="74"/>
    </row>
    <row r="843">
      <c r="B843" s="7"/>
      <c r="C843" s="74"/>
      <c r="D843" s="74"/>
    </row>
    <row r="844">
      <c r="B844" s="7"/>
      <c r="C844" s="74"/>
      <c r="D844" s="74"/>
    </row>
    <row r="845">
      <c r="B845" s="7"/>
      <c r="C845" s="74"/>
      <c r="D845" s="74"/>
    </row>
    <row r="846">
      <c r="B846" s="7"/>
      <c r="C846" s="74"/>
      <c r="D846" s="74"/>
    </row>
    <row r="847">
      <c r="B847" s="7"/>
      <c r="C847" s="74"/>
      <c r="D847" s="74"/>
    </row>
    <row r="848">
      <c r="B848" s="7"/>
      <c r="C848" s="74"/>
      <c r="D848" s="74"/>
    </row>
    <row r="849">
      <c r="B849" s="7"/>
      <c r="C849" s="74"/>
      <c r="D849" s="74"/>
    </row>
    <row r="850">
      <c r="B850" s="7"/>
      <c r="C850" s="74"/>
      <c r="D850" s="74"/>
    </row>
    <row r="851">
      <c r="B851" s="7"/>
      <c r="C851" s="74"/>
      <c r="D851" s="74"/>
    </row>
    <row r="852">
      <c r="B852" s="7"/>
      <c r="C852" s="74"/>
      <c r="D852" s="74"/>
    </row>
    <row r="853">
      <c r="B853" s="7"/>
      <c r="C853" s="74"/>
      <c r="D853" s="74"/>
    </row>
    <row r="854">
      <c r="B854" s="7"/>
      <c r="C854" s="74"/>
      <c r="D854" s="74"/>
    </row>
    <row r="855">
      <c r="B855" s="7"/>
      <c r="C855" s="74"/>
      <c r="D855" s="74"/>
    </row>
    <row r="856">
      <c r="B856" s="7"/>
      <c r="C856" s="74"/>
      <c r="D856" s="74"/>
    </row>
    <row r="857">
      <c r="B857" s="7"/>
      <c r="C857" s="74"/>
      <c r="D857" s="74"/>
    </row>
    <row r="858">
      <c r="B858" s="7"/>
      <c r="C858" s="74"/>
      <c r="D858" s="74"/>
    </row>
    <row r="859">
      <c r="B859" s="7"/>
      <c r="C859" s="74"/>
      <c r="D859" s="74"/>
    </row>
    <row r="860">
      <c r="B860" s="7"/>
      <c r="C860" s="74"/>
      <c r="D860" s="74"/>
    </row>
    <row r="861">
      <c r="B861" s="7"/>
      <c r="C861" s="74"/>
      <c r="D861" s="74"/>
    </row>
    <row r="862">
      <c r="B862" s="7"/>
      <c r="C862" s="74"/>
      <c r="D862" s="74"/>
    </row>
    <row r="863">
      <c r="B863" s="7"/>
      <c r="C863" s="74"/>
      <c r="D863" s="74"/>
    </row>
    <row r="864">
      <c r="B864" s="7"/>
      <c r="C864" s="74"/>
      <c r="D864" s="74"/>
    </row>
    <row r="865">
      <c r="B865" s="7"/>
      <c r="C865" s="74"/>
      <c r="D865" s="74"/>
    </row>
    <row r="866">
      <c r="B866" s="7"/>
      <c r="C866" s="74"/>
      <c r="D866" s="74"/>
    </row>
    <row r="867">
      <c r="B867" s="7"/>
      <c r="C867" s="74"/>
      <c r="D867" s="74"/>
    </row>
    <row r="868">
      <c r="B868" s="7"/>
      <c r="C868" s="74"/>
      <c r="D868" s="74"/>
    </row>
    <row r="869">
      <c r="B869" s="7"/>
      <c r="C869" s="74"/>
      <c r="D869" s="74"/>
    </row>
    <row r="870">
      <c r="B870" s="7"/>
      <c r="C870" s="74"/>
      <c r="D870" s="74"/>
    </row>
    <row r="871">
      <c r="B871" s="7"/>
      <c r="C871" s="74"/>
      <c r="D871" s="74"/>
    </row>
    <row r="872">
      <c r="B872" s="7"/>
      <c r="C872" s="74"/>
      <c r="D872" s="74"/>
    </row>
    <row r="873">
      <c r="B873" s="7"/>
      <c r="C873" s="74"/>
      <c r="D873" s="74"/>
    </row>
    <row r="874">
      <c r="B874" s="7"/>
      <c r="C874" s="74"/>
      <c r="D874" s="74"/>
    </row>
    <row r="875">
      <c r="B875" s="7"/>
      <c r="C875" s="74"/>
      <c r="D875" s="74"/>
    </row>
    <row r="876">
      <c r="B876" s="7"/>
      <c r="C876" s="74"/>
      <c r="D876" s="74"/>
    </row>
    <row r="877">
      <c r="B877" s="7"/>
      <c r="C877" s="74"/>
      <c r="D877" s="74"/>
    </row>
    <row r="878">
      <c r="B878" s="7"/>
      <c r="C878" s="74"/>
      <c r="D878" s="74"/>
    </row>
    <row r="879">
      <c r="B879" s="7"/>
      <c r="C879" s="74"/>
      <c r="D879" s="74"/>
    </row>
    <row r="880">
      <c r="B880" s="7"/>
      <c r="C880" s="74"/>
      <c r="D880" s="74"/>
    </row>
    <row r="881">
      <c r="B881" s="7"/>
      <c r="C881" s="74"/>
      <c r="D881" s="74"/>
    </row>
    <row r="882">
      <c r="B882" s="7"/>
      <c r="C882" s="74"/>
      <c r="D882" s="74"/>
    </row>
    <row r="883">
      <c r="B883" s="7"/>
      <c r="C883" s="74"/>
      <c r="D883" s="74"/>
    </row>
    <row r="884">
      <c r="B884" s="7"/>
      <c r="C884" s="74"/>
      <c r="D884" s="74"/>
    </row>
    <row r="885">
      <c r="B885" s="7"/>
      <c r="C885" s="74"/>
      <c r="D885" s="74"/>
    </row>
    <row r="886">
      <c r="B886" s="7"/>
      <c r="C886" s="74"/>
      <c r="D886" s="74"/>
    </row>
    <row r="887">
      <c r="B887" s="7"/>
      <c r="C887" s="74"/>
      <c r="D887" s="74"/>
    </row>
    <row r="888">
      <c r="B888" s="7"/>
      <c r="C888" s="74"/>
      <c r="D888" s="74"/>
    </row>
    <row r="889">
      <c r="B889" s="7"/>
      <c r="C889" s="74"/>
      <c r="D889" s="74"/>
    </row>
    <row r="890">
      <c r="B890" s="7"/>
      <c r="C890" s="74"/>
      <c r="D890" s="74"/>
    </row>
    <row r="891">
      <c r="B891" s="7"/>
      <c r="C891" s="74"/>
      <c r="D891" s="74"/>
    </row>
    <row r="892">
      <c r="B892" s="7"/>
      <c r="C892" s="74"/>
      <c r="D892" s="74"/>
    </row>
    <row r="893">
      <c r="B893" s="7"/>
      <c r="C893" s="74"/>
      <c r="D893" s="74"/>
    </row>
    <row r="894">
      <c r="B894" s="7"/>
      <c r="C894" s="74"/>
      <c r="D894" s="74"/>
    </row>
    <row r="895">
      <c r="B895" s="7"/>
      <c r="C895" s="74"/>
      <c r="D895" s="74"/>
    </row>
    <row r="896">
      <c r="B896" s="7"/>
      <c r="C896" s="74"/>
      <c r="D896" s="74"/>
    </row>
    <row r="897">
      <c r="B897" s="7"/>
      <c r="C897" s="74"/>
      <c r="D897" s="74"/>
    </row>
    <row r="898">
      <c r="B898" s="7"/>
      <c r="C898" s="74"/>
      <c r="D898" s="74"/>
    </row>
    <row r="899">
      <c r="B899" s="7"/>
      <c r="C899" s="74"/>
      <c r="D899" s="74"/>
    </row>
    <row r="900">
      <c r="B900" s="7"/>
      <c r="C900" s="74"/>
      <c r="D900" s="74"/>
    </row>
    <row r="901">
      <c r="B901" s="7"/>
      <c r="C901" s="74"/>
      <c r="D901" s="74"/>
    </row>
    <row r="902">
      <c r="B902" s="7"/>
      <c r="C902" s="74"/>
      <c r="D902" s="74"/>
    </row>
    <row r="903">
      <c r="B903" s="7"/>
      <c r="C903" s="74"/>
      <c r="D903" s="74"/>
    </row>
    <row r="904">
      <c r="B904" s="7"/>
      <c r="C904" s="74"/>
      <c r="D904" s="74"/>
    </row>
    <row r="905">
      <c r="B905" s="7"/>
      <c r="C905" s="74"/>
      <c r="D905" s="74"/>
    </row>
    <row r="906">
      <c r="B906" s="7"/>
      <c r="C906" s="74"/>
      <c r="D906" s="74"/>
    </row>
    <row r="907">
      <c r="B907" s="7"/>
      <c r="C907" s="74"/>
      <c r="D907" s="74"/>
    </row>
    <row r="908">
      <c r="B908" s="7"/>
      <c r="C908" s="74"/>
      <c r="D908" s="74"/>
    </row>
    <row r="909">
      <c r="B909" s="7"/>
      <c r="C909" s="74"/>
      <c r="D909" s="74"/>
    </row>
    <row r="910">
      <c r="B910" s="7"/>
      <c r="C910" s="74"/>
      <c r="D910" s="74"/>
    </row>
    <row r="911">
      <c r="B911" s="7"/>
      <c r="C911" s="74"/>
      <c r="D911" s="74"/>
    </row>
    <row r="912">
      <c r="B912" s="7"/>
      <c r="C912" s="74"/>
      <c r="D912" s="74"/>
    </row>
    <row r="913">
      <c r="B913" s="7"/>
      <c r="C913" s="74"/>
      <c r="D913" s="74"/>
    </row>
    <row r="914">
      <c r="B914" s="7"/>
      <c r="C914" s="74"/>
      <c r="D914" s="74"/>
    </row>
    <row r="915">
      <c r="B915" s="7"/>
      <c r="C915" s="74"/>
      <c r="D915" s="74"/>
    </row>
    <row r="916">
      <c r="B916" s="7"/>
      <c r="C916" s="74"/>
      <c r="D916" s="74"/>
    </row>
    <row r="917">
      <c r="B917" s="7"/>
      <c r="C917" s="74"/>
      <c r="D917" s="74"/>
    </row>
    <row r="918">
      <c r="B918" s="7"/>
      <c r="C918" s="74"/>
      <c r="D918" s="74"/>
    </row>
    <row r="919">
      <c r="B919" s="7"/>
      <c r="C919" s="74"/>
      <c r="D919" s="74"/>
    </row>
    <row r="920">
      <c r="B920" s="7"/>
      <c r="C920" s="74"/>
      <c r="D920" s="74"/>
    </row>
    <row r="921">
      <c r="B921" s="7"/>
      <c r="C921" s="74"/>
      <c r="D921" s="74"/>
    </row>
    <row r="922">
      <c r="B922" s="7"/>
      <c r="C922" s="74"/>
      <c r="D922" s="74"/>
    </row>
    <row r="923">
      <c r="B923" s="7"/>
      <c r="C923" s="74"/>
      <c r="D923" s="74"/>
    </row>
    <row r="924">
      <c r="B924" s="7"/>
      <c r="C924" s="74"/>
      <c r="D924" s="74"/>
    </row>
    <row r="925">
      <c r="B925" s="7"/>
      <c r="C925" s="74"/>
      <c r="D925" s="74"/>
    </row>
    <row r="926">
      <c r="B926" s="7"/>
      <c r="C926" s="74"/>
      <c r="D926" s="74"/>
    </row>
    <row r="927">
      <c r="B927" s="7"/>
      <c r="C927" s="74"/>
      <c r="D927" s="74"/>
    </row>
    <row r="928">
      <c r="B928" s="7"/>
      <c r="C928" s="74"/>
      <c r="D928" s="74"/>
    </row>
    <row r="929">
      <c r="B929" s="7"/>
      <c r="C929" s="74"/>
      <c r="D929" s="74"/>
    </row>
    <row r="930">
      <c r="B930" s="7"/>
      <c r="C930" s="74"/>
      <c r="D930" s="74"/>
    </row>
    <row r="931">
      <c r="B931" s="7"/>
      <c r="C931" s="74"/>
      <c r="D931" s="74"/>
    </row>
    <row r="932">
      <c r="B932" s="7"/>
      <c r="C932" s="74"/>
      <c r="D932" s="74"/>
    </row>
    <row r="933">
      <c r="B933" s="7"/>
      <c r="C933" s="74"/>
      <c r="D933" s="74"/>
    </row>
    <row r="934">
      <c r="B934" s="7"/>
      <c r="C934" s="74"/>
      <c r="D934" s="74"/>
    </row>
    <row r="935">
      <c r="B935" s="7"/>
      <c r="C935" s="74"/>
      <c r="D935" s="74"/>
    </row>
    <row r="936">
      <c r="B936" s="7"/>
      <c r="C936" s="74"/>
      <c r="D936" s="74"/>
    </row>
    <row r="937">
      <c r="B937" s="7"/>
      <c r="C937" s="74"/>
      <c r="D937" s="74"/>
    </row>
    <row r="938">
      <c r="B938" s="7"/>
      <c r="C938" s="74"/>
      <c r="D938" s="74"/>
    </row>
    <row r="939">
      <c r="B939" s="7"/>
      <c r="C939" s="74"/>
      <c r="D939" s="74"/>
    </row>
    <row r="940">
      <c r="B940" s="7"/>
      <c r="C940" s="74"/>
      <c r="D940" s="74"/>
    </row>
    <row r="941">
      <c r="B941" s="7"/>
      <c r="C941" s="74"/>
      <c r="D941" s="74"/>
    </row>
    <row r="942">
      <c r="B942" s="7"/>
      <c r="C942" s="74"/>
      <c r="D942" s="74"/>
    </row>
    <row r="943">
      <c r="B943" s="7"/>
      <c r="C943" s="74"/>
      <c r="D943" s="74"/>
    </row>
    <row r="944">
      <c r="B944" s="7"/>
      <c r="C944" s="74"/>
      <c r="D944" s="74"/>
    </row>
    <row r="945">
      <c r="B945" s="7"/>
      <c r="C945" s="74"/>
      <c r="D945" s="74"/>
    </row>
    <row r="946">
      <c r="B946" s="7"/>
      <c r="C946" s="74"/>
      <c r="D946" s="74"/>
    </row>
    <row r="947">
      <c r="B947" s="7"/>
      <c r="C947" s="74"/>
      <c r="D947" s="74"/>
    </row>
    <row r="948">
      <c r="B948" s="7"/>
      <c r="C948" s="74"/>
      <c r="D948" s="74"/>
    </row>
    <row r="949">
      <c r="B949" s="7"/>
      <c r="C949" s="74"/>
      <c r="D949" s="74"/>
    </row>
    <row r="950">
      <c r="B950" s="7"/>
      <c r="C950" s="74"/>
      <c r="D950" s="74"/>
    </row>
    <row r="951">
      <c r="B951" s="7"/>
      <c r="C951" s="74"/>
      <c r="D951" s="74"/>
    </row>
    <row r="952">
      <c r="B952" s="7"/>
      <c r="C952" s="74"/>
      <c r="D952" s="74"/>
    </row>
    <row r="953">
      <c r="B953" s="7"/>
      <c r="C953" s="74"/>
      <c r="D953" s="74"/>
    </row>
    <row r="954">
      <c r="B954" s="7"/>
      <c r="C954" s="74"/>
      <c r="D954" s="74"/>
    </row>
    <row r="955">
      <c r="B955" s="7"/>
      <c r="C955" s="74"/>
      <c r="D955" s="74"/>
    </row>
    <row r="956">
      <c r="B956" s="7"/>
      <c r="C956" s="74"/>
      <c r="D956" s="74"/>
    </row>
    <row r="957">
      <c r="B957" s="7"/>
      <c r="C957" s="74"/>
      <c r="D957" s="74"/>
    </row>
    <row r="958">
      <c r="B958" s="7"/>
      <c r="C958" s="74"/>
      <c r="D958" s="74"/>
    </row>
    <row r="959">
      <c r="B959" s="7"/>
      <c r="C959" s="74"/>
      <c r="D959" s="74"/>
    </row>
    <row r="960">
      <c r="B960" s="7"/>
      <c r="C960" s="74"/>
      <c r="D960" s="74"/>
    </row>
    <row r="961">
      <c r="B961" s="7"/>
      <c r="C961" s="74"/>
      <c r="D961" s="74"/>
    </row>
    <row r="962">
      <c r="B962" s="7"/>
      <c r="C962" s="74"/>
      <c r="D962" s="74"/>
    </row>
    <row r="963">
      <c r="B963" s="7"/>
      <c r="C963" s="74"/>
      <c r="D963" s="74"/>
    </row>
    <row r="964">
      <c r="B964" s="7"/>
      <c r="C964" s="74"/>
      <c r="D964" s="74"/>
    </row>
    <row r="965">
      <c r="B965" s="7"/>
      <c r="C965" s="74"/>
      <c r="D965" s="74"/>
    </row>
    <row r="966">
      <c r="B966" s="7"/>
      <c r="C966" s="74"/>
      <c r="D966" s="74"/>
    </row>
    <row r="967">
      <c r="B967" s="7"/>
      <c r="C967" s="74"/>
      <c r="D967" s="74"/>
    </row>
    <row r="968">
      <c r="B968" s="7"/>
      <c r="C968" s="74"/>
      <c r="D968" s="74"/>
    </row>
    <row r="969">
      <c r="B969" s="7"/>
      <c r="C969" s="74"/>
      <c r="D969" s="74"/>
    </row>
    <row r="970">
      <c r="B970" s="7"/>
      <c r="C970" s="74"/>
      <c r="D970" s="74"/>
    </row>
    <row r="971">
      <c r="B971" s="7"/>
      <c r="C971" s="74"/>
      <c r="D971" s="74"/>
    </row>
    <row r="972">
      <c r="B972" s="7"/>
      <c r="C972" s="74"/>
      <c r="D972" s="74"/>
    </row>
    <row r="973">
      <c r="B973" s="7"/>
      <c r="C973" s="74"/>
      <c r="D973" s="74"/>
    </row>
    <row r="974">
      <c r="B974" s="7"/>
      <c r="C974" s="74"/>
      <c r="D974" s="74"/>
    </row>
    <row r="975">
      <c r="B975" s="7"/>
      <c r="C975" s="74"/>
      <c r="D975" s="74"/>
    </row>
    <row r="976">
      <c r="B976" s="7"/>
      <c r="C976" s="74"/>
      <c r="D976" s="74"/>
    </row>
    <row r="977">
      <c r="B977" s="7"/>
      <c r="C977" s="74"/>
      <c r="D977" s="74"/>
    </row>
    <row r="978">
      <c r="B978" s="7"/>
      <c r="C978" s="74"/>
      <c r="D978" s="74"/>
    </row>
    <row r="979">
      <c r="B979" s="7"/>
      <c r="C979" s="74"/>
      <c r="D979" s="74"/>
    </row>
    <row r="980">
      <c r="B980" s="7"/>
      <c r="C980" s="74"/>
      <c r="D980" s="74"/>
    </row>
    <row r="981">
      <c r="B981" s="7"/>
      <c r="C981" s="74"/>
      <c r="D981" s="74"/>
    </row>
    <row r="982">
      <c r="B982" s="7"/>
      <c r="C982" s="74"/>
      <c r="D982" s="74"/>
    </row>
    <row r="983">
      <c r="B983" s="7"/>
      <c r="C983" s="74"/>
      <c r="D983" s="74"/>
    </row>
    <row r="984">
      <c r="B984" s="7"/>
      <c r="C984" s="74"/>
      <c r="D984" s="74"/>
    </row>
    <row r="985">
      <c r="B985" s="7"/>
      <c r="C985" s="74"/>
      <c r="D985" s="74"/>
    </row>
    <row r="986">
      <c r="B986" s="7"/>
      <c r="C986" s="74"/>
      <c r="D986" s="74"/>
    </row>
    <row r="987">
      <c r="B987" s="7"/>
      <c r="C987" s="74"/>
      <c r="D987" s="74"/>
    </row>
    <row r="988">
      <c r="B988" s="7"/>
      <c r="C988" s="74"/>
      <c r="D988" s="74"/>
    </row>
    <row r="989">
      <c r="B989" s="7"/>
      <c r="C989" s="74"/>
      <c r="D989" s="74"/>
    </row>
    <row r="990">
      <c r="B990" s="7"/>
      <c r="C990" s="74"/>
      <c r="D990" s="74"/>
    </row>
    <row r="991">
      <c r="B991" s="7"/>
      <c r="C991" s="74"/>
      <c r="D991" s="74"/>
    </row>
    <row r="992">
      <c r="B992" s="7"/>
      <c r="C992" s="74"/>
      <c r="D992" s="74"/>
    </row>
    <row r="993">
      <c r="B993" s="7"/>
      <c r="C993" s="74"/>
      <c r="D993" s="74"/>
    </row>
    <row r="994">
      <c r="B994" s="7"/>
      <c r="C994" s="74"/>
      <c r="D994" s="74"/>
    </row>
    <row r="995">
      <c r="B995" s="7"/>
      <c r="C995" s="74"/>
      <c r="D995" s="74"/>
    </row>
    <row r="996">
      <c r="B996" s="7"/>
      <c r="C996" s="74"/>
      <c r="D996" s="74"/>
    </row>
    <row r="997">
      <c r="B997" s="7"/>
      <c r="C997" s="74"/>
      <c r="D997" s="74"/>
    </row>
    <row r="998">
      <c r="B998" s="7"/>
      <c r="C998" s="74"/>
      <c r="D998" s="74"/>
    </row>
    <row r="999">
      <c r="B999" s="7"/>
      <c r="C999" s="74"/>
      <c r="D999" s="74"/>
    </row>
    <row r="1000">
      <c r="B1000" s="7"/>
      <c r="C1000" s="74"/>
      <c r="D1000" s="74"/>
    </row>
    <row r="1001">
      <c r="B1001" s="7"/>
      <c r="C1001" s="74"/>
      <c r="D1001" s="74"/>
    </row>
    <row r="1002">
      <c r="B1002" s="7"/>
      <c r="C1002" s="74"/>
      <c r="D1002" s="74"/>
    </row>
    <row r="1003">
      <c r="B1003" s="7"/>
      <c r="C1003" s="74"/>
      <c r="D1003" s="74"/>
    </row>
    <row r="1004">
      <c r="B1004" s="7"/>
      <c r="C1004" s="74"/>
      <c r="D1004" s="74"/>
    </row>
    <row r="1005">
      <c r="B1005" s="7"/>
      <c r="C1005" s="74"/>
      <c r="D1005" s="74"/>
    </row>
    <row r="1006">
      <c r="B1006" s="7"/>
      <c r="C1006" s="74"/>
      <c r="D1006" s="74"/>
    </row>
    <row r="1007">
      <c r="B1007" s="7"/>
      <c r="C1007" s="74"/>
      <c r="D1007" s="74"/>
    </row>
    <row r="1008">
      <c r="B1008" s="7"/>
      <c r="C1008" s="74"/>
      <c r="D1008" s="74"/>
    </row>
    <row r="1009">
      <c r="B1009" s="7"/>
      <c r="C1009" s="74"/>
      <c r="D1009" s="74"/>
    </row>
    <row r="1010">
      <c r="B1010" s="7"/>
      <c r="C1010" s="74"/>
      <c r="D1010" s="74"/>
    </row>
    <row r="1011">
      <c r="B1011" s="7"/>
      <c r="C1011" s="74"/>
      <c r="D1011" s="74"/>
    </row>
    <row r="1012">
      <c r="B1012" s="7"/>
      <c r="C1012" s="74"/>
      <c r="D1012" s="74"/>
    </row>
    <row r="1013">
      <c r="B1013" s="7"/>
      <c r="C1013" s="74"/>
      <c r="D1013" s="74"/>
    </row>
    <row r="1014">
      <c r="B1014" s="7"/>
      <c r="C1014" s="74"/>
      <c r="D1014" s="74"/>
    </row>
    <row r="1015">
      <c r="B1015" s="7"/>
      <c r="C1015" s="74"/>
      <c r="D1015" s="74"/>
    </row>
    <row r="1016">
      <c r="B1016" s="7"/>
      <c r="C1016" s="74"/>
      <c r="D1016" s="74"/>
    </row>
    <row r="1017">
      <c r="B1017" s="7"/>
      <c r="C1017" s="74"/>
      <c r="D1017" s="74"/>
    </row>
    <row r="1018">
      <c r="B1018" s="7"/>
      <c r="C1018" s="74"/>
      <c r="D1018" s="74"/>
    </row>
    <row r="1019">
      <c r="B1019" s="7"/>
      <c r="C1019" s="74"/>
      <c r="D1019" s="74"/>
    </row>
    <row r="1020">
      <c r="B1020" s="7"/>
      <c r="C1020" s="74"/>
      <c r="D1020" s="74"/>
    </row>
    <row r="1021">
      <c r="B1021" s="7"/>
      <c r="C1021" s="74"/>
      <c r="D1021" s="74"/>
    </row>
    <row r="1022">
      <c r="B1022" s="7"/>
      <c r="C1022" s="74"/>
      <c r="D1022" s="74"/>
    </row>
    <row r="1023">
      <c r="B1023" s="7"/>
      <c r="C1023" s="74"/>
      <c r="D1023" s="74"/>
    </row>
    <row r="1024">
      <c r="B1024" s="7"/>
      <c r="C1024" s="74"/>
      <c r="D1024" s="74"/>
    </row>
    <row r="1025">
      <c r="B1025" s="7"/>
      <c r="C1025" s="74"/>
      <c r="D1025" s="74"/>
    </row>
    <row r="1026">
      <c r="B1026" s="7"/>
      <c r="C1026" s="74"/>
      <c r="D1026" s="74"/>
    </row>
    <row r="1027">
      <c r="B1027" s="7"/>
      <c r="C1027" s="74"/>
      <c r="D1027" s="74"/>
    </row>
    <row r="1028">
      <c r="B1028" s="7"/>
      <c r="C1028" s="74"/>
      <c r="D1028" s="74"/>
    </row>
    <row r="1029">
      <c r="B1029" s="7"/>
      <c r="C1029" s="74"/>
      <c r="D1029" s="74"/>
    </row>
    <row r="1030">
      <c r="B1030" s="7"/>
      <c r="C1030" s="74"/>
      <c r="D1030" s="74"/>
    </row>
    <row r="1031">
      <c r="B1031" s="7"/>
      <c r="C1031" s="74"/>
      <c r="D1031" s="74"/>
    </row>
    <row r="1032">
      <c r="B1032" s="7"/>
      <c r="C1032" s="74"/>
      <c r="D1032" s="74"/>
    </row>
    <row r="1033">
      <c r="B1033" s="7"/>
      <c r="C1033" s="74"/>
      <c r="D1033" s="74"/>
    </row>
    <row r="1034">
      <c r="B1034" s="7"/>
      <c r="C1034" s="74"/>
      <c r="D1034" s="74"/>
    </row>
    <row r="1035">
      <c r="B1035" s="7"/>
      <c r="C1035" s="74"/>
      <c r="D1035" s="74"/>
    </row>
    <row r="1036">
      <c r="B1036" s="7"/>
      <c r="C1036" s="74"/>
      <c r="D1036" s="74"/>
    </row>
    <row r="1037">
      <c r="B1037" s="7"/>
      <c r="C1037" s="74"/>
      <c r="D1037" s="74"/>
    </row>
    <row r="1038">
      <c r="B1038" s="7"/>
      <c r="C1038" s="74"/>
      <c r="D1038" s="74"/>
    </row>
    <row r="1039">
      <c r="B1039" s="7"/>
      <c r="C1039" s="74"/>
      <c r="D1039" s="74"/>
    </row>
    <row r="1040">
      <c r="B1040" s="7"/>
      <c r="C1040" s="74"/>
      <c r="D1040" s="74"/>
    </row>
    <row r="1041">
      <c r="B1041" s="7"/>
      <c r="C1041" s="74"/>
      <c r="D1041" s="74"/>
    </row>
    <row r="1042">
      <c r="B1042" s="7"/>
      <c r="C1042" s="74"/>
      <c r="D1042" s="74"/>
    </row>
    <row r="1043">
      <c r="B1043" s="7"/>
      <c r="C1043" s="74"/>
      <c r="D1043" s="74"/>
    </row>
    <row r="1044">
      <c r="B1044" s="7"/>
      <c r="C1044" s="74"/>
      <c r="D1044" s="74"/>
    </row>
    <row r="1045">
      <c r="B1045" s="7"/>
      <c r="C1045" s="74"/>
      <c r="D1045" s="74"/>
    </row>
    <row r="1046">
      <c r="B1046" s="7"/>
      <c r="C1046" s="74"/>
      <c r="D1046" s="74"/>
    </row>
    <row r="1047">
      <c r="B1047" s="7"/>
      <c r="C1047" s="74"/>
      <c r="D1047" s="74"/>
    </row>
    <row r="1048">
      <c r="B1048" s="7"/>
      <c r="C1048" s="74"/>
      <c r="D1048" s="74"/>
    </row>
    <row r="1049">
      <c r="B1049" s="7"/>
      <c r="C1049" s="74"/>
      <c r="D1049" s="74"/>
    </row>
    <row r="1050">
      <c r="B1050" s="7"/>
      <c r="C1050" s="74"/>
      <c r="D1050" s="74"/>
    </row>
    <row r="1051">
      <c r="B1051" s="7"/>
      <c r="C1051" s="74"/>
      <c r="D1051" s="74"/>
    </row>
    <row r="1052">
      <c r="B1052" s="7"/>
      <c r="C1052" s="74"/>
      <c r="D1052" s="74"/>
    </row>
    <row r="1053">
      <c r="B1053" s="7"/>
      <c r="C1053" s="74"/>
      <c r="D1053" s="74"/>
    </row>
    <row r="1054">
      <c r="B1054" s="7"/>
      <c r="C1054" s="74"/>
      <c r="D1054" s="74"/>
    </row>
    <row r="1055">
      <c r="B1055" s="7"/>
      <c r="C1055" s="74"/>
      <c r="D1055" s="74"/>
    </row>
    <row r="1056">
      <c r="B1056" s="7"/>
      <c r="C1056" s="74"/>
      <c r="D1056" s="74"/>
    </row>
    <row r="1057">
      <c r="B1057" s="7"/>
      <c r="C1057" s="74"/>
      <c r="D1057" s="74"/>
    </row>
    <row r="1058">
      <c r="B1058" s="7"/>
      <c r="C1058" s="74"/>
      <c r="D1058" s="74"/>
    </row>
    <row r="1059">
      <c r="B1059" s="7"/>
      <c r="C1059" s="74"/>
      <c r="D1059" s="74"/>
    </row>
    <row r="1060">
      <c r="B1060" s="7"/>
      <c r="C1060" s="74"/>
      <c r="D1060" s="74"/>
    </row>
    <row r="1061">
      <c r="B1061" s="7"/>
      <c r="C1061" s="74"/>
      <c r="D1061" s="74"/>
    </row>
    <row r="1062">
      <c r="B1062" s="7"/>
      <c r="C1062" s="74"/>
      <c r="D1062" s="74"/>
    </row>
    <row r="1063">
      <c r="B1063" s="7"/>
      <c r="C1063" s="74"/>
      <c r="D1063" s="74"/>
    </row>
    <row r="1064">
      <c r="B1064" s="7"/>
      <c r="C1064" s="74"/>
      <c r="D1064" s="74"/>
    </row>
    <row r="1065">
      <c r="B1065" s="7"/>
      <c r="C1065" s="74"/>
      <c r="D1065" s="74"/>
    </row>
    <row r="1066">
      <c r="B1066" s="7"/>
      <c r="C1066" s="74"/>
      <c r="D1066" s="74"/>
    </row>
    <row r="1067">
      <c r="B1067" s="7"/>
      <c r="C1067" s="74"/>
      <c r="D1067" s="74"/>
    </row>
    <row r="1068">
      <c r="B1068" s="7"/>
      <c r="C1068" s="74"/>
      <c r="D1068" s="74"/>
    </row>
    <row r="1069">
      <c r="B1069" s="7"/>
      <c r="C1069" s="74"/>
      <c r="D1069" s="74"/>
    </row>
    <row r="1070">
      <c r="B1070" s="7"/>
      <c r="C1070" s="74"/>
      <c r="D1070" s="74"/>
    </row>
    <row r="1071">
      <c r="B1071" s="7"/>
      <c r="C1071" s="74"/>
      <c r="D1071" s="74"/>
    </row>
    <row r="1072">
      <c r="B1072" s="7"/>
      <c r="C1072" s="74"/>
      <c r="D1072" s="74"/>
    </row>
    <row r="1073">
      <c r="B1073" s="7"/>
      <c r="C1073" s="74"/>
      <c r="D1073" s="74"/>
    </row>
    <row r="1074">
      <c r="B1074" s="7"/>
      <c r="C1074" s="74"/>
      <c r="D1074" s="74"/>
    </row>
  </sheetData>
  <mergeCells count="32">
    <mergeCell ref="B2:B6"/>
    <mergeCell ref="B7:B8"/>
    <mergeCell ref="B9:B15"/>
    <mergeCell ref="B16:B20"/>
    <mergeCell ref="B26:B44"/>
    <mergeCell ref="B45:B48"/>
    <mergeCell ref="B49:B53"/>
    <mergeCell ref="B54:B59"/>
    <mergeCell ref="B60:B61"/>
    <mergeCell ref="B63:B65"/>
    <mergeCell ref="B67:B69"/>
    <mergeCell ref="B70:B79"/>
    <mergeCell ref="B81:B99"/>
    <mergeCell ref="B100:B113"/>
    <mergeCell ref="B114:B115"/>
    <mergeCell ref="B116:B121"/>
    <mergeCell ref="B122:B124"/>
    <mergeCell ref="B125:B130"/>
    <mergeCell ref="B131:B133"/>
    <mergeCell ref="B134:B138"/>
    <mergeCell ref="B139:B142"/>
    <mergeCell ref="B193:B196"/>
    <mergeCell ref="B197:B198"/>
    <mergeCell ref="B200:B201"/>
    <mergeCell ref="B202:B204"/>
    <mergeCell ref="B147:B157"/>
    <mergeCell ref="B158:B159"/>
    <mergeCell ref="B162:B163"/>
    <mergeCell ref="B164:B166"/>
    <mergeCell ref="B172:B174"/>
    <mergeCell ref="B176:B180"/>
    <mergeCell ref="B187:B191"/>
  </mergeCells>
  <hyperlinks>
    <hyperlink r:id="rId2" ref="B2"/>
    <hyperlink r:id="rId3" ref="B7"/>
    <hyperlink r:id="rId4" ref="B9"/>
    <hyperlink r:id="rId5" ref="B16"/>
    <hyperlink r:id="rId6" ref="B21"/>
    <hyperlink r:id="rId7" ref="B22"/>
    <hyperlink r:id="rId8" ref="B23"/>
    <hyperlink r:id="rId9" ref="B24"/>
    <hyperlink r:id="rId10" ref="B25"/>
    <hyperlink r:id="rId11" ref="B26"/>
    <hyperlink r:id="rId12" ref="B45"/>
    <hyperlink r:id="rId13" ref="B49"/>
    <hyperlink r:id="rId14" ref="B54"/>
    <hyperlink r:id="rId15" ref="B60"/>
    <hyperlink r:id="rId16" ref="B62"/>
    <hyperlink r:id="rId17" ref="B63"/>
    <hyperlink r:id="rId18" ref="B66"/>
    <hyperlink r:id="rId19" ref="B67"/>
    <hyperlink r:id="rId20" ref="B70"/>
    <hyperlink r:id="rId21" ref="B80"/>
    <hyperlink r:id="rId22" ref="B81"/>
    <hyperlink r:id="rId23" ref="B100"/>
    <hyperlink r:id="rId24" ref="B114"/>
    <hyperlink r:id="rId25" ref="B116"/>
    <hyperlink r:id="rId26" ref="B122"/>
    <hyperlink r:id="rId27" ref="B125"/>
    <hyperlink r:id="rId28" ref="B131"/>
    <hyperlink r:id="rId29" ref="B134"/>
    <hyperlink r:id="rId30" ref="B139"/>
    <hyperlink r:id="rId31" ref="B143"/>
    <hyperlink r:id="rId32" ref="B144"/>
    <hyperlink r:id="rId33" ref="B145"/>
    <hyperlink r:id="rId34" ref="B146"/>
    <hyperlink r:id="rId35" ref="B147"/>
    <hyperlink r:id="rId36" ref="B158"/>
    <hyperlink r:id="rId37" ref="B160"/>
    <hyperlink r:id="rId38" ref="B161"/>
    <hyperlink r:id="rId39" ref="B162"/>
    <hyperlink r:id="rId40" ref="B164"/>
    <hyperlink r:id="rId41" ref="B167"/>
    <hyperlink r:id="rId42" ref="B168"/>
    <hyperlink r:id="rId43" ref="B169"/>
    <hyperlink r:id="rId44" ref="B170"/>
    <hyperlink r:id="rId45" ref="B171"/>
    <hyperlink r:id="rId46" ref="B172"/>
    <hyperlink r:id="rId47" ref="B175"/>
    <hyperlink r:id="rId48" ref="B176"/>
    <hyperlink r:id="rId49" ref="B181"/>
    <hyperlink r:id="rId50" ref="B182"/>
    <hyperlink r:id="rId51" ref="B183"/>
    <hyperlink r:id="rId52" ref="B184"/>
    <hyperlink r:id="rId53" ref="B185"/>
    <hyperlink r:id="rId54" ref="B186"/>
    <hyperlink r:id="rId55" ref="B187"/>
    <hyperlink r:id="rId56" ref="B192"/>
    <hyperlink r:id="rId57" ref="B193"/>
    <hyperlink r:id="rId58" ref="B197"/>
    <hyperlink r:id="rId59" ref="B199"/>
    <hyperlink r:id="rId60" ref="B200"/>
    <hyperlink r:id="rId61" ref="B202"/>
    <hyperlink r:id="rId62" ref="B205"/>
    <hyperlink r:id="rId63" ref="B206"/>
    <hyperlink r:id="rId64" ref="B207"/>
  </hyperlinks>
  <drawing r:id="rId65"/>
  <legacyDrawing r:id="rId6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57"/>
    <col customWidth="1" min="2" max="2" width="40.86"/>
    <col customWidth="1" min="3" max="3" width="51.57"/>
    <col customWidth="1" min="4" max="4" width="27.71"/>
  </cols>
  <sheetData>
    <row r="1">
      <c r="A1" s="99" t="s">
        <v>1208</v>
      </c>
      <c r="B1" s="5" t="s">
        <v>6</v>
      </c>
      <c r="C1" s="5" t="s">
        <v>7</v>
      </c>
      <c r="D1" s="5" t="s">
        <v>8</v>
      </c>
      <c r="E1" s="78" t="s">
        <v>1355</v>
      </c>
    </row>
    <row r="2" ht="24.0" customHeight="1">
      <c r="A2" s="151" t="s">
        <v>14</v>
      </c>
      <c r="B2" s="152" t="s">
        <v>3686</v>
      </c>
      <c r="C2" s="26" t="s">
        <v>914</v>
      </c>
      <c r="D2" s="118" t="s">
        <v>914</v>
      </c>
      <c r="E2" s="46" t="str">
        <f>IFERROR(__xludf.DUMMYFUNCTION("IFERROR(VLOOKUP(C2,importrange(""https://docs.google.com/spreadsheets/d/1SQRLoxD_LXfQNfB7NOxI5jlxbkDlcNPwla_2gSTySP8/edit#gid=274515254"",""Tickets!$C$2:$D$155""),2,0),0)"),"Tickets / チケット")</f>
        <v>Tickets / チケット</v>
      </c>
    </row>
    <row r="3">
      <c r="A3" s="151" t="s">
        <v>3687</v>
      </c>
      <c r="C3" s="118" t="s">
        <v>1342</v>
      </c>
      <c r="D3" s="26" t="s">
        <v>1343</v>
      </c>
      <c r="E3" s="46" t="str">
        <f>IFERROR(__xludf.DUMMYFUNCTION("IFERROR(VLOOKUP(C3,importrange(""https://docs.google.com/spreadsheets/d/1SQRLoxD_LXfQNfB7NOxI5jlxbkDlcNPwla_2gSTySP8/edit#gid=274515254"",""Tickets!$C$2:$D$155""),2,0),0)"),"アセットを簡単に管理！")</f>
        <v>アセットを簡単に管理！</v>
      </c>
    </row>
    <row r="4">
      <c r="A4" s="151" t="s">
        <v>3688</v>
      </c>
      <c r="C4" s="118" t="s">
        <v>1345</v>
      </c>
      <c r="D4" s="118" t="s">
        <v>1346</v>
      </c>
      <c r="E4" s="46" t="str">
        <f>IFERROR(__xludf.DUMMYFUNCTION("IFERROR(VLOOKUP(C4,importrange(""https://docs.google.com/spreadsheets/d/1SQRLoxD_LXfQNfB7NOxI5jlxbkDlcNPwla_2gSTySP8/edit#gid=274515254"",""Tickets!$C$2:$D$155""),2,0),0)"),"テンプレート")</f>
        <v>テンプレート</v>
      </c>
    </row>
    <row r="5">
      <c r="A5" s="151" t="s">
        <v>1889</v>
      </c>
      <c r="C5" s="118" t="s">
        <v>1339</v>
      </c>
      <c r="D5" s="26" t="s">
        <v>3689</v>
      </c>
      <c r="E5" s="46" t="str">
        <f>IFERROR(__xludf.DUMMYFUNCTION("IFERROR(VLOOKUP(C5,importrange(""https://docs.google.com/spreadsheets/d/1SQRLoxD_LXfQNfB7NOxI5jlxbkDlcNPwla_2gSTySP8/edit#gid=274515254"",""Tickets!$C$2:$D$155""),2,0),0)"),"チェックリスト")</f>
        <v>チェックリスト</v>
      </c>
    </row>
    <row r="6">
      <c r="A6" s="151" t="s">
        <v>3690</v>
      </c>
      <c r="C6" s="118" t="s">
        <v>3691</v>
      </c>
      <c r="D6" s="26" t="s">
        <v>528</v>
      </c>
      <c r="E6" s="46" t="str">
        <f>IFERROR(__xludf.DUMMYFUNCTION("IFERROR(VLOOKUP(C6,importrange(""https://docs.google.com/spreadsheets/d/1SQRLoxD_LXfQNfB7NOxI5jlxbkDlcNPwla_2gSTySP8/edit#gid=274515254"",""Tickets!$C$2:$D$155""),2,0),0)"),"スケジュール")</f>
        <v>スケジュール</v>
      </c>
    </row>
    <row r="7">
      <c r="A7" s="151" t="s">
        <v>740</v>
      </c>
      <c r="C7" s="26" t="s">
        <v>742</v>
      </c>
      <c r="D7" s="26" t="s">
        <v>743</v>
      </c>
      <c r="E7" s="46" t="str">
        <f>IFERROR(__xludf.DUMMYFUNCTION("IFERROR(VLOOKUP(C7,importrange(""https://docs.google.com/spreadsheets/d/1SQRLoxD_LXfQNfB7NOxI5jlxbkDlcNPwla_2gSTySP8/edit#gid=274515254"",""Tickets!$C$2:$D$155""),2,0),0)"),"レポート")</f>
        <v>レポート</v>
      </c>
    </row>
    <row r="8">
      <c r="A8" s="151" t="s">
        <v>3692</v>
      </c>
      <c r="C8" s="26" t="s">
        <v>3693</v>
      </c>
      <c r="D8" s="26" t="s">
        <v>3694</v>
      </c>
      <c r="E8" s="46" t="str">
        <f>IFERROR(__xludf.DUMMYFUNCTION("IFERROR(VLOOKUP(C8,importrange(""https://docs.google.com/spreadsheets/d/1SQRLoxD_LXfQNfB7NOxI5jlxbkDlcNPwla_2gSTySP8/edit#gid=274515254"",""Tickets!$C$2:$D$155""),2,0),0)"),"概要")</f>
        <v>概要</v>
      </c>
    </row>
    <row r="9">
      <c r="A9" s="151" t="s">
        <v>3695</v>
      </c>
      <c r="C9" s="26" t="s">
        <v>3486</v>
      </c>
      <c r="D9" s="26" t="s">
        <v>3487</v>
      </c>
      <c r="E9" s="46" t="str">
        <f>IFERROR(__xludf.DUMMYFUNCTION("IFERROR(VLOOKUP(C9,importrange(""https://docs.google.com/spreadsheets/d/1SQRLoxD_LXfQNfB7NOxI5jlxbkDlcNPwla_2gSTySP8/edit#gid=274515254"",""Tickets!$C$2:$D$155""),2,0),0)"),"アセット")</f>
        <v>アセット</v>
      </c>
    </row>
    <row r="10">
      <c r="A10" s="151" t="s">
        <v>3696</v>
      </c>
      <c r="C10" s="26" t="s">
        <v>3501</v>
      </c>
      <c r="D10" s="26" t="s">
        <v>3502</v>
      </c>
      <c r="E10" s="46" t="str">
        <f>IFERROR(__xludf.DUMMYFUNCTION("IFERROR(VLOOKUP(C10,importrange(""https://docs.google.com/spreadsheets/d/1SQRLoxD_LXfQNfB7NOxI5jlxbkDlcNPwla_2gSTySP8/edit#gid=274515254"",""Tickets!$C$2:$D$155""),2,0),0)"),"表示")</f>
        <v>表示</v>
      </c>
      <c r="I10" s="76"/>
    </row>
    <row r="11">
      <c r="A11" s="151" t="s">
        <v>2732</v>
      </c>
      <c r="C11" s="26" t="s">
        <v>2733</v>
      </c>
      <c r="D11" s="26" t="s">
        <v>2734</v>
      </c>
      <c r="E11" s="46" t="str">
        <f>IFERROR(__xludf.DUMMYFUNCTION("IFERROR(VLOOKUP(C11,importrange(""https://docs.google.com/spreadsheets/d/1SQRLoxD_LXfQNfB7NOxI5jlxbkDlcNPwla_2gSTySP8/edit#gid=274515254"",""Tickets!$C$2:$D$155""),2,0),0)"),"フィルタ")</f>
        <v>フィルタ</v>
      </c>
    </row>
    <row r="12">
      <c r="A12" s="151" t="s">
        <v>3697</v>
      </c>
      <c r="C12" s="118" t="s">
        <v>3698</v>
      </c>
      <c r="D12" s="118" t="s">
        <v>910</v>
      </c>
      <c r="E12" s="46" t="str">
        <f>IFERROR(__xludf.DUMMYFUNCTION("IFERROR(VLOOKUP(C12,importrange(""https://docs.google.com/spreadsheets/d/1SQRLoxD_LXfQNfB7NOxI5jlxbkDlcNPwla_2gSTySP8/edit#gid=274515254"",""Tickets!$C$2:$D$155""),2,0),0)"),"チケット数")</f>
        <v>チケット数</v>
      </c>
    </row>
    <row r="13">
      <c r="A13" s="151" t="s">
        <v>3699</v>
      </c>
      <c r="C13" s="118" t="s">
        <v>3700</v>
      </c>
      <c r="D13" s="118" t="s">
        <v>3701</v>
      </c>
      <c r="E13" s="46" t="str">
        <f>IFERROR(__xludf.DUMMYFUNCTION("IFERROR(VLOOKUP(C13,importrange(""https://docs.google.com/spreadsheets/d/1SQRLoxD_LXfQNfB7NOxI5jlxbkDlcNPwla_2gSTySP8/edit#gid=274515254"",""Tickets!$C$2:$D$155""),2,0),0)"),"メンバー")</f>
        <v>メンバー</v>
      </c>
    </row>
    <row r="14">
      <c r="A14" s="151" t="s">
        <v>926</v>
      </c>
      <c r="C14" s="118" t="s">
        <v>927</v>
      </c>
      <c r="D14" s="118" t="s">
        <v>928</v>
      </c>
      <c r="E14" s="46" t="str">
        <f>IFERROR(__xludf.DUMMYFUNCTION("IFERROR(VLOOKUP(C14,importrange(""https://docs.google.com/spreadsheets/d/1SQRLoxD_LXfQNfB7NOxI5jlxbkDlcNPwla_2gSTySP8/edit#gid=274515254"",""Tickets!$C$2:$D$155""),2,0),0)"),"すべて")</f>
        <v>すべて</v>
      </c>
    </row>
    <row r="15">
      <c r="A15" s="151" t="s">
        <v>341</v>
      </c>
      <c r="C15" s="26" t="s">
        <v>342</v>
      </c>
      <c r="D15" s="26" t="s">
        <v>343</v>
      </c>
      <c r="E15" s="46" t="str">
        <f>IFERROR(__xludf.DUMMYFUNCTION("IFERROR(VLOOKUP(C15,importrange(""https://docs.google.com/spreadsheets/d/1SQRLoxD_LXfQNfB7NOxI5jlxbkDlcNPwla_2gSTySP8/edit#gid=274515254"",""Tickets!$C$2:$D$155""),2,0),0)"),"優先順位")</f>
        <v>優先順位</v>
      </c>
    </row>
    <row r="16">
      <c r="A16" s="151" t="s">
        <v>3702</v>
      </c>
      <c r="C16" s="118" t="s">
        <v>3703</v>
      </c>
      <c r="D16" s="118" t="s">
        <v>3704</v>
      </c>
      <c r="E16" s="46" t="str">
        <f>IFERROR(__xludf.DUMMYFUNCTION("IFERROR(VLOOKUP(C16,importrange(""https://docs.google.com/spreadsheets/d/1SQRLoxD_LXfQNfB7NOxI5jlxbkDlcNPwla_2gSTySP8/edit#gid=274515254"",""Tickets!$C$2:$D$155""),2,0),0)"),"フォロー中")</f>
        <v>フォロー中</v>
      </c>
    </row>
    <row r="17">
      <c r="A17" s="151" t="s">
        <v>345</v>
      </c>
      <c r="C17" s="118" t="s">
        <v>346</v>
      </c>
      <c r="D17" s="118" t="s">
        <v>347</v>
      </c>
      <c r="E17" s="46" t="str">
        <f>IFERROR(__xludf.DUMMYFUNCTION("IFERROR(VLOOKUP(C17,importrange(""https://docs.google.com/spreadsheets/d/1SQRLoxD_LXfQNfB7NOxI5jlxbkDlcNPwla_2gSTySP8/edit#gid=274515254"",""Tickets!$C$2:$D$155""),2,0),0)"),"タグ")</f>
        <v>タグ</v>
      </c>
    </row>
    <row r="18">
      <c r="A18" s="151" t="s">
        <v>582</v>
      </c>
      <c r="C18" s="118" t="s">
        <v>584</v>
      </c>
      <c r="D18" s="118" t="s">
        <v>3705</v>
      </c>
      <c r="E18" s="46" t="str">
        <f>IFERROR(__xludf.DUMMYFUNCTION("IFERROR(VLOOKUP(C18,importrange(""https://docs.google.com/spreadsheets/d/1SQRLoxD_LXfQNfB7NOxI5jlxbkDlcNPwla_2gSTySP8/edit#gid=274515254"",""Tickets!$C$2:$D$155""),2,0),0)"),"各")</f>
        <v>各</v>
      </c>
    </row>
    <row r="19">
      <c r="A19" s="108" t="str">
        <f>IFERROR(__xludf.DUMMYFUNCTION("JOIN(""-"",""app"",SPLIT(LOWER( C19),"" ""))"),"app-selected")</f>
        <v>app-selected</v>
      </c>
      <c r="B19" s="153" t="s">
        <v>3706</v>
      </c>
      <c r="C19" s="122" t="s">
        <v>757</v>
      </c>
      <c r="D19" s="122" t="s">
        <v>3707</v>
      </c>
      <c r="E19" s="93" t="s">
        <v>3708</v>
      </c>
    </row>
    <row r="20">
      <c r="A20" s="102" t="str">
        <f>IFERROR(__xludf.DUMMYFUNCTION("JOIN(""-"",""app"",SPLIT(LOWER( C20),"" ""))"),"app-all-/-since-yesterday")</f>
        <v>app-all-/-since-yesterday</v>
      </c>
      <c r="C20" s="154" t="s">
        <v>3709</v>
      </c>
      <c r="D20" s="154" t="s">
        <v>3710</v>
      </c>
      <c r="E20" s="93" t="s">
        <v>3711</v>
      </c>
    </row>
    <row r="21">
      <c r="A21" s="108" t="s">
        <v>181</v>
      </c>
      <c r="C21" s="122" t="s">
        <v>183</v>
      </c>
      <c r="D21" s="122" t="s">
        <v>184</v>
      </c>
      <c r="E21" s="46" t="str">
        <f>IFERROR(__xludf.DUMMYFUNCTION("IFERROR(VLOOKUP(C21,importrange(""https://docs.google.com/spreadsheets/d/1SQRLoxD_LXfQNfB7NOxI5jlxbkDlcNPwla_2gSTySP8/edit#gid=274515254"",""Tickets!$C$2:$D$155""),2,0),0)"),"保留")</f>
        <v>保留</v>
      </c>
    </row>
    <row r="22">
      <c r="A22" s="151" t="s">
        <v>3712</v>
      </c>
      <c r="B22" s="143" t="s">
        <v>3713</v>
      </c>
      <c r="C22" s="26" t="s">
        <v>3714</v>
      </c>
      <c r="D22" s="26" t="s">
        <v>3715</v>
      </c>
      <c r="E22" s="46" t="str">
        <f>IFERROR(__xludf.DUMMYFUNCTION("IFERROR(VLOOKUP(C22,importrange(""https://docs.google.com/spreadsheets/d/1SQRLoxD_LXfQNfB7NOxI5jlxbkDlcNPwla_2gSTySP8/edit#gid=274515254"",""Tickets!$C$2:$D$155""),2,0),0)"),"全期間")</f>
        <v>全期間</v>
      </c>
    </row>
    <row r="23">
      <c r="A23" s="151" t="s">
        <v>3716</v>
      </c>
      <c r="C23" s="26" t="s">
        <v>1489</v>
      </c>
      <c r="D23" s="26" t="s">
        <v>1490</v>
      </c>
      <c r="E23" s="46" t="str">
        <f>IFERROR(__xludf.DUMMYFUNCTION("IFERROR(VLOOKUP(C23,importrange(""https://docs.google.com/spreadsheets/d/1SQRLoxD_LXfQNfB7NOxI5jlxbkDlcNPwla_2gSTySP8/edit#gid=274515254"",""Tickets!$C$2:$D$155""),2,0),0)"),"期限切れ")</f>
        <v>期限切れ</v>
      </c>
    </row>
    <row r="24">
      <c r="A24" s="151" t="s">
        <v>3717</v>
      </c>
      <c r="C24" s="26" t="s">
        <v>1206</v>
      </c>
      <c r="D24" s="26" t="s">
        <v>1207</v>
      </c>
      <c r="E24" s="46" t="str">
        <f>IFERROR(__xludf.DUMMYFUNCTION("IFERROR(VLOOKUP(C24,importrange(""https://docs.google.com/spreadsheets/d/1SQRLoxD_LXfQNfB7NOxI5jlxbkDlcNPwla_2gSTySP8/edit#gid=274515254"",""Tickets!$C$2:$D$155""),2,0),0)"),"お気に入り")</f>
        <v>お気に入り</v>
      </c>
    </row>
    <row r="25">
      <c r="A25" s="151" t="s">
        <v>3718</v>
      </c>
      <c r="C25" s="26" t="s">
        <v>3719</v>
      </c>
      <c r="D25" s="26" t="s">
        <v>3720</v>
      </c>
      <c r="E25" s="46" t="str">
        <f>IFERROR(__xludf.DUMMYFUNCTION("IFERROR(VLOOKUP(C25,importrange(""https://docs.google.com/spreadsheets/d/1SQRLoxD_LXfQNfB7NOxI5jlxbkDlcNPwla_2gSTySP8/edit#gid=274515254"",""Tickets!$C$2:$D$155""),2,0),0)"),"アーカイブ済み")</f>
        <v>アーカイブ済み</v>
      </c>
    </row>
    <row r="26">
      <c r="A26" s="151" t="s">
        <v>3721</v>
      </c>
      <c r="C26" s="26" t="s">
        <v>3722</v>
      </c>
      <c r="D26" s="26" t="s">
        <v>3723</v>
      </c>
      <c r="E26" s="46" t="str">
        <f>IFERROR(__xludf.DUMMYFUNCTION("IFERROR(VLOOKUP(C26,importrange(""https://docs.google.com/spreadsheets/d/1SQRLoxD_LXfQNfB7NOxI5jlxbkDlcNPwla_2gSTySP8/edit#gid=274515254"",""Tickets!$C$2:$D$155""),2,0),0)"),"自分で作成")</f>
        <v>自分で作成</v>
      </c>
    </row>
    <row r="27">
      <c r="A27" s="151" t="s">
        <v>3724</v>
      </c>
      <c r="C27" s="26" t="s">
        <v>3725</v>
      </c>
      <c r="D27" s="26" t="s">
        <v>3726</v>
      </c>
      <c r="E27" s="46" t="str">
        <f>IFERROR(__xludf.DUMMYFUNCTION("IFERROR(VLOOKUP(C27,importrange(""https://docs.google.com/spreadsheets/d/1SQRLoxD_LXfQNfB7NOxI5jlxbkDlcNPwla_2gSTySP8/edit#gid=274515254"",""Tickets!$C$2:$D$155""),2,0),0)"),"自分に割り当て")</f>
        <v>自分に割り当て</v>
      </c>
    </row>
    <row r="28">
      <c r="A28" s="151" t="s">
        <v>2761</v>
      </c>
      <c r="B28" s="143" t="s">
        <v>3727</v>
      </c>
      <c r="C28" s="26" t="s">
        <v>2762</v>
      </c>
      <c r="D28" s="26" t="s">
        <v>2763</v>
      </c>
      <c r="E28" s="46" t="str">
        <f>IFERROR(__xludf.DUMMYFUNCTION("IFERROR(VLOOKUP(C28,importrange(""https://docs.google.com/spreadsheets/d/1SQRLoxD_LXfQNfB7NOxI5jlxbkDlcNPwla_2gSTySP8/edit#gid=274515254"",""Tickets!$C$2:$D$155""),2,0),0)"),"すべてクリア")</f>
        <v>すべてクリア</v>
      </c>
    </row>
    <row r="29">
      <c r="A29" s="151" t="s">
        <v>338</v>
      </c>
      <c r="C29" s="26" t="s">
        <v>339</v>
      </c>
      <c r="D29" s="26" t="s">
        <v>340</v>
      </c>
      <c r="E29" s="46" t="str">
        <f>IFERROR(__xludf.DUMMYFUNCTION("IFERROR(VLOOKUP(C29,importrange(""https://docs.google.com/spreadsheets/d/1SQRLoxD_LXfQNfB7NOxI5jlxbkDlcNPwla_2gSTySP8/edit#gid=274515254"",""Tickets!$C$2:$D$155""),2,0),0)"),"ステータス")</f>
        <v>ステータス</v>
      </c>
    </row>
    <row r="30">
      <c r="A30" s="151" t="s">
        <v>3728</v>
      </c>
      <c r="C30" s="26" t="s">
        <v>439</v>
      </c>
      <c r="D30" s="26" t="s">
        <v>440</v>
      </c>
      <c r="E30" s="46" t="str">
        <f>IFERROR(__xludf.DUMMYFUNCTION("IFERROR(VLOOKUP(C30,importrange(""https://docs.google.com/spreadsheets/d/1SQRLoxD_LXfQNfB7NOxI5jlxbkDlcNPwla_2gSTySP8/edit#gid=274515254"",""Tickets!$C$2:$D$155""),2,0),0)"),"なし")</f>
        <v>なし</v>
      </c>
    </row>
    <row r="31">
      <c r="A31" s="151" t="s">
        <v>181</v>
      </c>
      <c r="C31" s="26" t="s">
        <v>183</v>
      </c>
      <c r="D31" s="26" t="s">
        <v>184</v>
      </c>
      <c r="E31" s="46" t="str">
        <f>IFERROR(__xludf.DUMMYFUNCTION("IFERROR(VLOOKUP(C31,importrange(""https://docs.google.com/spreadsheets/d/1SQRLoxD_LXfQNfB7NOxI5jlxbkDlcNPwla_2gSTySP8/edit#gid=274515254"",""Tickets!$C$2:$D$155""),2,0),0)"),"保留")</f>
        <v>保留</v>
      </c>
    </row>
    <row r="32">
      <c r="A32" s="151" t="s">
        <v>185</v>
      </c>
      <c r="C32" s="26" t="s">
        <v>186</v>
      </c>
      <c r="D32" s="26" t="s">
        <v>187</v>
      </c>
      <c r="E32" s="46" t="str">
        <f>IFERROR(__xludf.DUMMYFUNCTION("IFERROR(VLOOKUP(C32,importrange(""https://docs.google.com/spreadsheets/d/1SQRLoxD_LXfQNfB7NOxI5jlxbkDlcNPwla_2gSTySP8/edit#gid=274515254"",""Tickets!$C$2:$D$155""),2,0),0)"),"進行中")</f>
        <v>進行中</v>
      </c>
    </row>
    <row r="33">
      <c r="A33" s="151" t="s">
        <v>300</v>
      </c>
      <c r="C33" s="26" t="s">
        <v>302</v>
      </c>
      <c r="D33" s="26" t="s">
        <v>303</v>
      </c>
      <c r="E33" s="46" t="str">
        <f>IFERROR(__xludf.DUMMYFUNCTION("IFERROR(VLOOKUP(C33,importrange(""https://docs.google.com/spreadsheets/d/1SQRLoxD_LXfQNfB7NOxI5jlxbkDlcNPwla_2gSTySP8/edit#gid=274515254"",""Tickets!$C$2:$D$155""),2,0),0)"),"解決済み")</f>
        <v>解決済み</v>
      </c>
    </row>
    <row r="34">
      <c r="A34" s="151" t="s">
        <v>827</v>
      </c>
      <c r="C34" s="26" t="s">
        <v>828</v>
      </c>
      <c r="D34" s="26" t="s">
        <v>829</v>
      </c>
      <c r="E34" s="46" t="str">
        <f>IFERROR(__xludf.DUMMYFUNCTION("IFERROR(VLOOKUP(C34,importrange(""https://docs.google.com/spreadsheets/d/1SQRLoxD_LXfQNfB7NOxI5jlxbkDlcNPwla_2gSTySP8/edit#gid=274515254"",""Tickets!$C$2:$D$155""),2,0),0)"),"終了")</f>
        <v>終了</v>
      </c>
    </row>
    <row r="35">
      <c r="A35" s="151" t="s">
        <v>304</v>
      </c>
      <c r="C35" s="26" t="s">
        <v>306</v>
      </c>
      <c r="D35" s="26" t="s">
        <v>307</v>
      </c>
      <c r="E35" s="46" t="str">
        <f>IFERROR(__xludf.DUMMYFUNCTION("IFERROR(VLOOKUP(C35,importrange(""https://docs.google.com/spreadsheets/d/1SQRLoxD_LXfQNfB7NOxI5jlxbkDlcNPwla_2gSTySP8/edit#gid=274515254"",""Tickets!$C$2:$D$155""),2,0),0)"),"拒否")</f>
        <v>拒否</v>
      </c>
    </row>
    <row r="36">
      <c r="A36" s="151" t="s">
        <v>1821</v>
      </c>
      <c r="B36" s="143" t="s">
        <v>3729</v>
      </c>
      <c r="C36" s="26" t="s">
        <v>1823</v>
      </c>
      <c r="D36" s="26" t="s">
        <v>1824</v>
      </c>
      <c r="E36" s="46" t="str">
        <f>IFERROR(__xludf.DUMMYFUNCTION("IFERROR(VLOOKUP(C36,importrange(""https://docs.google.com/spreadsheets/d/1SQRLoxD_LXfQNfB7NOxI5jlxbkDlcNPwla_2gSTySP8/edit#gid=274515254"",""Tickets!$C$2:$D$155""),2,0),0)"),"最重要")</f>
        <v>最重要</v>
      </c>
    </row>
    <row r="37">
      <c r="A37" s="151" t="s">
        <v>880</v>
      </c>
      <c r="C37" s="26" t="s">
        <v>881</v>
      </c>
      <c r="D37" s="26" t="s">
        <v>882</v>
      </c>
      <c r="E37" s="46" t="str">
        <f>IFERROR(__xludf.DUMMYFUNCTION("IFERROR(VLOOKUP(C37,importrange(""https://docs.google.com/spreadsheets/d/1SQRLoxD_LXfQNfB7NOxI5jlxbkDlcNPwla_2gSTySP8/edit#gid=274515254"",""Tickets!$C$2:$D$155""),2,0),0)"),"高")</f>
        <v>高</v>
      </c>
    </row>
    <row r="38">
      <c r="A38" s="151" t="s">
        <v>191</v>
      </c>
      <c r="C38" s="26" t="s">
        <v>192</v>
      </c>
      <c r="D38" s="26" t="s">
        <v>193</v>
      </c>
      <c r="E38" s="46" t="str">
        <f>IFERROR(__xludf.DUMMYFUNCTION("IFERROR(VLOOKUP(C38,importrange(""https://docs.google.com/spreadsheets/d/1SQRLoxD_LXfQNfB7NOxI5jlxbkDlcNPwla_2gSTySP8/edit#gid=274515254"",""Tickets!$C$2:$D$155""),2,0),0)"),"中")</f>
        <v>中</v>
      </c>
    </row>
    <row r="39">
      <c r="A39" s="151" t="s">
        <v>188</v>
      </c>
      <c r="C39" s="26" t="s">
        <v>189</v>
      </c>
      <c r="D39" s="26" t="s">
        <v>190</v>
      </c>
      <c r="E39" s="46" t="str">
        <f>IFERROR(__xludf.DUMMYFUNCTION("IFERROR(VLOOKUP(C39,importrange(""https://docs.google.com/spreadsheets/d/1SQRLoxD_LXfQNfB7NOxI5jlxbkDlcNPwla_2gSTySP8/edit#gid=274515254"",""Tickets!$C$2:$D$155""),2,0),0)"),"低")</f>
        <v>低</v>
      </c>
    </row>
    <row r="40">
      <c r="A40" s="151" t="s">
        <v>335</v>
      </c>
      <c r="B40" s="143" t="s">
        <v>3730</v>
      </c>
      <c r="C40" s="26" t="s">
        <v>442</v>
      </c>
      <c r="D40" s="26" t="s">
        <v>337</v>
      </c>
      <c r="E40" s="46" t="str">
        <f>IFERROR(__xludf.DUMMYFUNCTION("IFERROR(VLOOKUP(C40,importrange(""https://docs.google.com/spreadsheets/d/1SQRLoxD_LXfQNfB7NOxI5jlxbkDlcNPwla_2gSTySP8/edit#gid=274515254"",""Tickets!$C$2:$D$155""),2,0),0)"),"担当者")</f>
        <v>担当者</v>
      </c>
    </row>
    <row r="41">
      <c r="A41" s="151" t="s">
        <v>1474</v>
      </c>
      <c r="C41" s="26" t="s">
        <v>3731</v>
      </c>
      <c r="D41" s="26" t="s">
        <v>2469</v>
      </c>
      <c r="E41" s="46" t="str">
        <f>IFERROR(__xludf.DUMMYFUNCTION("IFERROR(VLOOKUP(C41,importrange(""https://docs.google.com/spreadsheets/d/1SQRLoxD_LXfQNfB7NOxI5jlxbkDlcNPwla_2gSTySP8/edit#gid=274515254"",""Tickets!$C$2:$D$155""),2,0),0)"),"作成者")</f>
        <v>作成者</v>
      </c>
    </row>
    <row r="42">
      <c r="A42" s="151" t="s">
        <v>1872</v>
      </c>
      <c r="C42" s="26" t="s">
        <v>219</v>
      </c>
      <c r="D42" s="26" t="s">
        <v>220</v>
      </c>
      <c r="E42" s="46" t="str">
        <f>IFERROR(__xludf.DUMMYFUNCTION("IFERROR(VLOOKUP(C42,importrange(""https://docs.google.com/spreadsheets/d/1SQRLoxD_LXfQNfB7NOxI5jlxbkDlcNPwla_2gSTySP8/edit#gid=274515254"",""Tickets!$C$2:$D$155""),2,0),0)"),"検索")</f>
        <v>検索</v>
      </c>
    </row>
    <row r="43" ht="24.0" customHeight="1">
      <c r="A43" s="151" t="s">
        <v>467</v>
      </c>
      <c r="B43" s="143" t="s">
        <v>3732</v>
      </c>
      <c r="C43" s="26" t="s">
        <v>443</v>
      </c>
      <c r="D43" s="26" t="s">
        <v>444</v>
      </c>
      <c r="E43" s="46" t="str">
        <f>IFERROR(__xludf.DUMMYFUNCTION("IFERROR(VLOOKUP(C43,importrange(""https://docs.google.com/spreadsheets/d/1SQRLoxD_LXfQNfB7NOxI5jlxbkDlcNPwla_2gSTySP8/edit#gid=274515254"",""Tickets!$C$2:$D$155""),2,0),0)"),"期限切れ")</f>
        <v>期限切れ</v>
      </c>
    </row>
    <row r="44">
      <c r="A44" s="151" t="s">
        <v>3733</v>
      </c>
      <c r="C44" s="26" t="s">
        <v>3490</v>
      </c>
      <c r="D44" s="26" t="s">
        <v>3491</v>
      </c>
      <c r="E44" s="46" t="str">
        <f>IFERROR(__xludf.DUMMYFUNCTION("IFERROR(VLOOKUP(C44,importrange(""https://docs.google.com/spreadsheets/d/1SQRLoxD_LXfQNfB7NOxI5jlxbkDlcNPwla_2gSTySP8/edit#gid=274515254"",""Tickets!$C$2:$D$155""),2,0),0)"),"日付選択")</f>
        <v>日付選択</v>
      </c>
    </row>
    <row r="45">
      <c r="A45" s="155" t="s">
        <v>3734</v>
      </c>
      <c r="B45" s="143" t="s">
        <v>3735</v>
      </c>
      <c r="C45" s="26" t="s">
        <v>1486</v>
      </c>
      <c r="D45" s="26" t="s">
        <v>1487</v>
      </c>
      <c r="E45" s="46" t="str">
        <f>IFERROR(__xludf.DUMMYFUNCTION("IFERROR(VLOOKUP(C45,importrange(""https://docs.google.com/spreadsheets/d/1SQRLoxD_LXfQNfB7NOxI5jlxbkDlcNPwla_2gSTySP8/edit#gid=274515254"",""Tickets!$C$2:$D$155""),2,0),0)"),"日付範囲選択")</f>
        <v>日付範囲選択</v>
      </c>
    </row>
    <row r="46" ht="43.5" customHeight="1">
      <c r="A46" s="151" t="s">
        <v>1848</v>
      </c>
      <c r="B46" s="143" t="s">
        <v>3736</v>
      </c>
      <c r="C46" s="26" t="s">
        <v>102</v>
      </c>
      <c r="D46" s="26" t="s">
        <v>103</v>
      </c>
      <c r="E46" s="46" t="str">
        <f>IFERROR(__xludf.DUMMYFUNCTION("IFERROR(VLOOKUP(C46,importrange(""https://docs.google.com/spreadsheets/d/1SQRLoxD_LXfQNfB7NOxI5jlxbkDlcNPwla_2gSTySP8/edit#gid=274515254"",""Tickets!$C$2:$D$155""),2,0),0)"),"1月")</f>
        <v>1月</v>
      </c>
    </row>
    <row r="47">
      <c r="A47" s="151" t="s">
        <v>1850</v>
      </c>
      <c r="C47" s="26" t="s">
        <v>104</v>
      </c>
      <c r="D47" s="26" t="s">
        <v>105</v>
      </c>
      <c r="E47" s="46" t="str">
        <f>IFERROR(__xludf.DUMMYFUNCTION("IFERROR(VLOOKUP(C47,importrange(""https://docs.google.com/spreadsheets/d/1SQRLoxD_LXfQNfB7NOxI5jlxbkDlcNPwla_2gSTySP8/edit#gid=274515254"",""Tickets!$C$2:$D$155""),2,0),0)"),"2月")</f>
        <v>2月</v>
      </c>
    </row>
    <row r="48">
      <c r="A48" s="151" t="s">
        <v>1851</v>
      </c>
      <c r="C48" s="26" t="s">
        <v>106</v>
      </c>
      <c r="D48" s="26" t="s">
        <v>107</v>
      </c>
      <c r="E48" s="46" t="str">
        <f>IFERROR(__xludf.DUMMYFUNCTION("IFERROR(VLOOKUP(C48,importrange(""https://docs.google.com/spreadsheets/d/1SQRLoxD_LXfQNfB7NOxI5jlxbkDlcNPwla_2gSTySP8/edit#gid=274515254"",""Tickets!$C$2:$D$155""),2,0),0)"),"3月")</f>
        <v>3月</v>
      </c>
    </row>
    <row r="49">
      <c r="A49" s="151" t="s">
        <v>1852</v>
      </c>
      <c r="C49" s="26" t="s">
        <v>108</v>
      </c>
      <c r="D49" s="26" t="s">
        <v>109</v>
      </c>
      <c r="E49" s="46" t="str">
        <f>IFERROR(__xludf.DUMMYFUNCTION("IFERROR(VLOOKUP(C49,importrange(""https://docs.google.com/spreadsheets/d/1SQRLoxD_LXfQNfB7NOxI5jlxbkDlcNPwla_2gSTySP8/edit#gid=274515254"",""Tickets!$C$2:$D$155""),2,0),0)"),"4月")</f>
        <v>4月</v>
      </c>
    </row>
    <row r="50">
      <c r="A50" s="151" t="s">
        <v>649</v>
      </c>
      <c r="C50" s="26" t="s">
        <v>110</v>
      </c>
      <c r="D50" s="26" t="s">
        <v>111</v>
      </c>
      <c r="E50" s="46" t="str">
        <f>IFERROR(__xludf.DUMMYFUNCTION("IFERROR(VLOOKUP(C50,importrange(""https://docs.google.com/spreadsheets/d/1SQRLoxD_LXfQNfB7NOxI5jlxbkDlcNPwla_2gSTySP8/edit#gid=274515254"",""Tickets!$C$2:$D$155""),2,0),0)"),"5月")</f>
        <v>5月</v>
      </c>
    </row>
    <row r="51">
      <c r="A51" s="151" t="s">
        <v>1853</v>
      </c>
      <c r="C51" s="26" t="s">
        <v>112</v>
      </c>
      <c r="D51" s="26" t="s">
        <v>113</v>
      </c>
      <c r="E51" s="46" t="str">
        <f>IFERROR(__xludf.DUMMYFUNCTION("IFERROR(VLOOKUP(C51,importrange(""https://docs.google.com/spreadsheets/d/1SQRLoxD_LXfQNfB7NOxI5jlxbkDlcNPwla_2gSTySP8/edit#gid=274515254"",""Tickets!$C$2:$D$155""),2,0),0)"),"6月")</f>
        <v>6月</v>
      </c>
    </row>
    <row r="52">
      <c r="A52" s="151" t="s">
        <v>1854</v>
      </c>
      <c r="C52" s="26" t="s">
        <v>114</v>
      </c>
      <c r="D52" s="26" t="s">
        <v>115</v>
      </c>
      <c r="E52" s="46" t="str">
        <f>IFERROR(__xludf.DUMMYFUNCTION("IFERROR(VLOOKUP(C52,importrange(""https://docs.google.com/spreadsheets/d/1SQRLoxD_LXfQNfB7NOxI5jlxbkDlcNPwla_2gSTySP8/edit#gid=274515254"",""Tickets!$C$2:$D$155""),2,0),0)"),"7月")</f>
        <v>7月</v>
      </c>
    </row>
    <row r="53">
      <c r="A53" s="151" t="s">
        <v>1855</v>
      </c>
      <c r="C53" s="26" t="s">
        <v>116</v>
      </c>
      <c r="D53" s="26" t="s">
        <v>117</v>
      </c>
      <c r="E53" s="46" t="str">
        <f>IFERROR(__xludf.DUMMYFUNCTION("IFERROR(VLOOKUP(C53,importrange(""https://docs.google.com/spreadsheets/d/1SQRLoxD_LXfQNfB7NOxI5jlxbkDlcNPwla_2gSTySP8/edit#gid=274515254"",""Tickets!$C$2:$D$155""),2,0),0)"),"8月")</f>
        <v>8月</v>
      </c>
    </row>
    <row r="54">
      <c r="A54" s="151" t="s">
        <v>1856</v>
      </c>
      <c r="C54" s="26" t="s">
        <v>118</v>
      </c>
      <c r="D54" s="26" t="s">
        <v>119</v>
      </c>
      <c r="E54" s="46" t="str">
        <f>IFERROR(__xludf.DUMMYFUNCTION("IFERROR(VLOOKUP(C54,importrange(""https://docs.google.com/spreadsheets/d/1SQRLoxD_LXfQNfB7NOxI5jlxbkDlcNPwla_2gSTySP8/edit#gid=274515254"",""Tickets!$C$2:$D$155""),2,0),0)"),"9月")</f>
        <v>9月</v>
      </c>
    </row>
    <row r="55">
      <c r="A55" s="151" t="s">
        <v>1857</v>
      </c>
      <c r="C55" s="26" t="s">
        <v>120</v>
      </c>
      <c r="D55" s="26" t="s">
        <v>121</v>
      </c>
      <c r="E55" s="46" t="str">
        <f>IFERROR(__xludf.DUMMYFUNCTION("IFERROR(VLOOKUP(C55,importrange(""https://docs.google.com/spreadsheets/d/1SQRLoxD_LXfQNfB7NOxI5jlxbkDlcNPwla_2gSTySP8/edit#gid=274515254"",""Tickets!$C$2:$D$155""),2,0),0)"),"10月")</f>
        <v>10月</v>
      </c>
    </row>
    <row r="56">
      <c r="A56" s="151" t="s">
        <v>1858</v>
      </c>
      <c r="C56" s="26" t="s">
        <v>122</v>
      </c>
      <c r="D56" s="26" t="s">
        <v>123</v>
      </c>
      <c r="E56" s="46" t="str">
        <f>IFERROR(__xludf.DUMMYFUNCTION("IFERROR(VLOOKUP(C56,importrange(""https://docs.google.com/spreadsheets/d/1SQRLoxD_LXfQNfB7NOxI5jlxbkDlcNPwla_2gSTySP8/edit#gid=274515254"",""Tickets!$C$2:$D$155""),2,0),0)"),"11月")</f>
        <v>11月</v>
      </c>
    </row>
    <row r="57">
      <c r="A57" s="151" t="s">
        <v>1859</v>
      </c>
      <c r="C57" s="26" t="s">
        <v>124</v>
      </c>
      <c r="D57" s="26" t="s">
        <v>125</v>
      </c>
      <c r="E57" s="46" t="str">
        <f>IFERROR(__xludf.DUMMYFUNCTION("IFERROR(VLOOKUP(C57,importrange(""https://docs.google.com/spreadsheets/d/1SQRLoxD_LXfQNfB7NOxI5jlxbkDlcNPwla_2gSTySP8/edit#gid=274515254"",""Tickets!$C$2:$D$155""),2,0),0)"),"12月")</f>
        <v>12月</v>
      </c>
    </row>
    <row r="58">
      <c r="A58" s="151" t="s">
        <v>1861</v>
      </c>
      <c r="C58" s="26" t="s">
        <v>128</v>
      </c>
      <c r="D58" s="26" t="s">
        <v>129</v>
      </c>
      <c r="E58" s="46" t="str">
        <f>IFERROR(__xludf.DUMMYFUNCTION("IFERROR(VLOOKUP(C58,importrange(""https://docs.google.com/spreadsheets/d/1SQRLoxD_LXfQNfB7NOxI5jlxbkDlcNPwla_2gSTySP8/edit#gid=274515254"",""Tickets!$C$2:$D$155""),2,0),0)"),"月")</f>
        <v>月</v>
      </c>
    </row>
    <row r="59">
      <c r="A59" s="151" t="s">
        <v>1862</v>
      </c>
      <c r="C59" s="26" t="s">
        <v>130</v>
      </c>
      <c r="D59" s="26" t="s">
        <v>131</v>
      </c>
      <c r="E59" s="46" t="str">
        <f>IFERROR(__xludf.DUMMYFUNCTION("IFERROR(VLOOKUP(C59,importrange(""https://docs.google.com/spreadsheets/d/1SQRLoxD_LXfQNfB7NOxI5jlxbkDlcNPwla_2gSTySP8/edit#gid=274515254"",""Tickets!$C$2:$D$155""),2,0),0)"),"火")</f>
        <v>火</v>
      </c>
    </row>
    <row r="60">
      <c r="A60" s="151" t="s">
        <v>1863</v>
      </c>
      <c r="C60" s="26" t="s">
        <v>133</v>
      </c>
      <c r="D60" s="26" t="s">
        <v>134</v>
      </c>
      <c r="E60" s="46" t="str">
        <f>IFERROR(__xludf.DUMMYFUNCTION("IFERROR(VLOOKUP(C60,importrange(""https://docs.google.com/spreadsheets/d/1SQRLoxD_LXfQNfB7NOxI5jlxbkDlcNPwla_2gSTySP8/edit#gid=274515254"",""Tickets!$C$2:$D$155""),2,0),0)"),"水")</f>
        <v>水</v>
      </c>
    </row>
    <row r="61">
      <c r="A61" s="151" t="s">
        <v>1865</v>
      </c>
      <c r="C61" s="26" t="s">
        <v>135</v>
      </c>
      <c r="D61" s="26" t="s">
        <v>136</v>
      </c>
      <c r="E61" s="46" t="str">
        <f>IFERROR(__xludf.DUMMYFUNCTION("IFERROR(VLOOKUP(C61,importrange(""https://docs.google.com/spreadsheets/d/1SQRLoxD_LXfQNfB7NOxI5jlxbkDlcNPwla_2gSTySP8/edit#gid=274515254"",""Tickets!$C$2:$D$155""),2,0),0)"),"木")</f>
        <v>木</v>
      </c>
    </row>
    <row r="62">
      <c r="A62" s="151" t="s">
        <v>1866</v>
      </c>
      <c r="C62" s="26" t="s">
        <v>137</v>
      </c>
      <c r="D62" s="26" t="s">
        <v>138</v>
      </c>
      <c r="E62" s="46" t="str">
        <f>IFERROR(__xludf.DUMMYFUNCTION("IFERROR(VLOOKUP(C62,importrange(""https://docs.google.com/spreadsheets/d/1SQRLoxD_LXfQNfB7NOxI5jlxbkDlcNPwla_2gSTySP8/edit#gid=274515254"",""Tickets!$C$2:$D$155""),2,0),0)"),"金")</f>
        <v>金</v>
      </c>
    </row>
    <row r="63">
      <c r="A63" s="151" t="s">
        <v>1867</v>
      </c>
      <c r="C63" s="26" t="s">
        <v>139</v>
      </c>
      <c r="D63" s="26" t="s">
        <v>140</v>
      </c>
      <c r="E63" s="46" t="str">
        <f>IFERROR(__xludf.DUMMYFUNCTION("IFERROR(VLOOKUP(C63,importrange(""https://docs.google.com/spreadsheets/d/1SQRLoxD_LXfQNfB7NOxI5jlxbkDlcNPwla_2gSTySP8/edit#gid=274515254"",""Tickets!$C$2:$D$155""),2,0),0)"),"土")</f>
        <v>土</v>
      </c>
    </row>
    <row r="64">
      <c r="A64" s="151" t="s">
        <v>1860</v>
      </c>
      <c r="C64" s="26" t="s">
        <v>126</v>
      </c>
      <c r="D64" s="26" t="s">
        <v>127</v>
      </c>
      <c r="E64" s="46" t="str">
        <f>IFERROR(__xludf.DUMMYFUNCTION("IFERROR(VLOOKUP(C64,importrange(""https://docs.google.com/spreadsheets/d/1SQRLoxD_LXfQNfB7NOxI5jlxbkDlcNPwla_2gSTySP8/edit#gid=274515254"",""Tickets!$C$2:$D$155""),2,0),0)"),"日")</f>
        <v>日</v>
      </c>
    </row>
    <row r="65" ht="40.5" customHeight="1">
      <c r="A65" s="151" t="s">
        <v>2747</v>
      </c>
      <c r="B65" s="143" t="s">
        <v>3737</v>
      </c>
      <c r="C65" s="26" t="s">
        <v>2748</v>
      </c>
      <c r="D65" s="26" t="s">
        <v>2749</v>
      </c>
      <c r="E65" s="46" t="str">
        <f>IFERROR(__xludf.DUMMYFUNCTION("IFERROR(VLOOKUP(C65,importrange(""https://docs.google.com/spreadsheets/d/1SQRLoxD_LXfQNfB7NOxI5jlxbkDlcNPwla_2gSTySP8/edit#gid=274515254"",""Tickets!$C$2:$D$155""),2,0),0)"),"フィルタを適用")</f>
        <v>フィルタを適用</v>
      </c>
    </row>
    <row r="66" ht="24.75" customHeight="1">
      <c r="A66" s="151" t="s">
        <v>3738</v>
      </c>
      <c r="B66" s="156" t="s">
        <v>3739</v>
      </c>
      <c r="C66" s="118" t="s">
        <v>3740</v>
      </c>
      <c r="D66" s="118" t="s">
        <v>3741</v>
      </c>
      <c r="E66" s="46" t="str">
        <f>IFERROR(__xludf.DUMMYFUNCTION("IFERROR(VLOOKUP(C66,importrange(""https://docs.google.com/spreadsheets/d/1SQRLoxD_LXfQNfB7NOxI5jlxbkDlcNPwla_2gSTySP8/edit#gid=274515254"",""Tickets!$C$2:$D$155""),2,0),0)"),"完全一致")</f>
        <v>完全一致</v>
      </c>
    </row>
    <row r="67" ht="22.5" customHeight="1">
      <c r="A67" s="151" t="s">
        <v>98</v>
      </c>
      <c r="C67" s="118" t="s">
        <v>3742</v>
      </c>
      <c r="D67" s="26" t="s">
        <v>100</v>
      </c>
      <c r="E67" s="46" t="str">
        <f>IFERROR(__xludf.DUMMYFUNCTION("IFERROR(VLOOKUP(C67,importrange(""https://docs.google.com/spreadsheets/d/1SQRLoxD_LXfQNfB7NOxI5jlxbkDlcNPwla_2gSTySP8/edit#gid=274515254"",""Tickets!$C$2:$D$155""),2,0),0)"),"詳細")</f>
        <v>詳細</v>
      </c>
    </row>
    <row r="68" ht="22.5" customHeight="1">
      <c r="A68" s="151" t="s">
        <v>1774</v>
      </c>
      <c r="B68" s="156" t="s">
        <v>3743</v>
      </c>
      <c r="C68" s="26" t="s">
        <v>1776</v>
      </c>
      <c r="D68" s="26" t="s">
        <v>1777</v>
      </c>
      <c r="E68" s="46" t="str">
        <f>IFERROR(__xludf.DUMMYFUNCTION("IFERROR(VLOOKUP(C68,importrange(""https://docs.google.com/spreadsheets/d/1SQRLoxD_LXfQNfB7NOxI5jlxbkDlcNPwla_2gSTySP8/edit#gid=274515254"",""Tickets!$C$2:$D$155""),2,0),0)"),"割り当て済み")</f>
        <v>割り当て済み</v>
      </c>
    </row>
    <row r="69" ht="20.25" customHeight="1">
      <c r="A69" s="151" t="s">
        <v>3744</v>
      </c>
      <c r="C69" s="118" t="s">
        <v>3745</v>
      </c>
      <c r="D69" s="118" t="s">
        <v>3746</v>
      </c>
      <c r="E69" s="46" t="str">
        <f>IFERROR(__xludf.DUMMYFUNCTION("IFERROR(VLOOKUP(C69,importrange(""https://docs.google.com/spreadsheets/d/1SQRLoxD_LXfQNfB7NOxI5jlxbkDlcNPwla_2gSTySP8/edit#gid=274515254"",""Tickets!$C$2:$D$155""),2,0),0)"),"上昇")</f>
        <v>上昇</v>
      </c>
    </row>
    <row r="70">
      <c r="A70" s="151" t="s">
        <v>3716</v>
      </c>
      <c r="B70" s="156" t="s">
        <v>3747</v>
      </c>
      <c r="C70" s="118" t="s">
        <v>1489</v>
      </c>
      <c r="D70" s="118" t="s">
        <v>1490</v>
      </c>
      <c r="E70" s="46" t="str">
        <f>IFERROR(__xludf.DUMMYFUNCTION("IFERROR(VLOOKUP(C70,importrange(""https://docs.google.com/spreadsheets/d/1SQRLoxD_LXfQNfB7NOxI5jlxbkDlcNPwla_2gSTySP8/edit#gid=274515254"",""Tickets!$C$2:$D$155""),2,0),0)"),"期限切れ")</f>
        <v>期限切れ</v>
      </c>
    </row>
    <row r="71">
      <c r="A71" s="151" t="s">
        <v>181</v>
      </c>
      <c r="C71" s="118" t="s">
        <v>183</v>
      </c>
      <c r="D71" s="118" t="s">
        <v>184</v>
      </c>
      <c r="E71" s="46" t="str">
        <f>IFERROR(__xludf.DUMMYFUNCTION("IFERROR(VLOOKUP(C71,importrange(""https://docs.google.com/spreadsheets/d/1SQRLoxD_LXfQNfB7NOxI5jlxbkDlcNPwla_2gSTySP8/edit#gid=274515254"",""Tickets!$C$2:$D$155""),2,0),0)"),"保留")</f>
        <v>保留</v>
      </c>
    </row>
    <row r="72">
      <c r="A72" s="151" t="s">
        <v>185</v>
      </c>
      <c r="C72" s="118" t="s">
        <v>186</v>
      </c>
      <c r="D72" s="118" t="s">
        <v>783</v>
      </c>
      <c r="E72" s="46" t="str">
        <f>IFERROR(__xludf.DUMMYFUNCTION("IFERROR(VLOOKUP(C72,importrange(""https://docs.google.com/spreadsheets/d/1SQRLoxD_LXfQNfB7NOxI5jlxbkDlcNPwla_2gSTySP8/edit#gid=274515254"",""Tickets!$C$2:$D$155""),2,0),0)"),"進行中")</f>
        <v>進行中</v>
      </c>
    </row>
    <row r="73">
      <c r="A73" s="151" t="s">
        <v>3748</v>
      </c>
      <c r="C73" s="26" t="s">
        <v>3749</v>
      </c>
      <c r="D73" s="118" t="s">
        <v>3750</v>
      </c>
      <c r="E73" s="46" t="str">
        <f>IFERROR(__xludf.DUMMYFUNCTION("IFERROR(VLOOKUP(C73,importrange(""https://docs.google.com/spreadsheets/d/1SQRLoxD_LXfQNfB7NOxI5jlxbkDlcNPwla_2gSTySP8/edit#gid=274515254"",""Tickets!$C$2:$D$155""),2,0),0)"),"既存")</f>
        <v>既存</v>
      </c>
    </row>
    <row r="74">
      <c r="A74" s="151" t="s">
        <v>3751</v>
      </c>
      <c r="C74" s="26" t="s">
        <v>3752</v>
      </c>
      <c r="D74" s="26" t="s">
        <v>3753</v>
      </c>
      <c r="E74" s="46" t="str">
        <f>IFERROR(__xludf.DUMMYFUNCTION("IFERROR(VLOOKUP(C74,importrange(""https://docs.google.com/spreadsheets/d/1SQRLoxD_LXfQNfB7NOxI5jlxbkDlcNPwla_2gSTySP8/edit#gid=274515254"",""Tickets!$C$2:$D$155""),2,0),0)"),"昨日以降")</f>
        <v>昨日以降</v>
      </c>
    </row>
    <row r="75">
      <c r="A75" s="151" t="s">
        <v>3754</v>
      </c>
      <c r="C75" s="118" t="s">
        <v>3755</v>
      </c>
      <c r="D75" s="26" t="s">
        <v>3756</v>
      </c>
      <c r="E75" s="46" t="str">
        <f>IFERROR(__xludf.DUMMYFUNCTION("IFERROR(VLOOKUP(C75,importrange(""https://docs.google.com/spreadsheets/d/1SQRLoxD_LXfQNfB7NOxI5jlxbkDlcNPwla_2gSTySP8/edit#gid=274515254"",""Tickets!$C$2:$D$155""),2,0),0)"),"選択されたフィルタでチケットは見つかりませんでした")</f>
        <v>選択されたフィルタでチケットは見つかりませんでした</v>
      </c>
    </row>
    <row r="76">
      <c r="A76" s="151" t="s">
        <v>3757</v>
      </c>
      <c r="C76" s="118" t="s">
        <v>1494</v>
      </c>
      <c r="D76" s="26" t="s">
        <v>1495</v>
      </c>
      <c r="E76" s="46" t="str">
        <f>IFERROR(__xludf.DUMMYFUNCTION("IFERROR(VLOOKUP(C76,importrange(""https://docs.google.com/spreadsheets/d/1SQRLoxD_LXfQNfB7NOxI5jlxbkDlcNPwla_2gSTySP8/edit#gid=274515254"",""Tickets!$C$2:$D$155""),2,0),0)"),"予定")</f>
        <v>予定</v>
      </c>
    </row>
    <row r="77">
      <c r="A77" s="151" t="s">
        <v>3724</v>
      </c>
      <c r="B77" s="156" t="s">
        <v>3758</v>
      </c>
      <c r="C77" s="118" t="s">
        <v>3759</v>
      </c>
      <c r="D77" s="118" t="s">
        <v>3726</v>
      </c>
      <c r="E77" s="46" t="str">
        <f>IFERROR(__xludf.DUMMYFUNCTION("IFERROR(VLOOKUP(C77,importrange(""https://docs.google.com/spreadsheets/d/1SQRLoxD_LXfQNfB7NOxI5jlxbkDlcNPwla_2gSTySP8/edit#gid=274515254"",""Tickets!$C$2:$D$155""),2,0),0)"),"自分に割り当て")</f>
        <v>自分に割り当て</v>
      </c>
    </row>
    <row r="78">
      <c r="A78" s="151" t="s">
        <v>3760</v>
      </c>
      <c r="C78" s="118" t="s">
        <v>3761</v>
      </c>
      <c r="D78" s="118" t="s">
        <v>3762</v>
      </c>
      <c r="E78" s="46" t="str">
        <f>IFERROR(__xludf.DUMMYFUNCTION("IFERROR(VLOOKUP(C78,importrange(""https://docs.google.com/spreadsheets/d/1SQRLoxD_LXfQNfB7NOxI5jlxbkDlcNPwla_2gSTySP8/edit#gid=274515254"",""Tickets!$C$2:$D$155""),2,0),0)"),"自分が割り当て")</f>
        <v>自分が割り当て</v>
      </c>
    </row>
    <row r="79">
      <c r="A79" s="151" t="s">
        <v>3721</v>
      </c>
      <c r="C79" s="26" t="s">
        <v>3763</v>
      </c>
      <c r="D79" s="118" t="s">
        <v>3723</v>
      </c>
      <c r="E79" s="46" t="str">
        <f>IFERROR(__xludf.DUMMYFUNCTION("IFERROR(VLOOKUP(C79,importrange(""https://docs.google.com/spreadsheets/d/1SQRLoxD_LXfQNfB7NOxI5jlxbkDlcNPwla_2gSTySP8/edit#gid=274515254"",""Tickets!$C$2:$D$155""),2,0),0)"),"自分で作成")</f>
        <v>自分で作成</v>
      </c>
    </row>
    <row r="80">
      <c r="A80" s="151" t="s">
        <v>1778</v>
      </c>
      <c r="C80" s="118" t="s">
        <v>1780</v>
      </c>
      <c r="D80" s="118" t="s">
        <v>1781</v>
      </c>
      <c r="E80" s="46" t="str">
        <f>IFERROR(__xludf.DUMMYFUNCTION("IFERROR(VLOOKUP(C80,importrange(""https://docs.google.com/spreadsheets/d/1SQRLoxD_LXfQNfB7NOxI5jlxbkDlcNPwla_2gSTySP8/edit#gid=274515254"",""Tickets!$C$2:$D$155""),2,0),0)"),"観察中")</f>
        <v>観察中</v>
      </c>
    </row>
    <row r="81">
      <c r="A81" s="151" t="s">
        <v>3751</v>
      </c>
      <c r="C81" s="118" t="s">
        <v>3764</v>
      </c>
      <c r="D81" s="118" t="s">
        <v>3765</v>
      </c>
      <c r="E81" s="46" t="str">
        <f>IFERROR(__xludf.DUMMYFUNCTION("IFERROR(VLOOKUP(C81,importrange(""https://docs.google.com/spreadsheets/d/1SQRLoxD_LXfQNfB7NOxI5jlxbkDlcNPwla_2gSTySP8/edit#gid=274515254"",""Tickets!$C$2:$D$155""),2,0),0)"),"昨日以降")</f>
        <v>昨日以降</v>
      </c>
    </row>
    <row r="82">
      <c r="A82" s="151" t="s">
        <v>3766</v>
      </c>
      <c r="C82" s="118" t="s">
        <v>3767</v>
      </c>
      <c r="D82" s="157" t="s">
        <v>3768</v>
      </c>
      <c r="E82" s="46" t="str">
        <f>IFERROR(__xludf.DUMMYFUNCTION("IFERROR(VLOOKUP(C82,importrange(""https://docs.google.com/spreadsheets/d/1SQRLoxD_LXfQNfB7NOxI5jlxbkDlcNPwla_2gSTySP8/edit#gid=274515254"",""Tickets!$C$2:$D$155""),2,0),0)"),"先週以降")</f>
        <v>先週以降</v>
      </c>
    </row>
    <row r="83">
      <c r="A83" s="151" t="s">
        <v>3769</v>
      </c>
      <c r="C83" s="118" t="s">
        <v>3770</v>
      </c>
      <c r="D83" s="118" t="s">
        <v>3771</v>
      </c>
      <c r="E83" s="46" t="str">
        <f>IFERROR(__xludf.DUMMYFUNCTION("IFERROR(VLOOKUP(C83,importrange(""https://docs.google.com/spreadsheets/d/1SQRLoxD_LXfQNfB7NOxI5jlxbkDlcNPwla_2gSTySP8/edit#gid=274515254"",""Tickets!$C$2:$D$155""),2,0),0)"),"先月以降")</f>
        <v>先月以降</v>
      </c>
    </row>
    <row r="84">
      <c r="A84" s="151" t="s">
        <v>3772</v>
      </c>
      <c r="C84" s="118" t="s">
        <v>3773</v>
      </c>
      <c r="D84" s="118" t="s">
        <v>3774</v>
      </c>
      <c r="E84" s="46" t="str">
        <f>IFERROR(__xludf.DUMMYFUNCTION("IFERROR(VLOOKUP(C84,importrange(""https://docs.google.com/spreadsheets/d/1SQRLoxD_LXfQNfB7NOxI5jlxbkDlcNPwla_2gSTySP8/edit#gid=274515254"",""Tickets!$C$2:$D$155""),2,0),0)"),"昨年以降")</f>
        <v>昨年以降</v>
      </c>
    </row>
    <row r="85">
      <c r="A85" s="151" t="s">
        <v>3775</v>
      </c>
      <c r="B85" s="156" t="s">
        <v>3776</v>
      </c>
      <c r="C85" s="158" t="s">
        <v>3777</v>
      </c>
      <c r="D85" s="118" t="s">
        <v>3778</v>
      </c>
      <c r="E85" s="46" t="str">
        <f>IFERROR(__xludf.DUMMYFUNCTION("IFERROR(VLOOKUP(C85,importrange(""https://docs.google.com/spreadsheets/d/1SQRLoxD_LXfQNfB7NOxI5jlxbkDlcNPwla_2gSTySP8/edit#gid=274515254"",""Tickets!$C$2:$D$155""),2,0),0)"),"リフレッシュ")</f>
        <v>リフレッシュ</v>
      </c>
    </row>
    <row r="86">
      <c r="A86" s="102" t="str">
        <f>IFERROR(__xludf.DUMMYFUNCTION("JOIN(""-"",""app"",SPLIT(LOWER( C86),"" ""))"),"app-configure")</f>
        <v>app-configure</v>
      </c>
      <c r="B86" s="103" t="s">
        <v>925</v>
      </c>
      <c r="C86" s="154" t="s">
        <v>918</v>
      </c>
      <c r="D86" s="154" t="s">
        <v>919</v>
      </c>
      <c r="E86" s="93" t="s">
        <v>3779</v>
      </c>
    </row>
    <row r="87">
      <c r="A87" s="108" t="s">
        <v>926</v>
      </c>
      <c r="C87" s="122" t="s">
        <v>927</v>
      </c>
      <c r="D87" s="122" t="s">
        <v>928</v>
      </c>
      <c r="E87" s="46" t="str">
        <f>IFERROR(__xludf.DUMMYFUNCTION("IFERROR(VLOOKUP(C87,importrange(""https://docs.google.com/spreadsheets/d/1SQRLoxD_LXfQNfB7NOxI5jlxbkDlcNPwla_2gSTySP8/edit#gid=274515254"",""Tickets!$C$2:$D$155""),2,0),0)"),"すべて")</f>
        <v>すべて</v>
      </c>
    </row>
    <row r="88">
      <c r="A88" s="108" t="str">
        <f>IFERROR(__xludf.DUMMYFUNCTION("JOIN(""-"",""app"",SPLIT(LOWER( C88),"" ""))"),"app-selected")</f>
        <v>app-selected</v>
      </c>
      <c r="B88" s="103" t="s">
        <v>3780</v>
      </c>
      <c r="C88" s="122" t="s">
        <v>757</v>
      </c>
      <c r="D88" s="122" t="s">
        <v>3707</v>
      </c>
      <c r="E88" s="93" t="s">
        <v>3708</v>
      </c>
    </row>
    <row r="89">
      <c r="A89" s="108" t="s">
        <v>948</v>
      </c>
      <c r="C89" s="122" t="s">
        <v>2829</v>
      </c>
      <c r="D89" s="122" t="s">
        <v>2829</v>
      </c>
      <c r="E89" s="46" t="str">
        <f>IFERROR(__xludf.DUMMYFUNCTION("IFERROR(VLOOKUP(C89,importrange(""https://docs.google.com/spreadsheets/d/1SQRLoxD_LXfQNfB7NOxI5jlxbkDlcNPwla_2gSTySP8/edit#gid=274515254"",""Tickets!$C$2:$D$155""),2,0),0)"),"新規チケット")</f>
        <v>新規チケット</v>
      </c>
    </row>
    <row r="90">
      <c r="A90" s="108" t="s">
        <v>3781</v>
      </c>
      <c r="B90" s="105" t="s">
        <v>3782</v>
      </c>
      <c r="C90" s="122" t="s">
        <v>2001</v>
      </c>
      <c r="D90" s="122" t="s">
        <v>3783</v>
      </c>
      <c r="E90" s="93" t="s">
        <v>3784</v>
      </c>
    </row>
    <row r="91">
      <c r="A91" s="108" t="s">
        <v>880</v>
      </c>
      <c r="B91" s="105" t="s">
        <v>3785</v>
      </c>
      <c r="C91" s="122" t="s">
        <v>881</v>
      </c>
      <c r="D91" s="122" t="s">
        <v>882</v>
      </c>
      <c r="E91" s="46" t="str">
        <f>IFERROR(__xludf.DUMMYFUNCTION("IFERROR(VLOOKUP(C91,importrange(""https://docs.google.com/spreadsheets/d/1SQRLoxD_LXfQNfB7NOxI5jlxbkDlcNPwla_2gSTySP8/edit#gid=274515254"",""Tickets!$C$2:$D$155""),2,0),0)"),"高")</f>
        <v>高</v>
      </c>
    </row>
    <row r="92">
      <c r="A92" s="108" t="s">
        <v>191</v>
      </c>
      <c r="B92" s="105" t="s">
        <v>3786</v>
      </c>
      <c r="C92" s="122" t="s">
        <v>192</v>
      </c>
      <c r="D92" s="122" t="s">
        <v>193</v>
      </c>
      <c r="E92" s="46" t="str">
        <f>IFERROR(__xludf.DUMMYFUNCTION("IFERROR(VLOOKUP(C92,importrange(""https://docs.google.com/spreadsheets/d/1SQRLoxD_LXfQNfB7NOxI5jlxbkDlcNPwla_2gSTySP8/edit#gid=274515254"",""Tickets!$C$2:$D$155""),2,0),0)"),"中")</f>
        <v>中</v>
      </c>
    </row>
    <row r="93">
      <c r="A93" s="108" t="s">
        <v>1821</v>
      </c>
      <c r="B93" s="105" t="s">
        <v>3787</v>
      </c>
      <c r="C93" s="122" t="s">
        <v>1823</v>
      </c>
      <c r="D93" s="122" t="s">
        <v>1824</v>
      </c>
      <c r="E93" s="46" t="str">
        <f>IFERROR(__xludf.DUMMYFUNCTION("IFERROR(VLOOKUP(C93,importrange(""https://docs.google.com/spreadsheets/d/1SQRLoxD_LXfQNfB7NOxI5jlxbkDlcNPwla_2gSTySP8/edit#gid=274515254"",""Tickets!$C$2:$D$155""),2,0),0)"),"最重要")</f>
        <v>最重要</v>
      </c>
    </row>
    <row r="94">
      <c r="A94" s="108" t="s">
        <v>188</v>
      </c>
      <c r="B94" s="105" t="s">
        <v>3788</v>
      </c>
      <c r="C94" s="122" t="s">
        <v>189</v>
      </c>
      <c r="D94" s="122" t="s">
        <v>190</v>
      </c>
      <c r="E94" s="46" t="str">
        <f>IFERROR(__xludf.DUMMYFUNCTION("IFERROR(VLOOKUP(C94,importrange(""https://docs.google.com/spreadsheets/d/1SQRLoxD_LXfQNfB7NOxI5jlxbkDlcNPwla_2gSTySP8/edit#gid=274515254"",""Tickets!$C$2:$D$155""),2,0),0)"),"低")</f>
        <v>低</v>
      </c>
    </row>
    <row r="95">
      <c r="A95" s="108" t="str">
        <f>IFERROR(__xludf.DUMMYFUNCTION("JOIN(""-"",""app"",SPLIT(LOWER( C95),"" ""))"),"app-none")</f>
        <v>app-none</v>
      </c>
      <c r="B95" s="103" t="s">
        <v>3789</v>
      </c>
      <c r="C95" s="122" t="s">
        <v>439</v>
      </c>
      <c r="D95" s="159" t="s">
        <v>440</v>
      </c>
      <c r="E95" s="46" t="str">
        <f>IFERROR(__xludf.DUMMYFUNCTION("IFERROR(VLOOKUP(C95,importrange(""https://docs.google.com/spreadsheets/d/1SQRLoxD_LXfQNfB7NOxI5jlxbkDlcNPwla_2gSTySP8/edit#gid=274515254"",""Tickets!$C$2:$D$155""),2,0),0)"),"なし")</f>
        <v>なし</v>
      </c>
    </row>
    <row r="96">
      <c r="A96" s="108" t="str">
        <f>IFERROR(__xludf.DUMMYFUNCTION("JOIN(""-"",""app"",SPLIT(LOWER( C96),"" ""))"),"app-select-due-date-range")</f>
        <v>app-select-due-date-range</v>
      </c>
      <c r="C96" s="122" t="s">
        <v>1486</v>
      </c>
      <c r="D96" s="159" t="s">
        <v>1487</v>
      </c>
      <c r="E96" s="46" t="str">
        <f>IFERROR(__xludf.DUMMYFUNCTION("IFERROR(VLOOKUP(C96,importrange(""https://docs.google.com/spreadsheets/d/1SQRLoxD_LXfQNfB7NOxI5jlxbkDlcNPwla_2gSTySP8/edit#gid=274515254"",""Tickets!$C$2:$D$155""),2,0),0)"),"日付範囲選択")</f>
        <v>日付範囲選択</v>
      </c>
    </row>
    <row r="97">
      <c r="A97" s="54" t="s">
        <v>933</v>
      </c>
      <c r="B97" s="9"/>
      <c r="C97" s="26" t="s">
        <v>3790</v>
      </c>
      <c r="D97" s="26" t="s">
        <v>935</v>
      </c>
      <c r="E97" s="46" t="str">
        <f>IFERROR(__xludf.DUMMYFUNCTION("IFERROR(VLOOKUP(C97,importrange(""https://docs.google.com/spreadsheets/d/1SQRLoxD_LXfQNfB7NOxI5jlxbkDlcNPwla_2gSTySP8/edit#gid=274515254"",""Tickets!$C$2:$D$155""),2,0),0)"),"チケット名")</f>
        <v>チケット名</v>
      </c>
    </row>
    <row r="98">
      <c r="A98" s="54" t="s">
        <v>1829</v>
      </c>
      <c r="C98" s="26" t="s">
        <v>1831</v>
      </c>
      <c r="D98" s="26" t="s">
        <v>1832</v>
      </c>
      <c r="E98" s="46" t="str">
        <f>IFERROR(__xludf.DUMMYFUNCTION("IFERROR(VLOOKUP(C98,importrange(""https://docs.google.com/spreadsheets/d/1SQRLoxD_LXfQNfB7NOxI5jlxbkDlcNPwla_2gSTySP8/edit#gid=274515254"",""Tickets!$C$2:$D$155""),2,0),0)"),"進捗")</f>
        <v>進捗</v>
      </c>
    </row>
    <row r="99">
      <c r="A99" s="54" t="s">
        <v>3728</v>
      </c>
      <c r="B99" s="8" t="s">
        <v>3791</v>
      </c>
      <c r="C99" s="118" t="s">
        <v>439</v>
      </c>
      <c r="D99" s="118" t="s">
        <v>440</v>
      </c>
      <c r="E99" s="46" t="str">
        <f>IFERROR(__xludf.DUMMYFUNCTION("IFERROR(VLOOKUP(C99,importrange(""https://docs.google.com/spreadsheets/d/1SQRLoxD_LXfQNfB7NOxI5jlxbkDlcNPwla_2gSTySP8/edit#gid=274515254"",""Tickets!$C$2:$D$155""),2,0),0)"),"なし")</f>
        <v>なし</v>
      </c>
    </row>
    <row r="100">
      <c r="A100" s="54" t="s">
        <v>326</v>
      </c>
      <c r="C100" s="118" t="s">
        <v>327</v>
      </c>
      <c r="D100" s="118" t="s">
        <v>328</v>
      </c>
      <c r="E100" s="46" t="str">
        <f>IFERROR(__xludf.DUMMYFUNCTION("IFERROR(VLOOKUP(C100,importrange(""https://docs.google.com/spreadsheets/d/1SQRLoxD_LXfQNfB7NOxI5jlxbkDlcNPwla_2gSTySP8/edit#gid=274515254"",""Tickets!$C$2:$D$155""),2,0),0)"),"名前")</f>
        <v>名前</v>
      </c>
    </row>
    <row r="101">
      <c r="A101" s="54" t="s">
        <v>3792</v>
      </c>
      <c r="C101" s="118" t="s">
        <v>3793</v>
      </c>
      <c r="D101" s="118" t="s">
        <v>3794</v>
      </c>
      <c r="E101" s="46" t="str">
        <f>IFERROR(__xludf.DUMMYFUNCTION("IFERROR(VLOOKUP(C101,importrange(""https://docs.google.com/spreadsheets/d/1SQRLoxD_LXfQNfB7NOxI5jlxbkDlcNPwla_2gSTySP8/edit#gid=274515254"",""Tickets!$C$2:$D$155""),2,0),0)"),"作成場所")</f>
        <v>作成場所</v>
      </c>
    </row>
    <row r="102">
      <c r="A102" s="108" t="str">
        <f>IFERROR(__xludf.DUMMYFUNCTION("JOIN(""-"",""app"",SPLIT(LOWER( C102),"" ""))"),"app-none")</f>
        <v>app-none</v>
      </c>
      <c r="B102" s="103" t="s">
        <v>3795</v>
      </c>
      <c r="C102" s="106" t="s">
        <v>439</v>
      </c>
      <c r="D102" s="127" t="s">
        <v>440</v>
      </c>
      <c r="E102" s="46" t="str">
        <f>IFERROR(__xludf.DUMMYFUNCTION("IFERROR(VLOOKUP(C102,importrange(""https://docs.google.com/spreadsheets/d/1SQRLoxD_LXfQNfB7NOxI5jlxbkDlcNPwla_2gSTySP8/edit#gid=274515254"",""Tickets!$C$2:$D$155""),2,0),0)"),"なし")</f>
        <v>なし</v>
      </c>
    </row>
    <row r="103">
      <c r="A103" s="108" t="str">
        <f>IFERROR(__xludf.DUMMYFUNCTION("JOIN(""-"",""app"",SPLIT(LOWER( C103),"" ""))"),"app-select-due-date-range")</f>
        <v>app-select-due-date-range</v>
      </c>
      <c r="C103" s="106" t="s">
        <v>1486</v>
      </c>
      <c r="D103" s="127" t="s">
        <v>1487</v>
      </c>
      <c r="E103" s="46" t="str">
        <f>IFERROR(__xludf.DUMMYFUNCTION("IFERROR(VLOOKUP(C103,importrange(""https://docs.google.com/spreadsheets/d/1SQRLoxD_LXfQNfB7NOxI5jlxbkDlcNPwla_2gSTySP8/edit#gid=274515254"",""Tickets!$C$2:$D$155""),2,0),0)"),"日付範囲選択")</f>
        <v>日付範囲選択</v>
      </c>
    </row>
    <row r="104">
      <c r="A104" s="108" t="str">
        <f>IFERROR(__xludf.DUMMYFUNCTION("JOIN(""-"",""app"",SPLIT(LOWER( C104),"" ""))"),"app-are-you-sure-you-want-to-delete-the-template?")</f>
        <v>app-are-you-sure-you-want-to-delete-the-template?</v>
      </c>
      <c r="B104" s="105" t="s">
        <v>3796</v>
      </c>
      <c r="C104" s="106" t="s">
        <v>3797</v>
      </c>
      <c r="D104" s="106" t="s">
        <v>3798</v>
      </c>
      <c r="E104" s="93" t="s">
        <v>3799</v>
      </c>
    </row>
    <row r="105">
      <c r="A105" s="108" t="str">
        <f>IFERROR(__xludf.DUMMYFUNCTION("JOIN(""-"",""app"",SPLIT(LOWER( C105),"" ""))"),"app-selected")</f>
        <v>app-selected</v>
      </c>
      <c r="B105" s="103" t="s">
        <v>3800</v>
      </c>
      <c r="C105" s="106" t="s">
        <v>757</v>
      </c>
      <c r="D105" s="106" t="s">
        <v>3707</v>
      </c>
      <c r="E105" s="93" t="s">
        <v>3708</v>
      </c>
    </row>
    <row r="106">
      <c r="A106" s="108" t="s">
        <v>948</v>
      </c>
      <c r="C106" s="106" t="s">
        <v>2829</v>
      </c>
      <c r="D106" s="106" t="s">
        <v>2829</v>
      </c>
      <c r="E106" s="46" t="str">
        <f>IFERROR(__xludf.DUMMYFUNCTION("IFERROR(VLOOKUP(C106,importrange(""https://docs.google.com/spreadsheets/d/1SQRLoxD_LXfQNfB7NOxI5jlxbkDlcNPwla_2gSTySP8/edit#gid=274515254"",""Tickets!$C$2:$D$155""),2,0),0)"),"新規チケット")</f>
        <v>新規チケット</v>
      </c>
    </row>
    <row r="107">
      <c r="A107" s="108" t="str">
        <f>IFERROR(__xludf.DUMMYFUNCTION("JOIN(""-"",""app"",SPLIT(LOWER( C107),"" ""))"),"app-none")</f>
        <v>app-none</v>
      </c>
      <c r="B107" s="103" t="s">
        <v>3801</v>
      </c>
      <c r="C107" s="106" t="s">
        <v>439</v>
      </c>
      <c r="D107" s="127" t="s">
        <v>440</v>
      </c>
      <c r="E107" s="46" t="str">
        <f>IFERROR(__xludf.DUMMYFUNCTION("IFERROR(VLOOKUP(C107,importrange(""https://docs.google.com/spreadsheets/d/1SQRLoxD_LXfQNfB7NOxI5jlxbkDlcNPwla_2gSTySP8/edit#gid=274515254"",""Tickets!$C$2:$D$155""),2,0),0)"),"なし")</f>
        <v>なし</v>
      </c>
    </row>
    <row r="108">
      <c r="A108" s="108" t="str">
        <f>IFERROR(__xludf.DUMMYFUNCTION("JOIN(""-"",""app"",SPLIT(LOWER( C108),"" ""))"),"app-select-due-date-range")</f>
        <v>app-select-due-date-range</v>
      </c>
      <c r="C108" s="106" t="s">
        <v>1486</v>
      </c>
      <c r="D108" s="127" t="s">
        <v>1487</v>
      </c>
      <c r="E108" s="46" t="str">
        <f>IFERROR(__xludf.DUMMYFUNCTION("IFERROR(VLOOKUP(C108,importrange(""https://docs.google.com/spreadsheets/d/1SQRLoxD_LXfQNfB7NOxI5jlxbkDlcNPwla_2gSTySP8/edit#gid=274515254"",""Tickets!$C$2:$D$155""),2,0),0)"),"日付範囲選択")</f>
        <v>日付範囲選択</v>
      </c>
    </row>
    <row r="109">
      <c r="A109" s="108" t="str">
        <f>IFERROR(__xludf.DUMMYFUNCTION("JOIN(""-"",""app"",SPLIT(LOWER( C109),"" ""))"),"app-none")</f>
        <v>app-none</v>
      </c>
      <c r="B109" s="103" t="s">
        <v>3802</v>
      </c>
      <c r="C109" s="106" t="s">
        <v>439</v>
      </c>
      <c r="D109" s="127" t="s">
        <v>440</v>
      </c>
      <c r="E109" s="46" t="str">
        <f>IFERROR(__xludf.DUMMYFUNCTION("IFERROR(VLOOKUP(C109,importrange(""https://docs.google.com/spreadsheets/d/1SQRLoxD_LXfQNfB7NOxI5jlxbkDlcNPwla_2gSTySP8/edit#gid=274515254"",""Tickets!$C$2:$D$155""),2,0),0)"),"なし")</f>
        <v>なし</v>
      </c>
    </row>
    <row r="110">
      <c r="A110" s="108" t="str">
        <f>IFERROR(__xludf.DUMMYFUNCTION("JOIN(""-"",""app"",SPLIT(LOWER( C110),"" ""))"),"app-name")</f>
        <v>app-name</v>
      </c>
      <c r="C110" s="106" t="s">
        <v>327</v>
      </c>
      <c r="D110" s="106" t="s">
        <v>328</v>
      </c>
      <c r="E110" s="46" t="str">
        <f>IFERROR(__xludf.DUMMYFUNCTION("IFERROR(VLOOKUP(C110,importrange(""https://docs.google.com/spreadsheets/d/1SQRLoxD_LXfQNfB7NOxI5jlxbkDlcNPwla_2gSTySP8/edit#gid=274515254"",""Tickets!$C$2:$D$155""),2,0),0)"),"名前")</f>
        <v>名前</v>
      </c>
    </row>
    <row r="111">
      <c r="A111" s="108" t="str">
        <f>IFERROR(__xludf.DUMMYFUNCTION("JOIN(""-"",""app"",SPLIT(LOWER( C111),"" ""))"),"app-created")</f>
        <v>app-created</v>
      </c>
      <c r="C111" s="106" t="s">
        <v>3622</v>
      </c>
      <c r="D111" s="106" t="s">
        <v>3623</v>
      </c>
      <c r="E111" s="93" t="s">
        <v>3803</v>
      </c>
    </row>
    <row r="112">
      <c r="A112" s="108" t="str">
        <f>IFERROR(__xludf.DUMMYFUNCTION("JOIN(""-"",""app"",SPLIT(LOWER( C112),"" ""))"),"app-new-checklist")</f>
        <v>app-new-checklist</v>
      </c>
      <c r="C112" s="106" t="s">
        <v>3079</v>
      </c>
      <c r="D112" s="106" t="s">
        <v>3080</v>
      </c>
      <c r="E112" s="93" t="s">
        <v>3081</v>
      </c>
    </row>
    <row r="113">
      <c r="A113" s="108" t="str">
        <f>IFERROR(__xludf.DUMMYFUNCTION("JOIN(""-"",""app"",SPLIT(LOWER( C113),"" ""))"),"app-checklist-name")</f>
        <v>app-checklist-name</v>
      </c>
      <c r="B113" s="103" t="s">
        <v>3804</v>
      </c>
      <c r="C113" s="106" t="s">
        <v>3805</v>
      </c>
      <c r="D113" s="106" t="s">
        <v>3806</v>
      </c>
      <c r="E113" s="93" t="s">
        <v>3807</v>
      </c>
    </row>
    <row r="114">
      <c r="A114" s="108" t="str">
        <f>IFERROR(__xludf.DUMMYFUNCTION("JOIN(""-"",""app"",SPLIT(LOWER( C114),"" ""))"),"app-create-new-checklist")</f>
        <v>app-create-new-checklist</v>
      </c>
      <c r="C114" s="106" t="s">
        <v>3808</v>
      </c>
      <c r="D114" s="106" t="s">
        <v>3809</v>
      </c>
      <c r="E114" s="93" t="s">
        <v>3087</v>
      </c>
    </row>
    <row r="115">
      <c r="A115" s="108" t="str">
        <f>IFERROR(__xludf.DUMMYFUNCTION("JOIN(""-"",""app"",SPLIT(LOWER( C115),"" ""))"),"app-are-you-sure-you-want-to-delete-the-checklist?")</f>
        <v>app-are-you-sure-you-want-to-delete-the-checklist?</v>
      </c>
      <c r="B115" s="105" t="s">
        <v>3810</v>
      </c>
      <c r="C115" s="106" t="s">
        <v>3811</v>
      </c>
      <c r="D115" s="106" t="s">
        <v>3812</v>
      </c>
      <c r="E115" s="93" t="s">
        <v>3813</v>
      </c>
    </row>
    <row r="116">
      <c r="A116" s="54" t="s">
        <v>590</v>
      </c>
      <c r="B116" s="8" t="s">
        <v>3814</v>
      </c>
      <c r="C116" s="118" t="s">
        <v>592</v>
      </c>
      <c r="D116" s="118" t="s">
        <v>593</v>
      </c>
      <c r="E116" s="46" t="str">
        <f>IFERROR(__xludf.DUMMYFUNCTION("IFERROR(VLOOKUP(C116,importrange(""https://docs.google.com/spreadsheets/d/1SQRLoxD_LXfQNfB7NOxI5jlxbkDlcNPwla_2gSTySP8/edit#gid=274515254"",""Tickets!$C$2:$D$155""),2,0),0)"),"毎月")</f>
        <v>毎月</v>
      </c>
    </row>
    <row r="117" ht="19.5" customHeight="1">
      <c r="A117" s="54" t="s">
        <v>3815</v>
      </c>
      <c r="C117" s="118" t="s">
        <v>1678</v>
      </c>
      <c r="D117" s="26" t="s">
        <v>1679</v>
      </c>
      <c r="E117" s="46" t="str">
        <f>IFERROR(__xludf.DUMMYFUNCTION("IFERROR(VLOOKUP(C117,importrange(""https://docs.google.com/spreadsheets/d/1SQRLoxD_LXfQNfB7NOxI5jlxbkDlcNPwla_2gSTySP8/edit#gid=274515254"",""Tickets!$C$2:$D$155""),2,0),0)"),"新規スケジュール")</f>
        <v>新規スケジュール</v>
      </c>
    </row>
    <row r="118">
      <c r="A118" s="54" t="s">
        <v>3816</v>
      </c>
      <c r="C118" s="26" t="s">
        <v>3817</v>
      </c>
      <c r="D118" s="26" t="s">
        <v>824</v>
      </c>
      <c r="E118" s="46" t="str">
        <f>IFERROR(__xludf.DUMMYFUNCTION("IFERROR(VLOOKUP(C118,importrange(""https://docs.google.com/spreadsheets/d/1SQRLoxD_LXfQNfB7NOxI5jlxbkDlcNPwla_2gSTySP8/edit#gid=274515254"",""Tickets!$C$2:$D$155""),2,0),0)"),"次回のスケジュール設定")</f>
        <v>次回のスケジュール設定</v>
      </c>
    </row>
    <row r="119">
      <c r="A119" s="54" t="s">
        <v>3818</v>
      </c>
      <c r="C119" s="26" t="s">
        <v>3819</v>
      </c>
      <c r="D119" s="26" t="s">
        <v>3350</v>
      </c>
      <c r="E119" s="46" t="str">
        <f>IFERROR(__xludf.DUMMYFUNCTION("IFERROR(VLOOKUP(C119,importrange(""https://docs.google.com/spreadsheets/d/1SQRLoxD_LXfQNfB7NOxI5jlxbkDlcNPwla_2gSTySP8/edit#gid=274515254"",""Tickets!$C$2:$D$155""),2,0),0)"),"作成日")</f>
        <v>作成日</v>
      </c>
    </row>
    <row r="120" ht="21.0" customHeight="1">
      <c r="A120" s="102" t="str">
        <f>IFERROR(__xludf.DUMMYFUNCTION("JOIN(""-"",""app"",SPLIT(LOWER( C120),"" ""))"),"app-create-new-schedule")</f>
        <v>app-create-new-schedule</v>
      </c>
      <c r="B120" s="160" t="s">
        <v>3820</v>
      </c>
      <c r="C120" s="154" t="s">
        <v>3821</v>
      </c>
      <c r="D120" s="154" t="s">
        <v>3822</v>
      </c>
      <c r="E120" s="93" t="s">
        <v>3823</v>
      </c>
    </row>
    <row r="121" ht="21.0" customHeight="1">
      <c r="A121" s="54" t="s">
        <v>297</v>
      </c>
      <c r="B121" s="8" t="s">
        <v>3824</v>
      </c>
      <c r="C121" s="26" t="s">
        <v>298</v>
      </c>
      <c r="D121" s="26" t="s">
        <v>299</v>
      </c>
      <c r="E121" s="46" t="str">
        <f>IFERROR(__xludf.DUMMYFUNCTION("IFERROR(VLOOKUP(C121,importrange(""https://docs.google.com/spreadsheets/d/1SQRLoxD_LXfQNfB7NOxI5jlxbkDlcNPwla_2gSTySP8/edit#gid=274515254"",""Tickets!$C$2:$D$155""),2,0),0)"),"編集")</f>
        <v>編集</v>
      </c>
    </row>
    <row r="122">
      <c r="A122" s="54" t="s">
        <v>257</v>
      </c>
      <c r="C122" s="26" t="s">
        <v>259</v>
      </c>
      <c r="D122" s="26" t="s">
        <v>260</v>
      </c>
      <c r="E122" s="46" t="str">
        <f>IFERROR(__xludf.DUMMYFUNCTION("IFERROR(VLOOKUP(C122,importrange(""https://docs.google.com/spreadsheets/d/1SQRLoxD_LXfQNfB7NOxI5jlxbkDlcNPwla_2gSTySP8/edit#gid=274515254"",""Tickets!$C$2:$D$155""),2,0),0)"),"削除")</f>
        <v>削除</v>
      </c>
    </row>
    <row r="123" ht="22.5" customHeight="1">
      <c r="A123" s="54" t="s">
        <v>3825</v>
      </c>
      <c r="B123" s="8" t="s">
        <v>3826</v>
      </c>
      <c r="C123" s="118" t="s">
        <v>3827</v>
      </c>
      <c r="D123" s="118" t="s">
        <v>3828</v>
      </c>
      <c r="E123" s="46" t="str">
        <f>IFERROR(__xludf.DUMMYFUNCTION("IFERROR(VLOOKUP(C123,importrange(""https://docs.google.com/spreadsheets/d/1SQRLoxD_LXfQNfB7NOxI5jlxbkDlcNPwla_2gSTySP8/edit#gid=274515254"",""Tickets!$C$2:$D$155""),2,0),0)"),"レポートなし")</f>
        <v>レポートなし</v>
      </c>
    </row>
    <row r="124" ht="21.75" customHeight="1">
      <c r="A124" s="54" t="s">
        <v>3829</v>
      </c>
      <c r="C124" s="118" t="s">
        <v>3830</v>
      </c>
      <c r="D124" s="118" t="s">
        <v>3831</v>
      </c>
      <c r="E124" s="46" t="str">
        <f>IFERROR(__xludf.DUMMYFUNCTION("IFERROR(VLOOKUP(C124,importrange(""https://docs.google.com/spreadsheets/d/1SQRLoxD_LXfQNfB7NOxI5jlxbkDlcNPwla_2gSTySP8/edit#gid=274515254"",""Tickets!$C$2:$D$155""),2,0),0)"),"レポートを追加")</f>
        <v>レポートを追加</v>
      </c>
    </row>
    <row r="125">
      <c r="A125" s="54" t="s">
        <v>3832</v>
      </c>
      <c r="B125" s="8" t="s">
        <v>3833</v>
      </c>
      <c r="C125" s="118" t="s">
        <v>3834</v>
      </c>
      <c r="D125" s="118" t="s">
        <v>3835</v>
      </c>
      <c r="E125" s="46" t="str">
        <f>IFERROR(__xludf.DUMMYFUNCTION("IFERROR(VLOOKUP(C125,importrange(""https://docs.google.com/spreadsheets/d/1SQRLoxD_LXfQNfB7NOxI5jlxbkDlcNPwla_2gSTySP8/edit#gid=274515254"",""Tickets!$C$2:$D$155""),2,0),0)"),"新規レポートの作成")</f>
        <v>新規レポートの作成</v>
      </c>
    </row>
    <row r="126">
      <c r="A126" s="54" t="s">
        <v>3836</v>
      </c>
      <c r="C126" s="118" t="s">
        <v>3837</v>
      </c>
      <c r="D126" s="26" t="s">
        <v>3838</v>
      </c>
      <c r="E126" s="46" t="str">
        <f>IFERROR(__xludf.DUMMYFUNCTION("IFERROR(VLOOKUP(C126,importrange(""https://docs.google.com/spreadsheets/d/1SQRLoxD_LXfQNfB7NOxI5jlxbkDlcNPwla_2gSTySP8/edit#gid=274515254"",""Tickets!$C$2:$D$155""),2,0),0)"),"グラフタイトル")</f>
        <v>グラフタイトル</v>
      </c>
    </row>
    <row r="127">
      <c r="A127" s="54" t="s">
        <v>3839</v>
      </c>
      <c r="C127" s="118" t="s">
        <v>3840</v>
      </c>
      <c r="D127" s="118" t="s">
        <v>3841</v>
      </c>
      <c r="E127" s="46" t="str">
        <f>IFERROR(__xludf.DUMMYFUNCTION("IFERROR(VLOOKUP(C127,importrange(""https://docs.google.com/spreadsheets/d/1SQRLoxD_LXfQNfB7NOxI5jlxbkDlcNPwla_2gSTySP8/edit#gid=274515254"",""Tickets!$C$2:$D$155""),2,0),0)"),"フィールド")</f>
        <v>フィールド</v>
      </c>
    </row>
    <row r="128">
      <c r="A128" s="54" t="s">
        <v>2758</v>
      </c>
      <c r="C128" s="26" t="s">
        <v>3481</v>
      </c>
      <c r="D128" s="26" t="s">
        <v>2760</v>
      </c>
      <c r="E128" s="46" t="str">
        <f>IFERROR(__xludf.DUMMYFUNCTION("IFERROR(VLOOKUP(C128,importrange(""https://docs.google.com/spreadsheets/d/1SQRLoxD_LXfQNfB7NOxI5jlxbkDlcNPwla_2gSTySP8/edit#gid=274515254"",""Tickets!$C$2:$D$155""),2,0),0)"),"グループ化基準")</f>
        <v>グループ化基準</v>
      </c>
    </row>
    <row r="129">
      <c r="A129" s="54" t="s">
        <v>3842</v>
      </c>
      <c r="C129" s="118" t="s">
        <v>3843</v>
      </c>
      <c r="D129" s="26" t="s">
        <v>3844</v>
      </c>
      <c r="E129" s="46" t="str">
        <f>IFERROR(__xludf.DUMMYFUNCTION("IFERROR(VLOOKUP(C129,importrange(""https://docs.google.com/spreadsheets/d/1SQRLoxD_LXfQNfB7NOxI5jlxbkDlcNPwla_2gSTySP8/edit#gid=274515254"",""Tickets!$C$2:$D$155""),2,0),0)"),"チャートタイプ")</f>
        <v>チャートタイプ</v>
      </c>
    </row>
    <row r="130">
      <c r="A130" s="54" t="s">
        <v>3845</v>
      </c>
      <c r="C130" s="118" t="s">
        <v>3846</v>
      </c>
      <c r="D130" s="26" t="s">
        <v>3847</v>
      </c>
      <c r="E130" s="46" t="str">
        <f>IFERROR(__xludf.DUMMYFUNCTION("IFERROR(VLOOKUP(C130,importrange(""https://docs.google.com/spreadsheets/d/1SQRLoxD_LXfQNfB7NOxI5jlxbkDlcNPwla_2gSTySP8/edit#gid=274515254"",""Tickets!$C$2:$D$155""),2,0),0)"),"棒グラフ（横）")</f>
        <v>棒グラフ（横）</v>
      </c>
    </row>
    <row r="131">
      <c r="A131" s="54" t="s">
        <v>3848</v>
      </c>
      <c r="C131" s="118" t="s">
        <v>3849</v>
      </c>
      <c r="D131" s="26" t="s">
        <v>3850</v>
      </c>
      <c r="E131" s="46" t="str">
        <f>IFERROR(__xludf.DUMMYFUNCTION("IFERROR(VLOOKUP(C131,importrange(""https://docs.google.com/spreadsheets/d/1SQRLoxD_LXfQNfB7NOxI5jlxbkDlcNPwla_2gSTySP8/edit#gid=274515254"",""Tickets!$C$2:$D$155""),2,0),0)"),"棒グラフ（縦）")</f>
        <v>棒グラフ（縦）</v>
      </c>
    </row>
    <row r="132">
      <c r="A132" s="54" t="s">
        <v>3851</v>
      </c>
      <c r="C132" s="118" t="s">
        <v>3852</v>
      </c>
      <c r="D132" s="26" t="s">
        <v>3853</v>
      </c>
      <c r="E132" s="46" t="str">
        <f>IFERROR(__xludf.DUMMYFUNCTION("IFERROR(VLOOKUP(C132,importrange(""https://docs.google.com/spreadsheets/d/1SQRLoxD_LXfQNfB7NOxI5jlxbkDlcNPwla_2gSTySP8/edit#gid=274515254"",""Tickets!$C$2:$D$155""),2,0),0)"),"円グラフ")</f>
        <v>円グラフ</v>
      </c>
    </row>
    <row r="133">
      <c r="A133" s="54" t="s">
        <v>3854</v>
      </c>
      <c r="C133" s="118" t="s">
        <v>3855</v>
      </c>
      <c r="D133" s="26" t="s">
        <v>3856</v>
      </c>
      <c r="E133" s="46" t="str">
        <f>IFERROR(__xludf.DUMMYFUNCTION("IFERROR(VLOOKUP(C133,importrange(""https://docs.google.com/spreadsheets/d/1SQRLoxD_LXfQNfB7NOxI5jlxbkDlcNPwla_2gSTySP8/edit#gid=274515254"",""Tickets!$C$2:$D$155""),2,0),0)"),"線グラフ")</f>
        <v>線グラフ</v>
      </c>
    </row>
    <row r="134">
      <c r="A134" s="54" t="s">
        <v>3857</v>
      </c>
      <c r="C134" s="118" t="s">
        <v>3858</v>
      </c>
      <c r="D134" s="26" t="s">
        <v>3859</v>
      </c>
      <c r="E134" s="46" t="str">
        <f>IFERROR(__xludf.DUMMYFUNCTION("IFERROR(VLOOKUP(C134,importrange(""https://docs.google.com/spreadsheets/d/1SQRLoxD_LXfQNfB7NOxI5jlxbkDlcNPwla_2gSTySP8/edit#gid=274515254"",""Tickets!$C$2:$D$155""),2,0),0)"),"散布図")</f>
        <v>散布図</v>
      </c>
    </row>
    <row r="135">
      <c r="A135" s="54" t="s">
        <v>3860</v>
      </c>
      <c r="C135" s="118" t="s">
        <v>3861</v>
      </c>
      <c r="D135" s="118" t="s">
        <v>3862</v>
      </c>
      <c r="E135" s="46" t="str">
        <f>IFERROR(__xludf.DUMMYFUNCTION("IFERROR(VLOOKUP(C135,importrange(""https://docs.google.com/spreadsheets/d/1SQRLoxD_LXfQNfB7NOxI5jlxbkDlcNPwla_2gSTySP8/edit#gid=274515254"",""Tickets!$C$2:$D$155""),2,0),0)"),"積み上げグラフ")</f>
        <v>積み上げグラフ</v>
      </c>
    </row>
    <row r="136">
      <c r="A136" s="54" t="s">
        <v>3863</v>
      </c>
      <c r="C136" s="118" t="s">
        <v>3864</v>
      </c>
      <c r="D136" s="118" t="s">
        <v>3865</v>
      </c>
      <c r="E136" s="46" t="str">
        <f>IFERROR(__xludf.DUMMYFUNCTION("IFERROR(VLOOKUP(C136,importrange(""https://docs.google.com/spreadsheets/d/1SQRLoxD_LXfQNfB7NOxI5jlxbkDlcNPwla_2gSTySP8/edit#gid=274515254"",""Tickets!$C$2:$D$155""),2,0),0)"),"フィルタを追加")</f>
        <v>フィルタを追加</v>
      </c>
    </row>
    <row r="137">
      <c r="A137" s="54" t="s">
        <v>3866</v>
      </c>
      <c r="C137" s="118" t="s">
        <v>3867</v>
      </c>
      <c r="D137" s="118" t="s">
        <v>3868</v>
      </c>
      <c r="E137" s="46" t="str">
        <f>IFERROR(__xludf.DUMMYFUNCTION("IFERROR(VLOOKUP(C137,importrange(""https://docs.google.com/spreadsheets/d/1SQRLoxD_LXfQNfB7NOxI5jlxbkDlcNPwla_2gSTySP8/edit#gid=274515254"",""Tickets!$C$2:$D$155""),2,0),0)"),"ステータス更新")</f>
        <v>ステータス更新</v>
      </c>
    </row>
    <row r="138">
      <c r="A138" s="54" t="s">
        <v>3869</v>
      </c>
      <c r="C138" s="118" t="s">
        <v>3870</v>
      </c>
      <c r="D138" s="118" t="s">
        <v>3871</v>
      </c>
      <c r="E138" s="46" t="str">
        <f>IFERROR(__xludf.DUMMYFUNCTION("IFERROR(VLOOKUP(C138,importrange(""https://docs.google.com/spreadsheets/d/1SQRLoxD_LXfQNfB7NOxI5jlxbkDlcNPwla_2gSTySP8/edit#gid=274515254"",""Tickets!$C$2:$D$155""),2,0),0)"),"レポートを追加")</f>
        <v>レポートを追加</v>
      </c>
    </row>
    <row r="139">
      <c r="A139" s="108" t="s">
        <v>335</v>
      </c>
      <c r="B139" s="103" t="s">
        <v>3872</v>
      </c>
      <c r="C139" s="161" t="s">
        <v>442</v>
      </c>
      <c r="D139" s="122" t="s">
        <v>337</v>
      </c>
      <c r="E139" s="46" t="str">
        <f>IFERROR(__xludf.DUMMYFUNCTION("IFERROR(VLOOKUP(C139,importrange(""https://docs.google.com/spreadsheets/d/1SQRLoxD_LXfQNfB7NOxI5jlxbkDlcNPwla_2gSTySP8/edit#gid=274515254"",""Tickets!$C$2:$D$155""),2,0),0)"),"担当者")</f>
        <v>担当者</v>
      </c>
    </row>
    <row r="140">
      <c r="A140" s="108" t="s">
        <v>341</v>
      </c>
      <c r="C140" s="122" t="s">
        <v>342</v>
      </c>
      <c r="D140" s="122" t="s">
        <v>343</v>
      </c>
      <c r="E140" s="46" t="str">
        <f>IFERROR(__xludf.DUMMYFUNCTION("IFERROR(VLOOKUP(C140,importrange(""https://docs.google.com/spreadsheets/d/1SQRLoxD_LXfQNfB7NOxI5jlxbkDlcNPwla_2gSTySP8/edit#gid=274515254"",""Tickets!$C$2:$D$155""),2,0),0)"),"優先順位")</f>
        <v>優先順位</v>
      </c>
    </row>
    <row r="141">
      <c r="A141" s="108" t="s">
        <v>345</v>
      </c>
      <c r="C141" s="122" t="s">
        <v>346</v>
      </c>
      <c r="D141" s="122" t="s">
        <v>347</v>
      </c>
      <c r="E141" s="46" t="str">
        <f>IFERROR(__xludf.DUMMYFUNCTION("IFERROR(VLOOKUP(C141,importrange(""https://docs.google.com/spreadsheets/d/1SQRLoxD_LXfQNfB7NOxI5jlxbkDlcNPwla_2gSTySP8/edit#gid=274515254"",""Tickets!$C$2:$D$155""),2,0),0)"),"タグ")</f>
        <v>タグ</v>
      </c>
    </row>
    <row r="142">
      <c r="A142" s="108" t="str">
        <f>IFERROR(__xludf.DUMMYFUNCTION("JOIN(""-"",""app"",SPLIT(LOWER( C142),"" ""))"),"app-status")</f>
        <v>app-status</v>
      </c>
      <c r="C142" s="122" t="s">
        <v>339</v>
      </c>
      <c r="D142" s="122" t="s">
        <v>340</v>
      </c>
      <c r="E142" s="46" t="str">
        <f>IFERROR(__xludf.DUMMYFUNCTION("IFERROR(VLOOKUP(C142,importrange(""https://docs.google.com/spreadsheets/d/1SQRLoxD_LXfQNfB7NOxI5jlxbkDlcNPwla_2gSTySP8/edit#gid=274515254"",""Tickets!$C$2:$D$155""),2,0),0)"),"ステータス")</f>
        <v>ステータス</v>
      </c>
    </row>
    <row r="143">
      <c r="A143" s="108" t="str">
        <f>IFERROR(__xludf.DUMMYFUNCTION("JOIN(""-"",""app"",SPLIT(LOWER( C143),"" ""))"),"app-due-date")</f>
        <v>app-due-date</v>
      </c>
      <c r="C143" s="122" t="s">
        <v>443</v>
      </c>
      <c r="D143" s="122" t="s">
        <v>1478</v>
      </c>
      <c r="E143" s="46" t="str">
        <f>IFERROR(__xludf.DUMMYFUNCTION("IFERROR(VLOOKUP(C143,importrange(""https://docs.google.com/spreadsheets/d/1SQRLoxD_LXfQNfB7NOxI5jlxbkDlcNPwla_2gSTySP8/edit#gid=274515254"",""Tickets!$C$2:$D$155""),2,0),0)"),"期限切れ")</f>
        <v>期限切れ</v>
      </c>
    </row>
    <row r="144">
      <c r="A144" s="108" t="s">
        <v>335</v>
      </c>
      <c r="B144" s="103" t="s">
        <v>3873</v>
      </c>
      <c r="C144" s="122" t="s">
        <v>336</v>
      </c>
      <c r="D144" s="122" t="s">
        <v>337</v>
      </c>
      <c r="E144" s="93" t="s">
        <v>3874</v>
      </c>
    </row>
    <row r="145">
      <c r="A145" s="108" t="s">
        <v>341</v>
      </c>
      <c r="C145" s="122" t="s">
        <v>342</v>
      </c>
      <c r="D145" s="122" t="s">
        <v>343</v>
      </c>
      <c r="E145" s="46" t="str">
        <f>IFERROR(__xludf.DUMMYFUNCTION("IFERROR(VLOOKUP(C145,importrange(""https://docs.google.com/spreadsheets/d/1SQRLoxD_LXfQNfB7NOxI5jlxbkDlcNPwla_2gSTySP8/edit#gid=274515254"",""Tickets!$C$2:$D$155""),2,0),0)"),"優先順位")</f>
        <v>優先順位</v>
      </c>
    </row>
    <row r="146">
      <c r="A146" s="108" t="s">
        <v>345</v>
      </c>
      <c r="C146" s="122" t="s">
        <v>346</v>
      </c>
      <c r="D146" s="122" t="s">
        <v>347</v>
      </c>
      <c r="E146" s="46" t="str">
        <f>IFERROR(__xludf.DUMMYFUNCTION("IFERROR(VLOOKUP(C146,importrange(""https://docs.google.com/spreadsheets/d/1SQRLoxD_LXfQNfB7NOxI5jlxbkDlcNPwla_2gSTySP8/edit#gid=274515254"",""Tickets!$C$2:$D$155""),2,0),0)"),"タグ")</f>
        <v>タグ</v>
      </c>
    </row>
    <row r="147">
      <c r="A147" s="108" t="str">
        <f>IFERROR(__xludf.DUMMYFUNCTION("JOIN(""-"",""app"",SPLIT(LOWER( C147),"" ""))"),"app-status")</f>
        <v>app-status</v>
      </c>
      <c r="C147" s="122" t="s">
        <v>339</v>
      </c>
      <c r="D147" s="122" t="s">
        <v>340</v>
      </c>
      <c r="E147" s="46" t="str">
        <f>IFERROR(__xludf.DUMMYFUNCTION("IFERROR(VLOOKUP(C147,importrange(""https://docs.google.com/spreadsheets/d/1SQRLoxD_LXfQNfB7NOxI5jlxbkDlcNPwla_2gSTySP8/edit#gid=274515254"",""Tickets!$C$2:$D$155""),2,0),0)"),"ステータス")</f>
        <v>ステータス</v>
      </c>
    </row>
    <row r="148">
      <c r="A148" s="108" t="str">
        <f>IFERROR(__xludf.DUMMYFUNCTION("JOIN(""-"",""app"",SPLIT(LOWER( C148),"" ""))"),"app-due-date")</f>
        <v>app-due-date</v>
      </c>
      <c r="C148" s="122" t="s">
        <v>443</v>
      </c>
      <c r="D148" s="122" t="s">
        <v>1478</v>
      </c>
      <c r="E148" s="46" t="str">
        <f>IFERROR(__xludf.DUMMYFUNCTION("IFERROR(VLOOKUP(C148,importrange(""https://docs.google.com/spreadsheets/d/1SQRLoxD_LXfQNfB7NOxI5jlxbkDlcNPwla_2gSTySP8/edit#gid=274515254"",""Tickets!$C$2:$D$155""),2,0),0)"),"期限切れ")</f>
        <v>期限切れ</v>
      </c>
    </row>
    <row r="149">
      <c r="A149" s="108" t="str">
        <f>IFERROR(__xludf.DUMMYFUNCTION("JOIN(""-"",""app"",SPLIT(LOWER( C149),"" ""))"),"app-none")</f>
        <v>app-none</v>
      </c>
      <c r="C149" s="122" t="s">
        <v>439</v>
      </c>
      <c r="D149" s="122" t="s">
        <v>440</v>
      </c>
      <c r="E149" s="46" t="str">
        <f>IFERROR(__xludf.DUMMYFUNCTION("IFERROR(VLOOKUP(C149,importrange(""https://docs.google.com/spreadsheets/d/1SQRLoxD_LXfQNfB7NOxI5jlxbkDlcNPwla_2gSTySP8/edit#gid=274515254"",""Tickets!$C$2:$D$155""),2,0),0)"),"なし")</f>
        <v>なし</v>
      </c>
    </row>
    <row r="150">
      <c r="A150" s="108" t="str">
        <f>IFERROR(__xludf.DUMMYFUNCTION("JOIN(""-"",""app"",SPLIT(LOWER( C150),"" ""))"),"app-select")</f>
        <v>app-select</v>
      </c>
      <c r="C150" s="122" t="s">
        <v>971</v>
      </c>
      <c r="D150" s="122" t="s">
        <v>972</v>
      </c>
      <c r="E150" s="93" t="s">
        <v>2988</v>
      </c>
    </row>
    <row r="151">
      <c r="A151" s="108" t="str">
        <f>IFERROR(__xludf.DUMMYFUNCTION("JOIN(""-"",""app"",SPLIT(LOWER( C151),"" ""))"),"app-none")</f>
        <v>app-none</v>
      </c>
      <c r="B151" s="128" t="s">
        <v>3875</v>
      </c>
      <c r="C151" s="122" t="s">
        <v>439</v>
      </c>
      <c r="D151" s="122" t="s">
        <v>440</v>
      </c>
      <c r="E151" s="46" t="str">
        <f>IFERROR(__xludf.DUMMYFUNCTION("IFERROR(VLOOKUP(C151,importrange(""https://docs.google.com/spreadsheets/d/1SQRLoxD_LXfQNfB7NOxI5jlxbkDlcNPwla_2gSTySP8/edit#gid=274515254"",""Tickets!$C$2:$D$155""),2,0),0)"),"なし")</f>
        <v>なし</v>
      </c>
    </row>
    <row r="152">
      <c r="A152" s="108" t="s">
        <v>1961</v>
      </c>
      <c r="B152" s="106"/>
      <c r="C152" s="148" t="s">
        <v>3876</v>
      </c>
      <c r="D152" s="121" t="s">
        <v>3877</v>
      </c>
      <c r="E152" s="46" t="str">
        <f>IFERROR(__xludf.DUMMYFUNCTION("IFERROR(VLOOKUP(C152,importrange(""https://docs.google.com/spreadsheets/d/1SQRLoxD_LXfQNfB7NOxI5jlxbkDlcNPwla_2gSTySP8/edit#gid=274515254"",""Tickets!$C$2:$D$155""),2,0),0)"),"新規チケット名")</f>
        <v>新規チケット名</v>
      </c>
    </row>
    <row r="153">
      <c r="A153" s="54" t="s">
        <v>1965</v>
      </c>
      <c r="B153" s="7"/>
      <c r="C153" s="113" t="s">
        <v>3878</v>
      </c>
      <c r="D153" s="121" t="s">
        <v>3879</v>
      </c>
      <c r="E153" s="46" t="str">
        <f>IFERROR(__xludf.DUMMYFUNCTION("IFERROR(VLOOKUP(C153,importrange(""https://docs.google.com/spreadsheets/d/1SQRLoxD_LXfQNfB7NOxI5jlxbkDlcNPwla_2gSTySP8/edit#gid=274515254"",""Tickets!$C$2:$D$155""),2,0),0)"),"何をコピーしますか？")</f>
        <v>何をコピーしますか？</v>
      </c>
    </row>
    <row r="154">
      <c r="A154" s="54" t="s">
        <v>3880</v>
      </c>
      <c r="B154" s="7"/>
      <c r="C154" s="113" t="s">
        <v>3881</v>
      </c>
      <c r="D154" s="121" t="s">
        <v>3882</v>
      </c>
      <c r="E154" s="46" t="str">
        <f>IFERROR(__xludf.DUMMYFUNCTION("IFERROR(VLOOKUP(C154,importrange(""https://docs.google.com/spreadsheets/d/1SQRLoxD_LXfQNfB7NOxI5jlxbkDlcNPwla_2gSTySP8/edit#gid=274515254"",""Tickets!$C$2:$D$155""),2,0),0)"),"説明 (任意)")</f>
        <v>説明 (任意)</v>
      </c>
    </row>
    <row r="155">
      <c r="A155" s="54" t="s">
        <v>3883</v>
      </c>
      <c r="B155" s="7"/>
      <c r="C155" s="113" t="s">
        <v>3884</v>
      </c>
      <c r="D155" s="121" t="s">
        <v>3885</v>
      </c>
      <c r="E155" s="46" t="str">
        <f>IFERROR(__xludf.DUMMYFUNCTION("IFERROR(VLOOKUP(C155,importrange(""https://docs.google.com/spreadsheets/d/1SQRLoxD_LXfQNfB7NOxI5jlxbkDlcNPwla_2gSTySP8/edit#gid=274515254"",""Tickets!$C$2:$D$155""),2,0),0)"),"管理者へ移動")</f>
        <v>管理者へ移動</v>
      </c>
    </row>
    <row r="156">
      <c r="A156" s="54" t="s">
        <v>3886</v>
      </c>
      <c r="B156" s="7"/>
      <c r="C156" s="113" t="s">
        <v>3887</v>
      </c>
      <c r="D156" s="121" t="s">
        <v>3888</v>
      </c>
      <c r="E156" s="46" t="str">
        <f>IFERROR(__xludf.DUMMYFUNCTION("IFERROR(VLOOKUP(C156,importrange(""https://docs.google.com/spreadsheets/d/1SQRLoxD_LXfQNfB7NOxI5jlxbkDlcNPwla_2gSTySP8/edit#gid=274515254"",""Tickets!$C$2:$D$155""),2,0),0)"),"ユーザーへ移動")</f>
        <v>ユーザーへ移動</v>
      </c>
    </row>
    <row r="157">
      <c r="A157" s="54" t="s">
        <v>3889</v>
      </c>
      <c r="B157" s="7"/>
      <c r="C157" s="113" t="s">
        <v>3890</v>
      </c>
      <c r="D157" s="121" t="s">
        <v>3891</v>
      </c>
      <c r="E157" s="46" t="str">
        <f>IFERROR(__xludf.DUMMYFUNCTION("IFERROR(VLOOKUP(C157,importrange(""https://docs.google.com/spreadsheets/d/1SQRLoxD_LXfQNfB7NOxI5jlxbkDlcNPwla_2gSTySP8/edit#gid=274515254"",""Tickets!$C$2:$D$155""),2,0),0)"),"このチケットにユーザを追加")</f>
        <v>このチケットにユーザを追加</v>
      </c>
    </row>
    <row r="158">
      <c r="A158" s="54" t="s">
        <v>3892</v>
      </c>
      <c r="B158" s="7"/>
      <c r="C158" s="26" t="s">
        <v>3893</v>
      </c>
      <c r="D158" s="121" t="s">
        <v>3894</v>
      </c>
      <c r="E158" s="46" t="str">
        <f>IFERROR(__xludf.DUMMYFUNCTION("IFERROR(VLOOKUP(C158,importrange(""https://docs.google.com/spreadsheets/d/1SQRLoxD_LXfQNfB7NOxI5jlxbkDlcNPwla_2gSTySP8/edit#gid=274515254"",""Tickets!$C$2:$D$155""),2,0),0)"),"親チームのメンバー全員に同レベルのアクセスが付与されます")</f>
        <v>親チームのメンバー全員に同レベルのアクセスが付与されます</v>
      </c>
    </row>
    <row r="159">
      <c r="A159" s="54" t="s">
        <v>3895</v>
      </c>
      <c r="B159" s="7"/>
      <c r="C159" s="26" t="s">
        <v>3896</v>
      </c>
      <c r="D159" s="121" t="s">
        <v>3897</v>
      </c>
      <c r="E159" s="46" t="str">
        <f>IFERROR(__xludf.DUMMYFUNCTION("IFERROR(VLOOKUP(C159,importrange(""https://docs.google.com/spreadsheets/d/1SQRLoxD_LXfQNfB7NOxI5jlxbkDlcNPwla_2gSTySP8/edit#gid=274515254"",""Tickets!$C$2:$D$155""),2,0),0)"),"更新画像同期 (更新ファイルでサムネイル、ジップなどを作成)")</f>
        <v>更新画像同期 (更新ファイルでサムネイル、ジップなどを作成)</v>
      </c>
    </row>
    <row r="160">
      <c r="A160" s="54" t="s">
        <v>3898</v>
      </c>
      <c r="B160" s="7"/>
      <c r="C160" s="26" t="s">
        <v>3899</v>
      </c>
      <c r="D160" s="121" t="s">
        <v>3900</v>
      </c>
      <c r="E160" s="46" t="str">
        <f>IFERROR(__xludf.DUMMYFUNCTION("IFERROR(VLOOKUP(C160,importrange(""https://docs.google.com/spreadsheets/d/1SQRLoxD_LXfQNfB7NOxI5jlxbkDlcNPwla_2gSTySP8/edit#gid=274515254"",""Tickets!$C$2:$D$155""),2,0),0)"),"プッシュ通知とメールでチケットへの変更が追加された人に通知されます")</f>
        <v>プッシュ通知とメールでチケットへの変更が追加された人に通知されます</v>
      </c>
    </row>
    <row r="161">
      <c r="A161" s="54" t="s">
        <v>3901</v>
      </c>
      <c r="B161" s="7"/>
      <c r="C161" s="26" t="s">
        <v>3902</v>
      </c>
      <c r="D161" s="121" t="s">
        <v>3903</v>
      </c>
      <c r="E161" s="46" t="str">
        <f>IFERROR(__xludf.DUMMYFUNCTION("IFERROR(VLOOKUP(C161,importrange(""https://docs.google.com/spreadsheets/d/1SQRLoxD_LXfQNfB7NOxI5jlxbkDlcNPwla_2gSTySP8/edit#gid=274515254"",""Tickets!$C$2:$D$155""),2,0),0)"),"このチケットを閲覧しているユーザー")</f>
        <v>このチケットを閲覧しているユーザー</v>
      </c>
    </row>
    <row r="162">
      <c r="A162" s="54" t="s">
        <v>3904</v>
      </c>
      <c r="B162" s="7"/>
      <c r="C162" s="26" t="s">
        <v>3905</v>
      </c>
      <c r="D162" s="121" t="s">
        <v>3906</v>
      </c>
      <c r="E162" s="46" t="str">
        <f>IFERROR(__xludf.DUMMYFUNCTION("IFERROR(VLOOKUP(C162,importrange(""https://docs.google.com/spreadsheets/d/1SQRLoxD_LXfQNfB7NOxI5jlxbkDlcNPwla_2gSTySP8/edit#gid=274515254"",""Tickets!$C$2:$D$155""),2,0),0)"),"このメッセージ送信を再試行")</f>
        <v>このメッセージ送信を再試行</v>
      </c>
    </row>
    <row r="163">
      <c r="A163" s="54" t="s">
        <v>3907</v>
      </c>
      <c r="B163" s="7"/>
      <c r="C163" s="26" t="s">
        <v>3153</v>
      </c>
      <c r="D163" s="121" t="s">
        <v>3154</v>
      </c>
      <c r="E163" s="46" t="str">
        <f>IFERROR(__xludf.DUMMYFUNCTION("IFERROR(VLOOKUP(C163,importrange(""https://docs.google.com/spreadsheets/d/1SQRLoxD_LXfQNfB7NOxI5jlxbkDlcNPwla_2gSTySP8/edit#gid=274515254"",""Tickets!$C$2:$D$155""),2,0),0)"),"Ctrl + Enterでコメント追加")</f>
        <v>Ctrl + Enterでコメント追加</v>
      </c>
    </row>
    <row r="164">
      <c r="A164" s="54" t="s">
        <v>3908</v>
      </c>
      <c r="B164" s="7"/>
      <c r="C164" s="26" t="s">
        <v>3909</v>
      </c>
      <c r="D164" s="121" t="s">
        <v>3910</v>
      </c>
      <c r="E164" s="46" t="str">
        <f>IFERROR(__xludf.DUMMYFUNCTION("IFERROR(VLOOKUP(C164,importrange(""https://docs.google.com/spreadsheets/d/1SQRLoxD_LXfQNfB7NOxI5jlxbkDlcNPwla_2gSTySP8/edit#gid=274515254"",""Tickets!$C$2:$D$155""),2,0),0)"),"Enterを押してタグ作成")</f>
        <v>Enterを押してタグ作成</v>
      </c>
    </row>
    <row r="165">
      <c r="A165" s="54" t="s">
        <v>1143</v>
      </c>
      <c r="B165" s="7"/>
      <c r="C165" s="113" t="s">
        <v>1144</v>
      </c>
      <c r="D165" s="121" t="s">
        <v>1145</v>
      </c>
      <c r="E165" s="46" t="str">
        <f>IFERROR(__xludf.DUMMYFUNCTION("IFERROR(VLOOKUP(C165,importrange(""https://docs.google.com/spreadsheets/d/1SQRLoxD_LXfQNfB7NOxI5jlxbkDlcNPwla_2gSTySP8/edit#gid=274515254"",""Tickets!$C$2:$D$155""),2,0),0)"),"フォロワー")</f>
        <v>フォロワー</v>
      </c>
    </row>
    <row r="166">
      <c r="A166" s="54" t="s">
        <v>948</v>
      </c>
      <c r="B166" s="7"/>
      <c r="C166" s="113" t="s">
        <v>2829</v>
      </c>
      <c r="D166" s="121" t="s">
        <v>951</v>
      </c>
      <c r="E166" s="46" t="str">
        <f>IFERROR(__xludf.DUMMYFUNCTION("IFERROR(VLOOKUP(C166,importrange(""https://docs.google.com/spreadsheets/d/1SQRLoxD_LXfQNfB7NOxI5jlxbkDlcNPwla_2gSTySP8/edit#gid=274515254"",""Tickets!$C$2:$D$155""),2,0),0)"),"新規チケット")</f>
        <v>新規チケット</v>
      </c>
    </row>
    <row r="167">
      <c r="A167" s="54" t="s">
        <v>3911</v>
      </c>
      <c r="B167" s="7"/>
      <c r="C167" s="113" t="s">
        <v>3912</v>
      </c>
      <c r="D167" s="121" t="s">
        <v>3913</v>
      </c>
      <c r="E167" s="46" t="str">
        <f>IFERROR(__xludf.DUMMYFUNCTION("IFERROR(VLOOKUP(C167,importrange(""https://docs.google.com/spreadsheets/d/1SQRLoxD_LXfQNfB7NOxI5jlxbkDlcNPwla_2gSTySP8/edit#gid=274515254"",""Tickets!$C$2:$D$155""),2,0),0)"),"新規チケットの作成")</f>
        <v>新規チケットの作成</v>
      </c>
    </row>
    <row r="168">
      <c r="A168" s="54" t="s">
        <v>3914</v>
      </c>
      <c r="B168" s="7"/>
      <c r="C168" s="113" t="s">
        <v>3622</v>
      </c>
      <c r="D168" s="121" t="s">
        <v>3623</v>
      </c>
      <c r="E168" s="93" t="s">
        <v>3803</v>
      </c>
    </row>
    <row r="169">
      <c r="A169" s="54" t="s">
        <v>636</v>
      </c>
      <c r="B169" s="7"/>
      <c r="C169" s="113" t="s">
        <v>638</v>
      </c>
      <c r="D169" s="121" t="s">
        <v>639</v>
      </c>
      <c r="E169" s="93" t="s">
        <v>3915</v>
      </c>
    </row>
    <row r="170">
      <c r="A170" s="54" t="s">
        <v>529</v>
      </c>
      <c r="B170" s="7"/>
      <c r="C170" s="113" t="s">
        <v>531</v>
      </c>
      <c r="D170" s="121" t="s">
        <v>532</v>
      </c>
      <c r="E170" s="93" t="s">
        <v>3170</v>
      </c>
    </row>
    <row r="171">
      <c r="A171" s="54" t="s">
        <v>571</v>
      </c>
      <c r="B171" s="7"/>
      <c r="C171" s="113" t="s">
        <v>573</v>
      </c>
      <c r="D171" s="121" t="s">
        <v>574</v>
      </c>
      <c r="E171" s="93" t="s">
        <v>3189</v>
      </c>
    </row>
    <row r="172">
      <c r="A172" s="46"/>
      <c r="B172" s="7"/>
      <c r="C172" s="74"/>
      <c r="D172" s="66"/>
    </row>
    <row r="173">
      <c r="A173" s="46"/>
      <c r="B173" s="7"/>
      <c r="C173" s="74"/>
      <c r="D173" s="66"/>
    </row>
    <row r="174">
      <c r="A174" s="46"/>
      <c r="B174" s="7"/>
      <c r="C174" s="74"/>
      <c r="D174" s="66"/>
    </row>
    <row r="175">
      <c r="A175" s="46"/>
      <c r="B175" s="7"/>
      <c r="C175" s="74"/>
      <c r="D175" s="66"/>
    </row>
    <row r="176">
      <c r="A176" s="46"/>
      <c r="B176" s="7"/>
      <c r="C176" s="74"/>
      <c r="D176" s="66"/>
    </row>
    <row r="177">
      <c r="A177" s="46"/>
      <c r="B177" s="7"/>
      <c r="C177" s="74"/>
      <c r="D177" s="66"/>
    </row>
    <row r="178">
      <c r="A178" s="46"/>
      <c r="B178" s="7"/>
      <c r="C178" s="74"/>
      <c r="D178" s="66"/>
    </row>
    <row r="179">
      <c r="A179" s="46"/>
      <c r="B179" s="7"/>
      <c r="C179" s="74"/>
      <c r="D179" s="66"/>
    </row>
    <row r="180">
      <c r="A180" s="46"/>
      <c r="B180" s="7"/>
      <c r="C180" s="74"/>
      <c r="D180" s="66"/>
    </row>
    <row r="181">
      <c r="A181" s="46"/>
      <c r="B181" s="7"/>
      <c r="C181" s="74"/>
      <c r="D181" s="66"/>
    </row>
    <row r="182">
      <c r="A182" s="46"/>
      <c r="B182" s="7"/>
      <c r="C182" s="74"/>
      <c r="D182" s="66"/>
    </row>
    <row r="183">
      <c r="A183" s="46"/>
      <c r="B183" s="7"/>
      <c r="C183" s="74"/>
      <c r="D183" s="66"/>
    </row>
    <row r="184">
      <c r="A184" s="46"/>
      <c r="B184" s="7"/>
      <c r="C184" s="74"/>
      <c r="D184" s="66"/>
    </row>
    <row r="185">
      <c r="A185" s="46"/>
      <c r="B185" s="7"/>
      <c r="C185" s="74"/>
      <c r="D185" s="66"/>
    </row>
    <row r="186">
      <c r="A186" s="46"/>
      <c r="B186" s="7"/>
      <c r="C186" s="74"/>
      <c r="D186" s="66"/>
    </row>
    <row r="187">
      <c r="A187" s="46"/>
      <c r="B187" s="7"/>
      <c r="C187" s="74"/>
      <c r="D187" s="66"/>
    </row>
    <row r="188">
      <c r="A188" s="46"/>
      <c r="B188" s="7"/>
      <c r="C188" s="74"/>
      <c r="D188" s="66"/>
    </row>
    <row r="189">
      <c r="A189" s="46"/>
      <c r="B189" s="7"/>
      <c r="C189" s="74"/>
      <c r="D189" s="66"/>
    </row>
    <row r="190">
      <c r="A190" s="46"/>
      <c r="B190" s="7"/>
      <c r="C190" s="74"/>
      <c r="D190" s="66"/>
    </row>
    <row r="191">
      <c r="A191" s="46"/>
      <c r="B191" s="7"/>
      <c r="C191" s="74"/>
      <c r="D191" s="66"/>
    </row>
    <row r="192">
      <c r="A192" s="46"/>
      <c r="B192" s="7"/>
      <c r="C192" s="74"/>
      <c r="D192" s="66"/>
    </row>
    <row r="193">
      <c r="A193" s="46"/>
      <c r="B193" s="7"/>
      <c r="C193" s="74"/>
      <c r="D193" s="66"/>
    </row>
    <row r="194">
      <c r="A194" s="46"/>
      <c r="B194" s="7"/>
      <c r="C194" s="74"/>
      <c r="D194" s="66"/>
    </row>
    <row r="195">
      <c r="A195" s="46"/>
      <c r="B195" s="7"/>
      <c r="C195" s="74"/>
      <c r="D195" s="66"/>
    </row>
    <row r="196">
      <c r="A196" s="46"/>
      <c r="B196" s="7"/>
      <c r="C196" s="74"/>
      <c r="D196" s="66"/>
    </row>
    <row r="197">
      <c r="A197" s="46"/>
      <c r="B197" s="7"/>
      <c r="C197" s="74"/>
      <c r="D197" s="66"/>
    </row>
    <row r="198">
      <c r="A198" s="46"/>
      <c r="B198" s="7"/>
      <c r="C198" s="74"/>
      <c r="D198" s="66"/>
    </row>
    <row r="199">
      <c r="A199" s="46"/>
      <c r="B199" s="7"/>
      <c r="C199" s="74"/>
      <c r="D199" s="66"/>
    </row>
    <row r="200">
      <c r="A200" s="46"/>
      <c r="B200" s="7"/>
      <c r="C200" s="74"/>
      <c r="D200" s="66"/>
    </row>
    <row r="201">
      <c r="A201" s="46"/>
      <c r="B201" s="7"/>
      <c r="C201" s="74"/>
      <c r="D201" s="66"/>
    </row>
    <row r="202">
      <c r="A202" s="46"/>
      <c r="B202" s="7"/>
      <c r="C202" s="74"/>
      <c r="D202" s="66"/>
    </row>
    <row r="203">
      <c r="A203" s="46"/>
      <c r="B203" s="7"/>
      <c r="C203" s="74"/>
      <c r="D203" s="66"/>
    </row>
    <row r="204">
      <c r="A204" s="46"/>
      <c r="B204" s="7"/>
      <c r="C204" s="74"/>
      <c r="D204" s="66"/>
    </row>
    <row r="205">
      <c r="A205" s="46"/>
      <c r="B205" s="7"/>
      <c r="C205" s="74"/>
      <c r="D205" s="66"/>
    </row>
    <row r="206">
      <c r="A206" s="46"/>
      <c r="B206" s="7"/>
      <c r="C206" s="74"/>
      <c r="D206" s="66"/>
    </row>
    <row r="207">
      <c r="A207" s="46"/>
      <c r="B207" s="7"/>
      <c r="C207" s="74"/>
      <c r="D207" s="66"/>
    </row>
    <row r="208">
      <c r="A208" s="46"/>
      <c r="B208" s="7"/>
      <c r="C208" s="74"/>
      <c r="D208" s="66"/>
    </row>
    <row r="209">
      <c r="A209" s="46"/>
      <c r="B209" s="7"/>
      <c r="C209" s="74"/>
      <c r="D209" s="66"/>
    </row>
    <row r="210">
      <c r="A210" s="46"/>
      <c r="B210" s="7"/>
      <c r="C210" s="74"/>
      <c r="D210" s="66"/>
    </row>
    <row r="211">
      <c r="A211" s="46"/>
      <c r="B211" s="7"/>
      <c r="C211" s="74"/>
      <c r="D211" s="66"/>
    </row>
    <row r="212">
      <c r="A212" s="46"/>
      <c r="B212" s="7"/>
      <c r="C212" s="74"/>
      <c r="D212" s="66"/>
    </row>
    <row r="213">
      <c r="A213" s="46"/>
      <c r="B213" s="7"/>
      <c r="C213" s="74"/>
      <c r="D213" s="66"/>
    </row>
    <row r="214">
      <c r="A214" s="46"/>
      <c r="B214" s="7"/>
      <c r="C214" s="74"/>
      <c r="D214" s="66"/>
    </row>
    <row r="215">
      <c r="A215" s="46"/>
      <c r="B215" s="7"/>
      <c r="C215" s="74"/>
      <c r="D215" s="66"/>
    </row>
    <row r="216">
      <c r="A216" s="46"/>
      <c r="B216" s="7"/>
      <c r="C216" s="74"/>
      <c r="D216" s="66"/>
    </row>
    <row r="217">
      <c r="A217" s="46"/>
      <c r="B217" s="7"/>
      <c r="C217" s="74"/>
      <c r="D217" s="66"/>
    </row>
    <row r="218">
      <c r="A218" s="46"/>
      <c r="B218" s="7"/>
      <c r="C218" s="74"/>
      <c r="D218" s="66"/>
    </row>
    <row r="219">
      <c r="A219" s="46"/>
      <c r="B219" s="7"/>
      <c r="C219" s="74"/>
      <c r="D219" s="66"/>
    </row>
    <row r="220">
      <c r="A220" s="46"/>
      <c r="B220" s="7"/>
      <c r="C220" s="74"/>
      <c r="D220" s="66"/>
    </row>
    <row r="221">
      <c r="A221" s="46"/>
      <c r="B221" s="7"/>
      <c r="C221" s="74"/>
      <c r="D221" s="66"/>
    </row>
    <row r="222">
      <c r="A222" s="46"/>
      <c r="B222" s="7"/>
      <c r="C222" s="74"/>
      <c r="D222" s="66"/>
    </row>
    <row r="223">
      <c r="A223" s="46"/>
      <c r="B223" s="7"/>
      <c r="C223" s="74"/>
      <c r="D223" s="66"/>
    </row>
    <row r="224">
      <c r="A224" s="46"/>
      <c r="B224" s="7"/>
      <c r="C224" s="74"/>
      <c r="D224" s="66"/>
    </row>
    <row r="225">
      <c r="A225" s="46"/>
      <c r="B225" s="7"/>
      <c r="C225" s="74"/>
      <c r="D225" s="66"/>
    </row>
    <row r="226">
      <c r="A226" s="46"/>
      <c r="B226" s="7"/>
      <c r="C226" s="74"/>
      <c r="D226" s="66"/>
    </row>
    <row r="227">
      <c r="A227" s="46"/>
      <c r="B227" s="7"/>
      <c r="C227" s="74"/>
      <c r="D227" s="66"/>
    </row>
    <row r="228">
      <c r="A228" s="46"/>
      <c r="B228" s="7"/>
      <c r="C228" s="74"/>
      <c r="D228" s="66"/>
    </row>
    <row r="229">
      <c r="A229" s="46"/>
      <c r="B229" s="7"/>
      <c r="C229" s="74"/>
      <c r="D229" s="66"/>
    </row>
    <row r="230">
      <c r="A230" s="46"/>
      <c r="B230" s="7"/>
      <c r="C230" s="74"/>
      <c r="D230" s="66"/>
    </row>
    <row r="231">
      <c r="A231" s="46"/>
      <c r="B231" s="7"/>
      <c r="C231" s="74"/>
      <c r="D231" s="66"/>
    </row>
    <row r="232">
      <c r="A232" s="46"/>
      <c r="B232" s="7"/>
      <c r="C232" s="74"/>
      <c r="D232" s="66"/>
    </row>
    <row r="233">
      <c r="A233" s="46"/>
      <c r="B233" s="7"/>
      <c r="C233" s="74"/>
      <c r="D233" s="66"/>
    </row>
    <row r="234">
      <c r="A234" s="46"/>
      <c r="B234" s="7"/>
      <c r="C234" s="74"/>
      <c r="D234" s="66"/>
    </row>
    <row r="235">
      <c r="A235" s="46"/>
      <c r="B235" s="7"/>
      <c r="C235" s="74"/>
      <c r="D235" s="66"/>
    </row>
    <row r="236">
      <c r="A236" s="46"/>
      <c r="B236" s="7"/>
      <c r="C236" s="74"/>
      <c r="D236" s="66"/>
    </row>
    <row r="237">
      <c r="A237" s="46"/>
      <c r="B237" s="7"/>
      <c r="C237" s="74"/>
      <c r="D237" s="66"/>
    </row>
    <row r="238">
      <c r="A238" s="46"/>
      <c r="B238" s="7"/>
      <c r="C238" s="74"/>
      <c r="D238" s="66"/>
    </row>
    <row r="239">
      <c r="A239" s="46"/>
      <c r="B239" s="7"/>
      <c r="C239" s="74"/>
      <c r="D239" s="66"/>
    </row>
    <row r="240">
      <c r="A240" s="46"/>
      <c r="B240" s="7"/>
      <c r="C240" s="74"/>
      <c r="D240" s="66"/>
    </row>
    <row r="241">
      <c r="A241" s="46"/>
      <c r="B241" s="7"/>
      <c r="C241" s="74"/>
      <c r="D241" s="66"/>
    </row>
    <row r="242">
      <c r="A242" s="46"/>
      <c r="B242" s="7"/>
      <c r="C242" s="74"/>
      <c r="D242" s="66"/>
    </row>
    <row r="243">
      <c r="A243" s="46"/>
      <c r="B243" s="7"/>
      <c r="C243" s="74"/>
      <c r="D243" s="66"/>
    </row>
    <row r="244">
      <c r="A244" s="46"/>
      <c r="B244" s="7"/>
      <c r="C244" s="74"/>
      <c r="D244" s="66"/>
    </row>
    <row r="245">
      <c r="A245" s="46"/>
      <c r="B245" s="7"/>
      <c r="C245" s="74"/>
      <c r="D245" s="66"/>
    </row>
    <row r="246">
      <c r="A246" s="46"/>
      <c r="B246" s="7"/>
      <c r="C246" s="74"/>
      <c r="D246" s="66"/>
    </row>
    <row r="247">
      <c r="A247" s="46"/>
      <c r="B247" s="7"/>
      <c r="C247" s="74"/>
      <c r="D247" s="66"/>
    </row>
    <row r="248">
      <c r="A248" s="46"/>
      <c r="B248" s="7"/>
      <c r="C248" s="74"/>
      <c r="D248" s="66"/>
    </row>
    <row r="249">
      <c r="A249" s="46"/>
      <c r="B249" s="7"/>
      <c r="C249" s="74"/>
      <c r="D249" s="66"/>
    </row>
    <row r="250">
      <c r="A250" s="46"/>
      <c r="B250" s="7"/>
      <c r="C250" s="74"/>
      <c r="D250" s="66"/>
    </row>
    <row r="251">
      <c r="A251" s="46"/>
      <c r="B251" s="7"/>
      <c r="C251" s="74"/>
      <c r="D251" s="66"/>
    </row>
    <row r="252">
      <c r="A252" s="46"/>
      <c r="B252" s="7"/>
      <c r="C252" s="74"/>
      <c r="D252" s="66"/>
    </row>
    <row r="253">
      <c r="A253" s="46"/>
      <c r="B253" s="7"/>
      <c r="C253" s="74"/>
      <c r="D253" s="66"/>
    </row>
    <row r="254">
      <c r="A254" s="46"/>
      <c r="B254" s="7"/>
      <c r="C254" s="74"/>
      <c r="D254" s="66"/>
    </row>
    <row r="255">
      <c r="A255" s="46"/>
      <c r="B255" s="7"/>
      <c r="C255" s="74"/>
      <c r="D255" s="66"/>
    </row>
    <row r="256">
      <c r="A256" s="46"/>
      <c r="B256" s="7"/>
      <c r="C256" s="74"/>
      <c r="D256" s="66"/>
    </row>
    <row r="257">
      <c r="A257" s="46"/>
      <c r="B257" s="7"/>
      <c r="C257" s="74"/>
      <c r="D257" s="66"/>
    </row>
    <row r="258">
      <c r="A258" s="46"/>
      <c r="B258" s="7"/>
      <c r="C258" s="74"/>
      <c r="D258" s="66"/>
    </row>
    <row r="259">
      <c r="A259" s="46"/>
      <c r="B259" s="7"/>
      <c r="C259" s="74"/>
      <c r="D259" s="66"/>
    </row>
    <row r="260">
      <c r="A260" s="46"/>
      <c r="B260" s="7"/>
      <c r="C260" s="74"/>
      <c r="D260" s="66"/>
    </row>
    <row r="261">
      <c r="A261" s="46"/>
      <c r="B261" s="7"/>
      <c r="C261" s="74"/>
      <c r="D261" s="66"/>
    </row>
    <row r="262">
      <c r="A262" s="46"/>
      <c r="B262" s="7"/>
      <c r="C262" s="74"/>
      <c r="D262" s="66"/>
    </row>
    <row r="263">
      <c r="A263" s="46"/>
      <c r="B263" s="7"/>
      <c r="C263" s="74"/>
      <c r="D263" s="66"/>
    </row>
    <row r="264">
      <c r="A264" s="46"/>
      <c r="B264" s="7"/>
      <c r="C264" s="74"/>
      <c r="D264" s="66"/>
    </row>
    <row r="265">
      <c r="A265" s="46"/>
      <c r="B265" s="7"/>
      <c r="C265" s="74"/>
      <c r="D265" s="66"/>
    </row>
    <row r="266">
      <c r="A266" s="46"/>
      <c r="B266" s="7"/>
      <c r="C266" s="74"/>
      <c r="D266" s="66"/>
    </row>
    <row r="267">
      <c r="A267" s="46"/>
      <c r="B267" s="7"/>
      <c r="C267" s="74"/>
      <c r="D267" s="66"/>
    </row>
    <row r="268">
      <c r="A268" s="46"/>
      <c r="B268" s="7"/>
      <c r="C268" s="74"/>
      <c r="D268" s="66"/>
    </row>
    <row r="269">
      <c r="A269" s="46"/>
      <c r="B269" s="7"/>
      <c r="C269" s="74"/>
      <c r="D269" s="66"/>
    </row>
    <row r="270">
      <c r="A270" s="46"/>
      <c r="B270" s="7"/>
      <c r="C270" s="74"/>
      <c r="D270" s="66"/>
    </row>
    <row r="271">
      <c r="A271" s="46"/>
      <c r="B271" s="7"/>
      <c r="C271" s="74"/>
      <c r="D271" s="66"/>
    </row>
    <row r="272">
      <c r="A272" s="46"/>
      <c r="B272" s="7"/>
      <c r="C272" s="74"/>
      <c r="D272" s="66"/>
    </row>
    <row r="273">
      <c r="A273" s="46"/>
      <c r="B273" s="7"/>
      <c r="C273" s="74"/>
      <c r="D273" s="66"/>
    </row>
    <row r="274">
      <c r="A274" s="46"/>
      <c r="B274" s="7"/>
      <c r="C274" s="74"/>
      <c r="D274" s="66"/>
    </row>
    <row r="275">
      <c r="A275" s="46"/>
      <c r="B275" s="7"/>
      <c r="C275" s="74"/>
      <c r="D275" s="66"/>
    </row>
    <row r="276">
      <c r="A276" s="46"/>
      <c r="B276" s="7"/>
      <c r="C276" s="74"/>
      <c r="D276" s="66"/>
    </row>
    <row r="277">
      <c r="A277" s="46"/>
      <c r="B277" s="7"/>
      <c r="C277" s="74"/>
      <c r="D277" s="66"/>
    </row>
    <row r="278">
      <c r="A278" s="46"/>
      <c r="B278" s="7"/>
      <c r="C278" s="74"/>
      <c r="D278" s="66"/>
    </row>
    <row r="279">
      <c r="A279" s="46"/>
      <c r="B279" s="7"/>
      <c r="C279" s="74"/>
      <c r="D279" s="66"/>
    </row>
    <row r="280">
      <c r="A280" s="46"/>
      <c r="B280" s="7"/>
      <c r="C280" s="74"/>
      <c r="D280" s="66"/>
    </row>
    <row r="281">
      <c r="A281" s="46"/>
      <c r="B281" s="7"/>
      <c r="C281" s="74"/>
      <c r="D281" s="66"/>
    </row>
    <row r="282">
      <c r="A282" s="46"/>
      <c r="B282" s="7"/>
      <c r="C282" s="74"/>
      <c r="D282" s="66"/>
    </row>
    <row r="283">
      <c r="A283" s="46"/>
      <c r="B283" s="7"/>
      <c r="C283" s="74"/>
      <c r="D283" s="66"/>
    </row>
    <row r="284">
      <c r="A284" s="46"/>
      <c r="B284" s="7"/>
      <c r="C284" s="74"/>
      <c r="D284" s="66"/>
    </row>
    <row r="285">
      <c r="A285" s="46"/>
      <c r="B285" s="7"/>
      <c r="C285" s="74"/>
      <c r="D285" s="66"/>
    </row>
    <row r="286">
      <c r="A286" s="46"/>
      <c r="B286" s="7"/>
      <c r="C286" s="74"/>
      <c r="D286" s="66"/>
    </row>
    <row r="287">
      <c r="A287" s="46"/>
      <c r="B287" s="7"/>
      <c r="C287" s="74"/>
      <c r="D287" s="66"/>
    </row>
    <row r="288">
      <c r="A288" s="46"/>
      <c r="B288" s="7"/>
      <c r="C288" s="74"/>
      <c r="D288" s="66"/>
    </row>
    <row r="289">
      <c r="A289" s="46"/>
      <c r="B289" s="7"/>
      <c r="C289" s="74"/>
      <c r="D289" s="66"/>
    </row>
    <row r="290">
      <c r="A290" s="46"/>
      <c r="B290" s="7"/>
      <c r="C290" s="74"/>
      <c r="D290" s="66"/>
    </row>
    <row r="291">
      <c r="A291" s="46"/>
      <c r="B291" s="7"/>
      <c r="C291" s="74"/>
      <c r="D291" s="66"/>
    </row>
    <row r="292">
      <c r="A292" s="46"/>
      <c r="B292" s="7"/>
      <c r="C292" s="74"/>
      <c r="D292" s="66"/>
    </row>
    <row r="293">
      <c r="A293" s="46"/>
      <c r="B293" s="7"/>
      <c r="C293" s="74"/>
      <c r="D293" s="66"/>
    </row>
    <row r="294">
      <c r="A294" s="46"/>
      <c r="B294" s="7"/>
      <c r="C294" s="74"/>
      <c r="D294" s="66"/>
    </row>
    <row r="295">
      <c r="A295" s="46"/>
      <c r="B295" s="7"/>
      <c r="C295" s="74"/>
      <c r="D295" s="66"/>
    </row>
    <row r="296">
      <c r="A296" s="46"/>
      <c r="B296" s="7"/>
      <c r="C296" s="74"/>
      <c r="D296" s="66"/>
    </row>
    <row r="297">
      <c r="A297" s="46"/>
      <c r="B297" s="7"/>
      <c r="C297" s="74"/>
      <c r="D297" s="66"/>
    </row>
    <row r="298">
      <c r="A298" s="46"/>
      <c r="B298" s="7"/>
      <c r="C298" s="74"/>
      <c r="D298" s="66"/>
    </row>
    <row r="299">
      <c r="A299" s="46"/>
      <c r="B299" s="7"/>
      <c r="C299" s="74"/>
      <c r="D299" s="66"/>
    </row>
    <row r="300">
      <c r="A300" s="46"/>
      <c r="B300" s="7"/>
      <c r="C300" s="74"/>
      <c r="D300" s="66"/>
    </row>
    <row r="301">
      <c r="A301" s="46"/>
      <c r="B301" s="7"/>
      <c r="C301" s="74"/>
      <c r="D301" s="66"/>
    </row>
    <row r="302">
      <c r="A302" s="46"/>
      <c r="B302" s="7"/>
      <c r="C302" s="74"/>
      <c r="D302" s="66"/>
    </row>
    <row r="303">
      <c r="A303" s="46"/>
      <c r="B303" s="7"/>
      <c r="C303" s="74"/>
      <c r="D303" s="66"/>
    </row>
    <row r="304">
      <c r="A304" s="46"/>
      <c r="B304" s="7"/>
      <c r="C304" s="74"/>
      <c r="D304" s="66"/>
    </row>
    <row r="305">
      <c r="A305" s="46"/>
      <c r="B305" s="7"/>
      <c r="C305" s="74"/>
      <c r="D305" s="66"/>
    </row>
    <row r="306">
      <c r="A306" s="46"/>
      <c r="B306" s="7"/>
      <c r="C306" s="74"/>
      <c r="D306" s="66"/>
    </row>
    <row r="307">
      <c r="A307" s="46"/>
      <c r="B307" s="7"/>
      <c r="C307" s="74"/>
      <c r="D307" s="66"/>
    </row>
    <row r="308">
      <c r="A308" s="46"/>
      <c r="B308" s="7"/>
      <c r="C308" s="74"/>
      <c r="D308" s="66"/>
    </row>
    <row r="309">
      <c r="A309" s="46"/>
      <c r="B309" s="7"/>
      <c r="C309" s="74"/>
      <c r="D309" s="66"/>
    </row>
    <row r="310">
      <c r="A310" s="46"/>
      <c r="B310" s="7"/>
      <c r="C310" s="74"/>
      <c r="D310" s="66"/>
    </row>
    <row r="311">
      <c r="A311" s="46"/>
      <c r="B311" s="7"/>
      <c r="C311" s="74"/>
      <c r="D311" s="66"/>
    </row>
    <row r="312">
      <c r="A312" s="46"/>
      <c r="B312" s="7"/>
      <c r="C312" s="74"/>
      <c r="D312" s="66"/>
    </row>
    <row r="313">
      <c r="A313" s="46"/>
      <c r="B313" s="7"/>
      <c r="C313" s="74"/>
      <c r="D313" s="66"/>
    </row>
    <row r="314">
      <c r="A314" s="46"/>
      <c r="B314" s="7"/>
      <c r="C314" s="74"/>
      <c r="D314" s="66"/>
    </row>
    <row r="315">
      <c r="A315" s="46"/>
      <c r="B315" s="7"/>
      <c r="C315" s="74"/>
      <c r="D315" s="66"/>
    </row>
    <row r="316">
      <c r="A316" s="46"/>
      <c r="B316" s="7"/>
      <c r="C316" s="74"/>
      <c r="D316" s="66"/>
    </row>
    <row r="317">
      <c r="A317" s="46"/>
      <c r="B317" s="7"/>
      <c r="C317" s="74"/>
      <c r="D317" s="66"/>
    </row>
    <row r="318">
      <c r="A318" s="46"/>
      <c r="B318" s="7"/>
      <c r="C318" s="74"/>
      <c r="D318" s="66"/>
    </row>
    <row r="319">
      <c r="A319" s="46"/>
      <c r="B319" s="7"/>
      <c r="C319" s="74"/>
      <c r="D319" s="66"/>
    </row>
    <row r="320">
      <c r="A320" s="46"/>
      <c r="B320" s="7"/>
      <c r="C320" s="74"/>
      <c r="D320" s="66"/>
    </row>
    <row r="321">
      <c r="A321" s="46"/>
      <c r="B321" s="7"/>
      <c r="C321" s="74"/>
      <c r="D321" s="66"/>
    </row>
    <row r="322">
      <c r="A322" s="46"/>
      <c r="B322" s="7"/>
      <c r="C322" s="74"/>
      <c r="D322" s="66"/>
    </row>
    <row r="323">
      <c r="A323" s="46"/>
      <c r="B323" s="7"/>
      <c r="C323" s="74"/>
      <c r="D323" s="66"/>
    </row>
    <row r="324">
      <c r="A324" s="46"/>
      <c r="B324" s="7"/>
      <c r="C324" s="74"/>
      <c r="D324" s="66"/>
    </row>
    <row r="325">
      <c r="A325" s="46"/>
      <c r="B325" s="7"/>
      <c r="C325" s="74"/>
      <c r="D325" s="66"/>
    </row>
    <row r="326">
      <c r="A326" s="46"/>
      <c r="B326" s="7"/>
      <c r="C326" s="74"/>
      <c r="D326" s="66"/>
    </row>
    <row r="327">
      <c r="A327" s="46"/>
      <c r="B327" s="7"/>
      <c r="C327" s="74"/>
      <c r="D327" s="66"/>
    </row>
    <row r="328">
      <c r="A328" s="46"/>
      <c r="B328" s="7"/>
      <c r="C328" s="74"/>
      <c r="D328" s="66"/>
    </row>
    <row r="329">
      <c r="A329" s="46"/>
      <c r="B329" s="7"/>
      <c r="C329" s="74"/>
      <c r="D329" s="66"/>
    </row>
    <row r="330">
      <c r="A330" s="46"/>
      <c r="B330" s="7"/>
      <c r="C330" s="74"/>
      <c r="D330" s="66"/>
    </row>
    <row r="331">
      <c r="A331" s="46"/>
      <c r="B331" s="7"/>
      <c r="C331" s="74"/>
      <c r="D331" s="66"/>
    </row>
    <row r="332">
      <c r="A332" s="46"/>
      <c r="B332" s="7"/>
      <c r="C332" s="74"/>
      <c r="D332" s="66"/>
    </row>
    <row r="333">
      <c r="A333" s="46"/>
      <c r="B333" s="7"/>
      <c r="C333" s="74"/>
      <c r="D333" s="66"/>
    </row>
    <row r="334">
      <c r="A334" s="46"/>
      <c r="B334" s="7"/>
      <c r="C334" s="74"/>
      <c r="D334" s="66"/>
    </row>
    <row r="335">
      <c r="A335" s="46"/>
      <c r="B335" s="7"/>
      <c r="C335" s="74"/>
      <c r="D335" s="66"/>
    </row>
    <row r="336">
      <c r="A336" s="46"/>
      <c r="B336" s="7"/>
      <c r="C336" s="74"/>
      <c r="D336" s="66"/>
    </row>
    <row r="337">
      <c r="A337" s="46"/>
      <c r="B337" s="7"/>
      <c r="C337" s="74"/>
      <c r="D337" s="66"/>
    </row>
    <row r="338">
      <c r="A338" s="46"/>
      <c r="B338" s="7"/>
      <c r="C338" s="74"/>
      <c r="D338" s="66"/>
    </row>
    <row r="339">
      <c r="A339" s="46"/>
      <c r="B339" s="7"/>
      <c r="C339" s="74"/>
      <c r="D339" s="66"/>
    </row>
    <row r="340">
      <c r="A340" s="46"/>
      <c r="B340" s="7"/>
      <c r="C340" s="74"/>
      <c r="D340" s="66"/>
    </row>
    <row r="341">
      <c r="A341" s="46"/>
      <c r="B341" s="7"/>
      <c r="C341" s="74"/>
      <c r="D341" s="66"/>
    </row>
    <row r="342">
      <c r="A342" s="46"/>
      <c r="B342" s="7"/>
      <c r="C342" s="74"/>
      <c r="D342" s="66"/>
    </row>
    <row r="343">
      <c r="A343" s="46"/>
      <c r="B343" s="7"/>
      <c r="C343" s="74"/>
      <c r="D343" s="66"/>
    </row>
    <row r="344">
      <c r="A344" s="46"/>
      <c r="B344" s="7"/>
      <c r="C344" s="74"/>
      <c r="D344" s="66"/>
    </row>
    <row r="345">
      <c r="A345" s="46"/>
      <c r="B345" s="7"/>
      <c r="C345" s="74"/>
      <c r="D345" s="66"/>
    </row>
    <row r="346">
      <c r="A346" s="46"/>
      <c r="B346" s="7"/>
      <c r="C346" s="74"/>
      <c r="D346" s="66"/>
    </row>
    <row r="347">
      <c r="A347" s="46"/>
      <c r="B347" s="7"/>
      <c r="C347" s="74"/>
      <c r="D347" s="66"/>
    </row>
    <row r="348">
      <c r="A348" s="46"/>
      <c r="B348" s="7"/>
      <c r="C348" s="74"/>
      <c r="D348" s="66"/>
    </row>
    <row r="349">
      <c r="A349" s="46"/>
      <c r="B349" s="7"/>
      <c r="C349" s="74"/>
      <c r="D349" s="66"/>
    </row>
    <row r="350">
      <c r="A350" s="46"/>
      <c r="B350" s="7"/>
      <c r="C350" s="74"/>
      <c r="D350" s="66"/>
    </row>
    <row r="351">
      <c r="A351" s="46"/>
      <c r="B351" s="7"/>
      <c r="C351" s="74"/>
      <c r="D351" s="66"/>
    </row>
    <row r="352">
      <c r="A352" s="46"/>
      <c r="B352" s="7"/>
      <c r="C352" s="74"/>
      <c r="D352" s="66"/>
    </row>
    <row r="353">
      <c r="A353" s="46"/>
      <c r="B353" s="7"/>
      <c r="C353" s="74"/>
      <c r="D353" s="66"/>
    </row>
    <row r="354">
      <c r="A354" s="46"/>
      <c r="B354" s="7"/>
      <c r="C354" s="74"/>
      <c r="D354" s="66"/>
    </row>
    <row r="355">
      <c r="A355" s="46"/>
      <c r="B355" s="7"/>
      <c r="C355" s="74"/>
      <c r="D355" s="66"/>
    </row>
    <row r="356">
      <c r="A356" s="46"/>
      <c r="B356" s="7"/>
      <c r="C356" s="74"/>
      <c r="D356" s="66"/>
    </row>
    <row r="357">
      <c r="A357" s="46"/>
      <c r="B357" s="7"/>
      <c r="C357" s="74"/>
      <c r="D357" s="66"/>
    </row>
    <row r="358">
      <c r="A358" s="46"/>
      <c r="B358" s="7"/>
      <c r="C358" s="74"/>
      <c r="D358" s="66"/>
    </row>
    <row r="359">
      <c r="A359" s="46"/>
      <c r="B359" s="7"/>
      <c r="C359" s="74"/>
      <c r="D359" s="66"/>
    </row>
    <row r="360">
      <c r="A360" s="46"/>
      <c r="B360" s="7"/>
      <c r="C360" s="74"/>
      <c r="D360" s="66"/>
    </row>
    <row r="361">
      <c r="A361" s="46"/>
      <c r="B361" s="7"/>
      <c r="C361" s="74"/>
      <c r="D361" s="66"/>
    </row>
    <row r="362">
      <c r="A362" s="46"/>
      <c r="B362" s="7"/>
      <c r="C362" s="74"/>
      <c r="D362" s="66"/>
    </row>
    <row r="363">
      <c r="A363" s="46"/>
      <c r="B363" s="7"/>
      <c r="C363" s="74"/>
      <c r="D363" s="66"/>
    </row>
    <row r="364">
      <c r="A364" s="46"/>
      <c r="B364" s="7"/>
      <c r="C364" s="74"/>
      <c r="D364" s="66"/>
    </row>
    <row r="365">
      <c r="A365" s="46"/>
      <c r="B365" s="7"/>
      <c r="C365" s="74"/>
      <c r="D365" s="66"/>
    </row>
    <row r="366">
      <c r="A366" s="46"/>
      <c r="B366" s="7"/>
      <c r="C366" s="74"/>
      <c r="D366" s="66"/>
    </row>
    <row r="367">
      <c r="A367" s="46"/>
      <c r="B367" s="7"/>
      <c r="C367" s="74"/>
      <c r="D367" s="66"/>
    </row>
    <row r="368">
      <c r="A368" s="46"/>
      <c r="B368" s="7"/>
      <c r="C368" s="74"/>
      <c r="D368" s="66"/>
    </row>
    <row r="369">
      <c r="A369" s="46"/>
      <c r="B369" s="7"/>
      <c r="C369" s="74"/>
      <c r="D369" s="66"/>
    </row>
    <row r="370">
      <c r="A370" s="46"/>
      <c r="B370" s="7"/>
      <c r="C370" s="74"/>
      <c r="D370" s="66"/>
    </row>
    <row r="371">
      <c r="A371" s="46"/>
      <c r="B371" s="7"/>
      <c r="C371" s="74"/>
      <c r="D371" s="66"/>
    </row>
    <row r="372">
      <c r="A372" s="46"/>
      <c r="B372" s="7"/>
      <c r="C372" s="74"/>
      <c r="D372" s="66"/>
    </row>
    <row r="373">
      <c r="A373" s="46"/>
      <c r="B373" s="7"/>
      <c r="C373" s="74"/>
      <c r="D373" s="66"/>
    </row>
    <row r="374">
      <c r="A374" s="46"/>
      <c r="B374" s="7"/>
      <c r="C374" s="74"/>
      <c r="D374" s="66"/>
    </row>
    <row r="375">
      <c r="A375" s="46"/>
      <c r="B375" s="7"/>
      <c r="C375" s="74"/>
      <c r="D375" s="66"/>
    </row>
    <row r="376">
      <c r="A376" s="46"/>
      <c r="B376" s="7"/>
      <c r="C376" s="74"/>
      <c r="D376" s="66"/>
    </row>
    <row r="377">
      <c r="A377" s="46"/>
      <c r="B377" s="7"/>
      <c r="C377" s="74"/>
      <c r="D377" s="66"/>
    </row>
    <row r="378">
      <c r="A378" s="46"/>
      <c r="B378" s="7"/>
      <c r="C378" s="74"/>
      <c r="D378" s="66"/>
    </row>
    <row r="379">
      <c r="A379" s="46"/>
      <c r="B379" s="7"/>
      <c r="C379" s="74"/>
      <c r="D379" s="66"/>
    </row>
    <row r="380">
      <c r="A380" s="46"/>
      <c r="B380" s="7"/>
      <c r="C380" s="74"/>
      <c r="D380" s="66"/>
    </row>
    <row r="381">
      <c r="A381" s="46"/>
      <c r="B381" s="7"/>
      <c r="C381" s="74"/>
      <c r="D381" s="66"/>
    </row>
    <row r="382">
      <c r="A382" s="46"/>
      <c r="B382" s="7"/>
      <c r="C382" s="74"/>
      <c r="D382" s="66"/>
    </row>
    <row r="383">
      <c r="A383" s="46"/>
      <c r="B383" s="7"/>
      <c r="C383" s="74"/>
      <c r="D383" s="66"/>
    </row>
    <row r="384">
      <c r="A384" s="46"/>
      <c r="B384" s="7"/>
      <c r="C384" s="74"/>
      <c r="D384" s="66"/>
    </row>
    <row r="385">
      <c r="A385" s="46"/>
      <c r="B385" s="7"/>
      <c r="C385" s="74"/>
      <c r="D385" s="66"/>
    </row>
    <row r="386">
      <c r="A386" s="46"/>
      <c r="B386" s="7"/>
      <c r="C386" s="74"/>
      <c r="D386" s="66"/>
    </row>
    <row r="387">
      <c r="A387" s="46"/>
      <c r="B387" s="7"/>
      <c r="C387" s="74"/>
      <c r="D387" s="66"/>
    </row>
    <row r="388">
      <c r="A388" s="46"/>
      <c r="B388" s="7"/>
      <c r="C388" s="74"/>
      <c r="D388" s="66"/>
    </row>
    <row r="389">
      <c r="A389" s="46"/>
      <c r="B389" s="7"/>
      <c r="C389" s="74"/>
      <c r="D389" s="66"/>
    </row>
    <row r="390">
      <c r="A390" s="46"/>
      <c r="B390" s="7"/>
      <c r="C390" s="74"/>
      <c r="D390" s="66"/>
    </row>
    <row r="391">
      <c r="A391" s="46"/>
      <c r="B391" s="7"/>
      <c r="C391" s="74"/>
      <c r="D391" s="66"/>
    </row>
    <row r="392">
      <c r="A392" s="46"/>
      <c r="B392" s="7"/>
      <c r="C392" s="74"/>
      <c r="D392" s="66"/>
    </row>
    <row r="393">
      <c r="A393" s="46"/>
      <c r="B393" s="7"/>
      <c r="C393" s="74"/>
      <c r="D393" s="66"/>
    </row>
    <row r="394">
      <c r="A394" s="46"/>
      <c r="B394" s="7"/>
      <c r="C394" s="74"/>
      <c r="D394" s="66"/>
    </row>
    <row r="395">
      <c r="A395" s="46"/>
      <c r="B395" s="7"/>
      <c r="C395" s="74"/>
      <c r="D395" s="66"/>
    </row>
    <row r="396">
      <c r="A396" s="46"/>
      <c r="B396" s="7"/>
      <c r="C396" s="74"/>
      <c r="D396" s="66"/>
    </row>
    <row r="397">
      <c r="A397" s="46"/>
      <c r="B397" s="7"/>
      <c r="C397" s="74"/>
      <c r="D397" s="66"/>
    </row>
    <row r="398">
      <c r="A398" s="46"/>
      <c r="B398" s="7"/>
      <c r="C398" s="74"/>
      <c r="D398" s="66"/>
    </row>
    <row r="399">
      <c r="A399" s="46"/>
      <c r="B399" s="7"/>
      <c r="C399" s="74"/>
      <c r="D399" s="66"/>
    </row>
    <row r="400">
      <c r="A400" s="46"/>
      <c r="B400" s="7"/>
      <c r="C400" s="74"/>
      <c r="D400" s="66"/>
    </row>
    <row r="401">
      <c r="A401" s="46"/>
      <c r="B401" s="7"/>
      <c r="C401" s="74"/>
      <c r="D401" s="66"/>
    </row>
    <row r="402">
      <c r="A402" s="46"/>
      <c r="B402" s="7"/>
      <c r="C402" s="74"/>
      <c r="D402" s="66"/>
    </row>
    <row r="403">
      <c r="A403" s="46"/>
      <c r="B403" s="7"/>
      <c r="C403" s="74"/>
      <c r="D403" s="66"/>
    </row>
    <row r="404">
      <c r="A404" s="46"/>
      <c r="B404" s="7"/>
      <c r="C404" s="74"/>
      <c r="D404" s="66"/>
    </row>
    <row r="405">
      <c r="A405" s="46"/>
      <c r="B405" s="7"/>
      <c r="C405" s="74"/>
      <c r="D405" s="66"/>
    </row>
    <row r="406">
      <c r="A406" s="46"/>
      <c r="B406" s="7"/>
      <c r="C406" s="74"/>
      <c r="D406" s="66"/>
    </row>
    <row r="407">
      <c r="A407" s="46"/>
      <c r="B407" s="7"/>
      <c r="C407" s="74"/>
      <c r="D407" s="66"/>
    </row>
    <row r="408">
      <c r="A408" s="46"/>
      <c r="B408" s="7"/>
      <c r="C408" s="74"/>
      <c r="D408" s="66"/>
    </row>
    <row r="409">
      <c r="A409" s="46"/>
      <c r="B409" s="7"/>
      <c r="C409" s="74"/>
      <c r="D409" s="66"/>
    </row>
    <row r="410">
      <c r="A410" s="46"/>
      <c r="B410" s="7"/>
      <c r="C410" s="74"/>
      <c r="D410" s="66"/>
    </row>
    <row r="411">
      <c r="A411" s="46"/>
      <c r="B411" s="7"/>
      <c r="C411" s="74"/>
      <c r="D411" s="66"/>
    </row>
    <row r="412">
      <c r="A412" s="46"/>
      <c r="B412" s="7"/>
      <c r="C412" s="74"/>
      <c r="D412" s="66"/>
    </row>
    <row r="413">
      <c r="A413" s="46"/>
      <c r="B413" s="7"/>
      <c r="C413" s="74"/>
      <c r="D413" s="66"/>
    </row>
    <row r="414">
      <c r="A414" s="46"/>
      <c r="B414" s="7"/>
      <c r="C414" s="74"/>
      <c r="D414" s="66"/>
    </row>
    <row r="415">
      <c r="A415" s="46"/>
      <c r="B415" s="7"/>
      <c r="C415" s="74"/>
      <c r="D415" s="66"/>
    </row>
    <row r="416">
      <c r="A416" s="46"/>
      <c r="B416" s="7"/>
      <c r="C416" s="74"/>
      <c r="D416" s="66"/>
    </row>
    <row r="417">
      <c r="A417" s="46"/>
      <c r="B417" s="7"/>
      <c r="C417" s="74"/>
      <c r="D417" s="66"/>
    </row>
    <row r="418">
      <c r="A418" s="46"/>
      <c r="B418" s="7"/>
      <c r="C418" s="74"/>
      <c r="D418" s="66"/>
    </row>
    <row r="419">
      <c r="A419" s="46"/>
      <c r="B419" s="7"/>
      <c r="C419" s="74"/>
      <c r="D419" s="66"/>
    </row>
    <row r="420">
      <c r="A420" s="46"/>
      <c r="B420" s="7"/>
      <c r="C420" s="74"/>
      <c r="D420" s="66"/>
    </row>
    <row r="421">
      <c r="A421" s="46"/>
      <c r="B421" s="7"/>
      <c r="C421" s="74"/>
      <c r="D421" s="66"/>
    </row>
    <row r="422">
      <c r="A422" s="46"/>
      <c r="B422" s="7"/>
      <c r="C422" s="74"/>
      <c r="D422" s="66"/>
    </row>
    <row r="423">
      <c r="A423" s="46"/>
      <c r="B423" s="7"/>
      <c r="C423" s="74"/>
      <c r="D423" s="66"/>
    </row>
    <row r="424">
      <c r="A424" s="46"/>
      <c r="B424" s="7"/>
      <c r="C424" s="74"/>
      <c r="D424" s="66"/>
    </row>
    <row r="425">
      <c r="A425" s="46"/>
      <c r="B425" s="7"/>
      <c r="C425" s="74"/>
      <c r="D425" s="66"/>
    </row>
    <row r="426">
      <c r="A426" s="46"/>
      <c r="B426" s="7"/>
      <c r="C426" s="74"/>
      <c r="D426" s="66"/>
    </row>
    <row r="427">
      <c r="A427" s="46"/>
      <c r="B427" s="7"/>
      <c r="C427" s="74"/>
      <c r="D427" s="66"/>
    </row>
    <row r="428">
      <c r="A428" s="46"/>
      <c r="B428" s="7"/>
      <c r="C428" s="74"/>
      <c r="D428" s="66"/>
    </row>
    <row r="429">
      <c r="A429" s="46"/>
      <c r="B429" s="7"/>
      <c r="C429" s="74"/>
      <c r="D429" s="66"/>
    </row>
    <row r="430">
      <c r="A430" s="46"/>
      <c r="B430" s="7"/>
      <c r="C430" s="74"/>
      <c r="D430" s="66"/>
    </row>
    <row r="431">
      <c r="A431" s="46"/>
      <c r="B431" s="7"/>
      <c r="C431" s="74"/>
      <c r="D431" s="66"/>
    </row>
    <row r="432">
      <c r="A432" s="46"/>
      <c r="B432" s="7"/>
      <c r="C432" s="74"/>
      <c r="D432" s="66"/>
    </row>
    <row r="433">
      <c r="A433" s="46"/>
      <c r="B433" s="7"/>
      <c r="C433" s="74"/>
      <c r="D433" s="66"/>
    </row>
    <row r="434">
      <c r="A434" s="46"/>
      <c r="B434" s="7"/>
      <c r="C434" s="74"/>
      <c r="D434" s="66"/>
    </row>
    <row r="435">
      <c r="A435" s="46"/>
      <c r="B435" s="7"/>
      <c r="C435" s="74"/>
      <c r="D435" s="66"/>
    </row>
    <row r="436">
      <c r="A436" s="46"/>
      <c r="B436" s="7"/>
      <c r="C436" s="74"/>
      <c r="D436" s="66"/>
    </row>
    <row r="437">
      <c r="A437" s="46"/>
      <c r="B437" s="7"/>
      <c r="C437" s="74"/>
      <c r="D437" s="66"/>
    </row>
    <row r="438">
      <c r="A438" s="46"/>
      <c r="B438" s="7"/>
      <c r="C438" s="74"/>
      <c r="D438" s="66"/>
    </row>
    <row r="439">
      <c r="A439" s="46"/>
      <c r="B439" s="7"/>
      <c r="C439" s="74"/>
      <c r="D439" s="66"/>
    </row>
    <row r="440">
      <c r="A440" s="46"/>
      <c r="B440" s="7"/>
      <c r="C440" s="74"/>
      <c r="D440" s="66"/>
    </row>
    <row r="441">
      <c r="A441" s="46"/>
      <c r="B441" s="7"/>
      <c r="C441" s="74"/>
      <c r="D441" s="66"/>
    </row>
    <row r="442">
      <c r="A442" s="46"/>
      <c r="B442" s="7"/>
      <c r="C442" s="74"/>
      <c r="D442" s="66"/>
    </row>
    <row r="443">
      <c r="A443" s="46"/>
      <c r="B443" s="7"/>
      <c r="C443" s="74"/>
      <c r="D443" s="66"/>
    </row>
    <row r="444">
      <c r="A444" s="46"/>
      <c r="B444" s="7"/>
      <c r="C444" s="74"/>
      <c r="D444" s="66"/>
    </row>
    <row r="445">
      <c r="A445" s="46"/>
      <c r="B445" s="7"/>
      <c r="C445" s="74"/>
      <c r="D445" s="66"/>
    </row>
    <row r="446">
      <c r="A446" s="46"/>
      <c r="B446" s="7"/>
      <c r="C446" s="74"/>
      <c r="D446" s="66"/>
    </row>
    <row r="447">
      <c r="A447" s="46"/>
      <c r="B447" s="7"/>
      <c r="C447" s="74"/>
      <c r="D447" s="66"/>
    </row>
    <row r="448">
      <c r="A448" s="46"/>
      <c r="B448" s="7"/>
      <c r="C448" s="74"/>
      <c r="D448" s="66"/>
    </row>
    <row r="449">
      <c r="A449" s="46"/>
      <c r="B449" s="7"/>
      <c r="C449" s="74"/>
      <c r="D449" s="66"/>
    </row>
    <row r="450">
      <c r="A450" s="46"/>
      <c r="B450" s="7"/>
      <c r="C450" s="74"/>
      <c r="D450" s="66"/>
    </row>
    <row r="451">
      <c r="A451" s="46"/>
      <c r="B451" s="7"/>
      <c r="C451" s="74"/>
      <c r="D451" s="66"/>
    </row>
    <row r="452">
      <c r="A452" s="46"/>
      <c r="B452" s="7"/>
      <c r="C452" s="74"/>
      <c r="D452" s="66"/>
    </row>
    <row r="453">
      <c r="A453" s="46"/>
      <c r="B453" s="7"/>
      <c r="C453" s="74"/>
      <c r="D453" s="66"/>
    </row>
    <row r="454">
      <c r="A454" s="46"/>
      <c r="B454" s="7"/>
      <c r="C454" s="74"/>
      <c r="D454" s="66"/>
    </row>
    <row r="455">
      <c r="A455" s="46"/>
      <c r="B455" s="7"/>
      <c r="C455" s="74"/>
      <c r="D455" s="66"/>
    </row>
    <row r="456">
      <c r="A456" s="46"/>
      <c r="B456" s="7"/>
      <c r="C456" s="74"/>
      <c r="D456" s="66"/>
    </row>
    <row r="457">
      <c r="A457" s="46"/>
      <c r="B457" s="7"/>
      <c r="C457" s="74"/>
      <c r="D457" s="66"/>
    </row>
    <row r="458">
      <c r="A458" s="46"/>
      <c r="B458" s="7"/>
      <c r="C458" s="74"/>
      <c r="D458" s="66"/>
    </row>
    <row r="459">
      <c r="A459" s="46"/>
      <c r="B459" s="7"/>
      <c r="C459" s="74"/>
      <c r="D459" s="66"/>
    </row>
    <row r="460">
      <c r="A460" s="46"/>
      <c r="B460" s="7"/>
      <c r="C460" s="74"/>
      <c r="D460" s="66"/>
    </row>
    <row r="461">
      <c r="A461" s="46"/>
      <c r="B461" s="7"/>
      <c r="C461" s="74"/>
      <c r="D461" s="66"/>
    </row>
    <row r="462">
      <c r="A462" s="46"/>
      <c r="B462" s="7"/>
      <c r="C462" s="74"/>
      <c r="D462" s="66"/>
    </row>
    <row r="463">
      <c r="A463" s="46"/>
      <c r="B463" s="7"/>
      <c r="C463" s="74"/>
      <c r="D463" s="66"/>
    </row>
    <row r="464">
      <c r="A464" s="46"/>
      <c r="B464" s="7"/>
      <c r="C464" s="74"/>
      <c r="D464" s="66"/>
    </row>
    <row r="465">
      <c r="A465" s="46"/>
      <c r="B465" s="7"/>
      <c r="C465" s="74"/>
      <c r="D465" s="66"/>
    </row>
    <row r="466">
      <c r="A466" s="46"/>
      <c r="B466" s="7"/>
      <c r="C466" s="74"/>
      <c r="D466" s="66"/>
    </row>
    <row r="467">
      <c r="A467" s="46"/>
      <c r="B467" s="7"/>
      <c r="C467" s="74"/>
      <c r="D467" s="66"/>
    </row>
    <row r="468">
      <c r="A468" s="46"/>
      <c r="B468" s="7"/>
      <c r="C468" s="74"/>
      <c r="D468" s="66"/>
    </row>
    <row r="469">
      <c r="A469" s="46"/>
      <c r="B469" s="7"/>
      <c r="C469" s="74"/>
      <c r="D469" s="66"/>
    </row>
    <row r="470">
      <c r="A470" s="46"/>
      <c r="B470" s="7"/>
      <c r="C470" s="74"/>
      <c r="D470" s="66"/>
    </row>
    <row r="471">
      <c r="A471" s="46"/>
      <c r="B471" s="7"/>
      <c r="C471" s="74"/>
      <c r="D471" s="66"/>
    </row>
    <row r="472">
      <c r="A472" s="46"/>
      <c r="B472" s="7"/>
      <c r="C472" s="74"/>
      <c r="D472" s="66"/>
    </row>
    <row r="473">
      <c r="A473" s="46"/>
      <c r="B473" s="7"/>
      <c r="C473" s="74"/>
      <c r="D473" s="66"/>
    </row>
    <row r="474">
      <c r="A474" s="46"/>
      <c r="B474" s="7"/>
      <c r="C474" s="74"/>
      <c r="D474" s="66"/>
    </row>
    <row r="475">
      <c r="A475" s="46"/>
      <c r="B475" s="7"/>
      <c r="C475" s="74"/>
      <c r="D475" s="66"/>
    </row>
    <row r="476">
      <c r="A476" s="46"/>
      <c r="B476" s="7"/>
      <c r="C476" s="74"/>
      <c r="D476" s="66"/>
    </row>
    <row r="477">
      <c r="A477" s="46"/>
      <c r="B477" s="7"/>
      <c r="C477" s="74"/>
      <c r="D477" s="66"/>
    </row>
    <row r="478">
      <c r="A478" s="46"/>
      <c r="B478" s="7"/>
      <c r="C478" s="74"/>
      <c r="D478" s="66"/>
    </row>
    <row r="479">
      <c r="A479" s="46"/>
      <c r="B479" s="7"/>
      <c r="C479" s="74"/>
      <c r="D479" s="66"/>
    </row>
    <row r="480">
      <c r="A480" s="46"/>
      <c r="B480" s="7"/>
      <c r="C480" s="74"/>
      <c r="D480" s="66"/>
    </row>
    <row r="481">
      <c r="A481" s="46"/>
      <c r="B481" s="7"/>
      <c r="C481" s="74"/>
      <c r="D481" s="66"/>
    </row>
    <row r="482">
      <c r="A482" s="46"/>
      <c r="B482" s="7"/>
      <c r="C482" s="74"/>
      <c r="D482" s="66"/>
    </row>
    <row r="483">
      <c r="A483" s="46"/>
      <c r="B483" s="7"/>
      <c r="C483" s="74"/>
      <c r="D483" s="66"/>
    </row>
    <row r="484">
      <c r="A484" s="46"/>
      <c r="B484" s="7"/>
      <c r="C484" s="74"/>
      <c r="D484" s="66"/>
    </row>
    <row r="485">
      <c r="A485" s="46"/>
      <c r="B485" s="7"/>
      <c r="C485" s="74"/>
      <c r="D485" s="66"/>
    </row>
    <row r="486">
      <c r="A486" s="46"/>
      <c r="B486" s="7"/>
      <c r="C486" s="74"/>
      <c r="D486" s="66"/>
    </row>
    <row r="487">
      <c r="A487" s="46"/>
      <c r="B487" s="7"/>
      <c r="C487" s="74"/>
      <c r="D487" s="66"/>
    </row>
    <row r="488">
      <c r="A488" s="46"/>
      <c r="B488" s="7"/>
      <c r="C488" s="74"/>
      <c r="D488" s="66"/>
    </row>
    <row r="489">
      <c r="A489" s="46"/>
      <c r="B489" s="7"/>
      <c r="C489" s="74"/>
      <c r="D489" s="66"/>
    </row>
    <row r="490">
      <c r="A490" s="46"/>
      <c r="B490" s="7"/>
      <c r="C490" s="74"/>
      <c r="D490" s="66"/>
    </row>
    <row r="491">
      <c r="A491" s="46"/>
      <c r="B491" s="7"/>
      <c r="C491" s="74"/>
      <c r="D491" s="66"/>
    </row>
    <row r="492">
      <c r="A492" s="46"/>
      <c r="B492" s="7"/>
      <c r="C492" s="74"/>
      <c r="D492" s="66"/>
    </row>
    <row r="493">
      <c r="A493" s="46"/>
      <c r="B493" s="7"/>
      <c r="C493" s="74"/>
      <c r="D493" s="66"/>
    </row>
    <row r="494">
      <c r="A494" s="46"/>
      <c r="B494" s="7"/>
      <c r="C494" s="74"/>
      <c r="D494" s="66"/>
    </row>
    <row r="495">
      <c r="A495" s="46"/>
      <c r="B495" s="7"/>
      <c r="C495" s="74"/>
      <c r="D495" s="66"/>
    </row>
    <row r="496">
      <c r="A496" s="46"/>
      <c r="B496" s="7"/>
      <c r="C496" s="74"/>
      <c r="D496" s="66"/>
    </row>
    <row r="497">
      <c r="A497" s="46"/>
      <c r="B497" s="7"/>
      <c r="C497" s="74"/>
      <c r="D497" s="66"/>
    </row>
    <row r="498">
      <c r="A498" s="46"/>
      <c r="B498" s="7"/>
      <c r="C498" s="74"/>
      <c r="D498" s="66"/>
    </row>
    <row r="499">
      <c r="A499" s="46"/>
      <c r="B499" s="7"/>
      <c r="C499" s="74"/>
      <c r="D499" s="66"/>
    </row>
    <row r="500">
      <c r="A500" s="46"/>
      <c r="B500" s="7"/>
      <c r="C500" s="74"/>
      <c r="D500" s="66"/>
    </row>
    <row r="501">
      <c r="A501" s="46"/>
      <c r="B501" s="7"/>
      <c r="C501" s="74"/>
      <c r="D501" s="66"/>
    </row>
    <row r="502">
      <c r="A502" s="46"/>
      <c r="B502" s="7"/>
      <c r="C502" s="74"/>
      <c r="D502" s="66"/>
    </row>
    <row r="503">
      <c r="A503" s="46"/>
      <c r="B503" s="7"/>
      <c r="C503" s="74"/>
      <c r="D503" s="66"/>
    </row>
    <row r="504">
      <c r="A504" s="46"/>
      <c r="B504" s="7"/>
      <c r="C504" s="74"/>
      <c r="D504" s="66"/>
    </row>
    <row r="505">
      <c r="A505" s="46"/>
      <c r="B505" s="7"/>
      <c r="C505" s="74"/>
      <c r="D505" s="66"/>
    </row>
    <row r="506">
      <c r="A506" s="46"/>
      <c r="B506" s="7"/>
      <c r="C506" s="74"/>
      <c r="D506" s="66"/>
    </row>
    <row r="507">
      <c r="A507" s="46"/>
      <c r="B507" s="7"/>
      <c r="C507" s="74"/>
      <c r="D507" s="66"/>
    </row>
    <row r="508">
      <c r="A508" s="46"/>
      <c r="B508" s="7"/>
      <c r="C508" s="74"/>
      <c r="D508" s="66"/>
    </row>
    <row r="509">
      <c r="A509" s="46"/>
      <c r="B509" s="7"/>
      <c r="C509" s="74"/>
      <c r="D509" s="66"/>
    </row>
    <row r="510">
      <c r="A510" s="46"/>
      <c r="B510" s="7"/>
      <c r="C510" s="74"/>
      <c r="D510" s="66"/>
    </row>
    <row r="511">
      <c r="A511" s="46"/>
      <c r="B511" s="7"/>
      <c r="C511" s="74"/>
      <c r="D511" s="66"/>
    </row>
    <row r="512">
      <c r="A512" s="46"/>
      <c r="B512" s="7"/>
      <c r="C512" s="74"/>
      <c r="D512" s="66"/>
    </row>
    <row r="513">
      <c r="A513" s="46"/>
      <c r="B513" s="7"/>
      <c r="C513" s="74"/>
      <c r="D513" s="66"/>
    </row>
    <row r="514">
      <c r="A514" s="46"/>
      <c r="B514" s="7"/>
      <c r="C514" s="74"/>
      <c r="D514" s="66"/>
    </row>
    <row r="515">
      <c r="A515" s="46"/>
      <c r="B515" s="7"/>
      <c r="C515" s="74"/>
      <c r="D515" s="66"/>
    </row>
    <row r="516">
      <c r="A516" s="46"/>
      <c r="B516" s="7"/>
      <c r="C516" s="74"/>
      <c r="D516" s="66"/>
    </row>
    <row r="517">
      <c r="A517" s="46"/>
      <c r="B517" s="7"/>
      <c r="C517" s="74"/>
      <c r="D517" s="66"/>
    </row>
    <row r="518">
      <c r="A518" s="46"/>
      <c r="B518" s="7"/>
      <c r="C518" s="74"/>
      <c r="D518" s="66"/>
    </row>
    <row r="519">
      <c r="A519" s="46"/>
      <c r="B519" s="7"/>
      <c r="C519" s="74"/>
      <c r="D519" s="66"/>
    </row>
    <row r="520">
      <c r="A520" s="46"/>
      <c r="B520" s="7"/>
      <c r="C520" s="74"/>
      <c r="D520" s="66"/>
    </row>
    <row r="521">
      <c r="A521" s="46"/>
      <c r="B521" s="7"/>
      <c r="C521" s="74"/>
      <c r="D521" s="66"/>
    </row>
    <row r="522">
      <c r="A522" s="46"/>
      <c r="B522" s="7"/>
      <c r="C522" s="74"/>
      <c r="D522" s="66"/>
    </row>
    <row r="523">
      <c r="A523" s="46"/>
      <c r="B523" s="7"/>
      <c r="C523" s="74"/>
      <c r="D523" s="66"/>
    </row>
    <row r="524">
      <c r="A524" s="46"/>
      <c r="B524" s="7"/>
      <c r="C524" s="74"/>
      <c r="D524" s="66"/>
    </row>
    <row r="525">
      <c r="A525" s="46"/>
      <c r="B525" s="7"/>
      <c r="C525" s="74"/>
      <c r="D525" s="66"/>
    </row>
    <row r="526">
      <c r="A526" s="46"/>
      <c r="B526" s="7"/>
      <c r="C526" s="74"/>
      <c r="D526" s="66"/>
    </row>
    <row r="527">
      <c r="A527" s="46"/>
      <c r="B527" s="7"/>
      <c r="C527" s="74"/>
      <c r="D527" s="66"/>
    </row>
    <row r="528">
      <c r="A528" s="46"/>
      <c r="B528" s="7"/>
      <c r="C528" s="74"/>
      <c r="D528" s="66"/>
    </row>
    <row r="529">
      <c r="A529" s="46"/>
      <c r="B529" s="7"/>
      <c r="C529" s="74"/>
      <c r="D529" s="66"/>
    </row>
    <row r="530">
      <c r="A530" s="46"/>
      <c r="B530" s="7"/>
      <c r="C530" s="74"/>
      <c r="D530" s="66"/>
    </row>
    <row r="531">
      <c r="A531" s="46"/>
      <c r="B531" s="7"/>
      <c r="C531" s="74"/>
      <c r="D531" s="66"/>
    </row>
    <row r="532">
      <c r="A532" s="46"/>
      <c r="B532" s="7"/>
      <c r="C532" s="74"/>
      <c r="D532" s="66"/>
    </row>
    <row r="533">
      <c r="A533" s="46"/>
      <c r="B533" s="7"/>
      <c r="C533" s="74"/>
      <c r="D533" s="66"/>
    </row>
    <row r="534">
      <c r="A534" s="46"/>
      <c r="B534" s="7"/>
      <c r="C534" s="74"/>
      <c r="D534" s="66"/>
    </row>
    <row r="535">
      <c r="A535" s="46"/>
      <c r="B535" s="7"/>
      <c r="C535" s="74"/>
      <c r="D535" s="66"/>
    </row>
    <row r="536">
      <c r="A536" s="46"/>
      <c r="B536" s="7"/>
      <c r="C536" s="74"/>
      <c r="D536" s="66"/>
    </row>
    <row r="537">
      <c r="A537" s="46"/>
      <c r="B537" s="7"/>
      <c r="C537" s="74"/>
      <c r="D537" s="66"/>
    </row>
    <row r="538">
      <c r="A538" s="46"/>
      <c r="B538" s="7"/>
      <c r="C538" s="74"/>
      <c r="D538" s="66"/>
    </row>
    <row r="539">
      <c r="A539" s="46"/>
      <c r="B539" s="7"/>
      <c r="C539" s="74"/>
      <c r="D539" s="66"/>
    </row>
    <row r="540">
      <c r="A540" s="46"/>
      <c r="B540" s="7"/>
      <c r="C540" s="74"/>
      <c r="D540" s="66"/>
    </row>
    <row r="541">
      <c r="A541" s="46"/>
      <c r="B541" s="7"/>
      <c r="C541" s="74"/>
      <c r="D541" s="66"/>
    </row>
    <row r="542">
      <c r="A542" s="46"/>
      <c r="B542" s="7"/>
      <c r="C542" s="74"/>
      <c r="D542" s="66"/>
    </row>
    <row r="543">
      <c r="A543" s="46"/>
      <c r="B543" s="7"/>
      <c r="C543" s="74"/>
      <c r="D543" s="66"/>
    </row>
    <row r="544">
      <c r="A544" s="46"/>
      <c r="B544" s="7"/>
      <c r="C544" s="74"/>
      <c r="D544" s="66"/>
    </row>
    <row r="545">
      <c r="A545" s="46"/>
      <c r="B545" s="7"/>
      <c r="C545" s="74"/>
      <c r="D545" s="66"/>
    </row>
    <row r="546">
      <c r="A546" s="46"/>
      <c r="B546" s="7"/>
      <c r="C546" s="74"/>
      <c r="D546" s="66"/>
    </row>
    <row r="547">
      <c r="A547" s="46"/>
      <c r="B547" s="7"/>
      <c r="C547" s="74"/>
      <c r="D547" s="66"/>
    </row>
    <row r="548">
      <c r="A548" s="46"/>
      <c r="B548" s="7"/>
      <c r="C548" s="74"/>
      <c r="D548" s="66"/>
    </row>
    <row r="549">
      <c r="A549" s="46"/>
      <c r="B549" s="7"/>
      <c r="C549" s="74"/>
      <c r="D549" s="66"/>
    </row>
    <row r="550">
      <c r="A550" s="46"/>
      <c r="B550" s="7"/>
      <c r="C550" s="74"/>
      <c r="D550" s="66"/>
    </row>
    <row r="551">
      <c r="A551" s="46"/>
      <c r="B551" s="7"/>
      <c r="C551" s="74"/>
      <c r="D551" s="66"/>
    </row>
    <row r="552">
      <c r="A552" s="46"/>
      <c r="B552" s="7"/>
      <c r="C552" s="74"/>
      <c r="D552" s="66"/>
    </row>
    <row r="553">
      <c r="A553" s="46"/>
      <c r="B553" s="7"/>
      <c r="C553" s="74"/>
      <c r="D553" s="66"/>
    </row>
    <row r="554">
      <c r="A554" s="46"/>
      <c r="B554" s="7"/>
      <c r="C554" s="74"/>
      <c r="D554" s="66"/>
    </row>
    <row r="555">
      <c r="A555" s="46"/>
      <c r="B555" s="7"/>
      <c r="C555" s="74"/>
      <c r="D555" s="66"/>
    </row>
    <row r="556">
      <c r="A556" s="46"/>
      <c r="B556" s="7"/>
      <c r="C556" s="74"/>
      <c r="D556" s="66"/>
    </row>
    <row r="557">
      <c r="A557" s="46"/>
      <c r="B557" s="7"/>
      <c r="C557" s="74"/>
      <c r="D557" s="66"/>
    </row>
    <row r="558">
      <c r="A558" s="46"/>
      <c r="B558" s="7"/>
      <c r="C558" s="74"/>
      <c r="D558" s="66"/>
    </row>
    <row r="559">
      <c r="A559" s="46"/>
      <c r="B559" s="7"/>
      <c r="C559" s="74"/>
      <c r="D559" s="66"/>
    </row>
    <row r="560">
      <c r="A560" s="46"/>
      <c r="B560" s="7"/>
      <c r="C560" s="74"/>
      <c r="D560" s="66"/>
    </row>
    <row r="561">
      <c r="A561" s="46"/>
      <c r="B561" s="7"/>
      <c r="C561" s="74"/>
      <c r="D561" s="66"/>
    </row>
    <row r="562">
      <c r="A562" s="46"/>
      <c r="B562" s="7"/>
      <c r="C562" s="74"/>
      <c r="D562" s="66"/>
    </row>
    <row r="563">
      <c r="A563" s="46"/>
      <c r="B563" s="7"/>
      <c r="C563" s="74"/>
      <c r="D563" s="66"/>
    </row>
    <row r="564">
      <c r="A564" s="46"/>
      <c r="B564" s="7"/>
      <c r="C564" s="74"/>
      <c r="D564" s="66"/>
    </row>
    <row r="565">
      <c r="A565" s="46"/>
      <c r="B565" s="7"/>
      <c r="C565" s="74"/>
      <c r="D565" s="66"/>
    </row>
    <row r="566">
      <c r="A566" s="46"/>
      <c r="B566" s="7"/>
      <c r="C566" s="74"/>
      <c r="D566" s="66"/>
    </row>
    <row r="567">
      <c r="A567" s="46"/>
      <c r="B567" s="7"/>
      <c r="C567" s="74"/>
      <c r="D567" s="66"/>
    </row>
    <row r="568">
      <c r="A568" s="46"/>
      <c r="B568" s="7"/>
      <c r="C568" s="74"/>
      <c r="D568" s="66"/>
    </row>
    <row r="569">
      <c r="A569" s="46"/>
      <c r="B569" s="7"/>
      <c r="C569" s="74"/>
      <c r="D569" s="66"/>
    </row>
    <row r="570">
      <c r="A570" s="46"/>
      <c r="B570" s="7"/>
      <c r="C570" s="74"/>
      <c r="D570" s="66"/>
    </row>
    <row r="571">
      <c r="A571" s="46"/>
      <c r="B571" s="7"/>
      <c r="C571" s="74"/>
      <c r="D571" s="66"/>
    </row>
    <row r="572">
      <c r="A572" s="46"/>
      <c r="B572" s="7"/>
      <c r="C572" s="74"/>
      <c r="D572" s="66"/>
    </row>
    <row r="573">
      <c r="A573" s="46"/>
      <c r="B573" s="7"/>
      <c r="C573" s="74"/>
      <c r="D573" s="66"/>
    </row>
    <row r="574">
      <c r="A574" s="46"/>
      <c r="B574" s="7"/>
      <c r="C574" s="74"/>
      <c r="D574" s="66"/>
    </row>
    <row r="575">
      <c r="A575" s="46"/>
      <c r="B575" s="7"/>
      <c r="C575" s="74"/>
      <c r="D575" s="66"/>
    </row>
    <row r="576">
      <c r="A576" s="46"/>
      <c r="B576" s="7"/>
      <c r="C576" s="74"/>
      <c r="D576" s="66"/>
    </row>
    <row r="577">
      <c r="A577" s="46"/>
      <c r="B577" s="7"/>
      <c r="C577" s="74"/>
      <c r="D577" s="66"/>
    </row>
    <row r="578">
      <c r="A578" s="46"/>
      <c r="B578" s="7"/>
      <c r="C578" s="74"/>
      <c r="D578" s="66"/>
    </row>
    <row r="579">
      <c r="A579" s="46"/>
      <c r="B579" s="7"/>
      <c r="C579" s="74"/>
      <c r="D579" s="66"/>
    </row>
    <row r="580">
      <c r="A580" s="46"/>
      <c r="B580" s="7"/>
      <c r="C580" s="74"/>
      <c r="D580" s="66"/>
    </row>
    <row r="581">
      <c r="A581" s="46"/>
      <c r="B581" s="7"/>
      <c r="C581" s="74"/>
      <c r="D581" s="66"/>
    </row>
    <row r="582">
      <c r="A582" s="46"/>
      <c r="B582" s="7"/>
      <c r="C582" s="74"/>
      <c r="D582" s="66"/>
    </row>
    <row r="583">
      <c r="A583" s="46"/>
      <c r="B583" s="7"/>
      <c r="C583" s="74"/>
      <c r="D583" s="66"/>
    </row>
    <row r="584">
      <c r="A584" s="46"/>
      <c r="B584" s="7"/>
      <c r="C584" s="74"/>
      <c r="D584" s="66"/>
    </row>
    <row r="585">
      <c r="A585" s="46"/>
      <c r="B585" s="7"/>
      <c r="C585" s="74"/>
      <c r="D585" s="66"/>
    </row>
    <row r="586">
      <c r="A586" s="46"/>
      <c r="B586" s="7"/>
      <c r="C586" s="74"/>
      <c r="D586" s="66"/>
    </row>
    <row r="587">
      <c r="A587" s="46"/>
      <c r="B587" s="7"/>
      <c r="C587" s="74"/>
      <c r="D587" s="66"/>
    </row>
    <row r="588">
      <c r="A588" s="46"/>
      <c r="B588" s="7"/>
      <c r="C588" s="74"/>
      <c r="D588" s="66"/>
    </row>
    <row r="589">
      <c r="A589" s="46"/>
      <c r="B589" s="7"/>
      <c r="C589" s="74"/>
      <c r="D589" s="66"/>
    </row>
    <row r="590">
      <c r="A590" s="46"/>
      <c r="B590" s="7"/>
      <c r="C590" s="74"/>
      <c r="D590" s="66"/>
    </row>
    <row r="591">
      <c r="A591" s="46"/>
      <c r="B591" s="7"/>
      <c r="C591" s="74"/>
      <c r="D591" s="66"/>
    </row>
    <row r="592">
      <c r="A592" s="46"/>
      <c r="B592" s="7"/>
      <c r="C592" s="74"/>
      <c r="D592" s="66"/>
    </row>
    <row r="593">
      <c r="A593" s="46"/>
      <c r="B593" s="7"/>
      <c r="C593" s="74"/>
      <c r="D593" s="66"/>
    </row>
    <row r="594">
      <c r="A594" s="46"/>
      <c r="B594" s="7"/>
      <c r="C594" s="74"/>
      <c r="D594" s="66"/>
    </row>
    <row r="595">
      <c r="A595" s="46"/>
      <c r="B595" s="7"/>
      <c r="C595" s="74"/>
      <c r="D595" s="66"/>
    </row>
    <row r="596">
      <c r="A596" s="46"/>
      <c r="B596" s="7"/>
      <c r="C596" s="74"/>
      <c r="D596" s="66"/>
    </row>
    <row r="597">
      <c r="A597" s="46"/>
      <c r="B597" s="7"/>
      <c r="C597" s="74"/>
      <c r="D597" s="66"/>
    </row>
    <row r="598">
      <c r="A598" s="46"/>
      <c r="B598" s="7"/>
      <c r="C598" s="74"/>
      <c r="D598" s="66"/>
    </row>
    <row r="599">
      <c r="A599" s="46"/>
      <c r="B599" s="7"/>
      <c r="C599" s="74"/>
      <c r="D599" s="66"/>
    </row>
    <row r="600">
      <c r="A600" s="46"/>
      <c r="B600" s="7"/>
      <c r="C600" s="74"/>
      <c r="D600" s="66"/>
    </row>
    <row r="601">
      <c r="A601" s="46"/>
      <c r="B601" s="7"/>
      <c r="C601" s="74"/>
      <c r="D601" s="66"/>
    </row>
    <row r="602">
      <c r="A602" s="46"/>
      <c r="B602" s="7"/>
      <c r="C602" s="74"/>
      <c r="D602" s="66"/>
    </row>
    <row r="603">
      <c r="A603" s="46"/>
      <c r="B603" s="7"/>
      <c r="C603" s="74"/>
      <c r="D603" s="66"/>
    </row>
    <row r="604">
      <c r="A604" s="46"/>
      <c r="B604" s="7"/>
      <c r="C604" s="74"/>
      <c r="D604" s="66"/>
    </row>
    <row r="605">
      <c r="A605" s="46"/>
      <c r="B605" s="7"/>
      <c r="C605" s="74"/>
      <c r="D605" s="66"/>
    </row>
    <row r="606">
      <c r="A606" s="46"/>
      <c r="B606" s="7"/>
      <c r="C606" s="74"/>
      <c r="D606" s="66"/>
    </row>
    <row r="607">
      <c r="A607" s="46"/>
      <c r="B607" s="7"/>
      <c r="C607" s="74"/>
      <c r="D607" s="66"/>
    </row>
    <row r="608">
      <c r="A608" s="46"/>
      <c r="B608" s="7"/>
      <c r="C608" s="74"/>
      <c r="D608" s="66"/>
    </row>
    <row r="609">
      <c r="A609" s="46"/>
      <c r="B609" s="7"/>
      <c r="C609" s="74"/>
      <c r="D609" s="66"/>
    </row>
    <row r="610">
      <c r="A610" s="46"/>
      <c r="B610" s="7"/>
      <c r="C610" s="74"/>
      <c r="D610" s="66"/>
    </row>
    <row r="611">
      <c r="A611" s="46"/>
      <c r="B611" s="7"/>
      <c r="C611" s="74"/>
      <c r="D611" s="66"/>
    </row>
    <row r="612">
      <c r="A612" s="46"/>
      <c r="B612" s="7"/>
      <c r="C612" s="74"/>
      <c r="D612" s="66"/>
    </row>
    <row r="613">
      <c r="A613" s="46"/>
      <c r="B613" s="7"/>
      <c r="C613" s="74"/>
      <c r="D613" s="66"/>
    </row>
    <row r="614">
      <c r="A614" s="46"/>
      <c r="B614" s="7"/>
      <c r="C614" s="74"/>
      <c r="D614" s="66"/>
    </row>
    <row r="615">
      <c r="A615" s="46"/>
      <c r="B615" s="7"/>
      <c r="C615" s="74"/>
      <c r="D615" s="66"/>
    </row>
    <row r="616">
      <c r="A616" s="46"/>
      <c r="B616" s="7"/>
      <c r="C616" s="74"/>
      <c r="D616" s="66"/>
    </row>
    <row r="617">
      <c r="A617" s="46"/>
      <c r="B617" s="7"/>
      <c r="C617" s="74"/>
      <c r="D617" s="66"/>
    </row>
    <row r="618">
      <c r="A618" s="46"/>
      <c r="B618" s="7"/>
      <c r="C618" s="74"/>
      <c r="D618" s="66"/>
    </row>
    <row r="619">
      <c r="A619" s="46"/>
      <c r="B619" s="7"/>
      <c r="C619" s="74"/>
      <c r="D619" s="66"/>
    </row>
    <row r="620">
      <c r="A620" s="46"/>
      <c r="B620" s="7"/>
      <c r="C620" s="74"/>
      <c r="D620" s="66"/>
    </row>
    <row r="621">
      <c r="A621" s="46"/>
      <c r="B621" s="7"/>
      <c r="C621" s="74"/>
      <c r="D621" s="66"/>
    </row>
    <row r="622">
      <c r="A622" s="46"/>
      <c r="B622" s="7"/>
      <c r="C622" s="74"/>
      <c r="D622" s="66"/>
    </row>
    <row r="623">
      <c r="A623" s="46"/>
      <c r="B623" s="7"/>
      <c r="C623" s="74"/>
      <c r="D623" s="66"/>
    </row>
    <row r="624">
      <c r="A624" s="46"/>
      <c r="B624" s="7"/>
      <c r="C624" s="74"/>
      <c r="D624" s="66"/>
    </row>
    <row r="625">
      <c r="A625" s="46"/>
      <c r="B625" s="7"/>
      <c r="C625" s="74"/>
      <c r="D625" s="66"/>
    </row>
    <row r="626">
      <c r="A626" s="46"/>
      <c r="B626" s="7"/>
      <c r="C626" s="74"/>
      <c r="D626" s="66"/>
    </row>
    <row r="627">
      <c r="A627" s="46"/>
      <c r="B627" s="7"/>
      <c r="C627" s="74"/>
      <c r="D627" s="66"/>
    </row>
    <row r="628">
      <c r="A628" s="46"/>
      <c r="B628" s="7"/>
      <c r="C628" s="74"/>
      <c r="D628" s="66"/>
    </row>
    <row r="629">
      <c r="A629" s="46"/>
      <c r="B629" s="7"/>
      <c r="C629" s="74"/>
      <c r="D629" s="66"/>
    </row>
    <row r="630">
      <c r="A630" s="46"/>
      <c r="B630" s="7"/>
      <c r="C630" s="74"/>
      <c r="D630" s="66"/>
    </row>
    <row r="631">
      <c r="A631" s="46"/>
      <c r="B631" s="7"/>
      <c r="C631" s="74"/>
      <c r="D631" s="66"/>
    </row>
    <row r="632">
      <c r="A632" s="46"/>
      <c r="B632" s="7"/>
      <c r="C632" s="74"/>
      <c r="D632" s="66"/>
    </row>
    <row r="633">
      <c r="A633" s="46"/>
      <c r="B633" s="7"/>
      <c r="C633" s="74"/>
      <c r="D633" s="66"/>
    </row>
    <row r="634">
      <c r="A634" s="46"/>
      <c r="B634" s="7"/>
      <c r="C634" s="74"/>
      <c r="D634" s="66"/>
    </row>
    <row r="635">
      <c r="A635" s="46"/>
      <c r="B635" s="7"/>
      <c r="C635" s="74"/>
      <c r="D635" s="66"/>
    </row>
    <row r="636">
      <c r="A636" s="46"/>
      <c r="B636" s="7"/>
      <c r="C636" s="74"/>
      <c r="D636" s="66"/>
    </row>
    <row r="637">
      <c r="A637" s="46"/>
      <c r="B637" s="7"/>
      <c r="C637" s="74"/>
      <c r="D637" s="66"/>
    </row>
    <row r="638">
      <c r="A638" s="46"/>
      <c r="B638" s="7"/>
      <c r="C638" s="74"/>
      <c r="D638" s="66"/>
    </row>
    <row r="639">
      <c r="A639" s="46"/>
      <c r="B639" s="7"/>
      <c r="C639" s="74"/>
      <c r="D639" s="66"/>
    </row>
    <row r="640">
      <c r="A640" s="46"/>
      <c r="B640" s="7"/>
      <c r="C640" s="74"/>
      <c r="D640" s="66"/>
    </row>
    <row r="641">
      <c r="A641" s="46"/>
      <c r="B641" s="7"/>
      <c r="C641" s="74"/>
      <c r="D641" s="66"/>
    </row>
    <row r="642">
      <c r="A642" s="46"/>
      <c r="B642" s="7"/>
      <c r="C642" s="74"/>
      <c r="D642" s="66"/>
    </row>
    <row r="643">
      <c r="A643" s="46"/>
      <c r="B643" s="7"/>
      <c r="C643" s="74"/>
      <c r="D643" s="66"/>
    </row>
    <row r="644">
      <c r="A644" s="46"/>
      <c r="B644" s="7"/>
      <c r="C644" s="74"/>
      <c r="D644" s="66"/>
    </row>
    <row r="645">
      <c r="A645" s="46"/>
      <c r="B645" s="7"/>
      <c r="C645" s="74"/>
      <c r="D645" s="66"/>
    </row>
    <row r="646">
      <c r="A646" s="46"/>
      <c r="B646" s="7"/>
      <c r="C646" s="74"/>
      <c r="D646" s="66"/>
    </row>
    <row r="647">
      <c r="A647" s="46"/>
      <c r="B647" s="7"/>
      <c r="C647" s="74"/>
      <c r="D647" s="66"/>
    </row>
    <row r="648">
      <c r="A648" s="46"/>
      <c r="B648" s="7"/>
      <c r="C648" s="74"/>
      <c r="D648" s="66"/>
    </row>
    <row r="649">
      <c r="A649" s="46"/>
      <c r="B649" s="7"/>
      <c r="C649" s="74"/>
      <c r="D649" s="66"/>
    </row>
    <row r="650">
      <c r="A650" s="46"/>
      <c r="B650" s="7"/>
      <c r="C650" s="74"/>
      <c r="D650" s="66"/>
    </row>
    <row r="651">
      <c r="A651" s="46"/>
      <c r="B651" s="7"/>
      <c r="C651" s="74"/>
      <c r="D651" s="66"/>
    </row>
    <row r="652">
      <c r="A652" s="46"/>
      <c r="B652" s="7"/>
      <c r="C652" s="74"/>
      <c r="D652" s="66"/>
    </row>
    <row r="653">
      <c r="A653" s="46"/>
      <c r="B653" s="7"/>
      <c r="C653" s="74"/>
      <c r="D653" s="66"/>
    </row>
    <row r="654">
      <c r="A654" s="46"/>
      <c r="B654" s="7"/>
      <c r="C654" s="74"/>
      <c r="D654" s="66"/>
    </row>
    <row r="655">
      <c r="A655" s="46"/>
      <c r="B655" s="7"/>
      <c r="C655" s="74"/>
      <c r="D655" s="66"/>
    </row>
    <row r="656">
      <c r="A656" s="46"/>
      <c r="B656" s="7"/>
      <c r="C656" s="74"/>
      <c r="D656" s="66"/>
    </row>
    <row r="657">
      <c r="A657" s="46"/>
      <c r="B657" s="7"/>
      <c r="C657" s="74"/>
      <c r="D657" s="66"/>
    </row>
    <row r="658">
      <c r="A658" s="46"/>
      <c r="B658" s="7"/>
      <c r="C658" s="74"/>
      <c r="D658" s="66"/>
    </row>
    <row r="659">
      <c r="A659" s="46"/>
      <c r="B659" s="7"/>
      <c r="C659" s="74"/>
      <c r="D659" s="66"/>
    </row>
    <row r="660">
      <c r="A660" s="46"/>
      <c r="B660" s="7"/>
      <c r="C660" s="74"/>
      <c r="D660" s="66"/>
    </row>
    <row r="661">
      <c r="A661" s="46"/>
      <c r="B661" s="7"/>
      <c r="C661" s="74"/>
      <c r="D661" s="66"/>
    </row>
    <row r="662">
      <c r="A662" s="46"/>
      <c r="B662" s="7"/>
      <c r="C662" s="74"/>
      <c r="D662" s="66"/>
    </row>
    <row r="663">
      <c r="A663" s="46"/>
      <c r="B663" s="7"/>
      <c r="C663" s="74"/>
      <c r="D663" s="66"/>
    </row>
    <row r="664">
      <c r="A664" s="46"/>
      <c r="B664" s="7"/>
      <c r="C664" s="74"/>
      <c r="D664" s="66"/>
    </row>
    <row r="665">
      <c r="A665" s="46"/>
      <c r="B665" s="7"/>
      <c r="C665" s="74"/>
      <c r="D665" s="66"/>
    </row>
    <row r="666">
      <c r="A666" s="46"/>
      <c r="B666" s="7"/>
      <c r="C666" s="74"/>
      <c r="D666" s="66"/>
    </row>
    <row r="667">
      <c r="A667" s="46"/>
      <c r="B667" s="7"/>
      <c r="C667" s="74"/>
      <c r="D667" s="66"/>
    </row>
    <row r="668">
      <c r="A668" s="46"/>
      <c r="B668" s="7"/>
      <c r="C668" s="74"/>
      <c r="D668" s="66"/>
    </row>
    <row r="669">
      <c r="A669" s="46"/>
      <c r="B669" s="7"/>
      <c r="C669" s="74"/>
      <c r="D669" s="66"/>
    </row>
    <row r="670">
      <c r="A670" s="46"/>
      <c r="B670" s="7"/>
      <c r="C670" s="74"/>
      <c r="D670" s="66"/>
    </row>
    <row r="671">
      <c r="A671" s="46"/>
      <c r="B671" s="7"/>
      <c r="C671" s="74"/>
      <c r="D671" s="66"/>
    </row>
    <row r="672">
      <c r="A672" s="46"/>
      <c r="B672" s="7"/>
      <c r="C672" s="74"/>
      <c r="D672" s="66"/>
    </row>
    <row r="673">
      <c r="A673" s="46"/>
      <c r="B673" s="7"/>
      <c r="C673" s="74"/>
      <c r="D673" s="66"/>
    </row>
    <row r="674">
      <c r="A674" s="46"/>
      <c r="B674" s="7"/>
      <c r="C674" s="74"/>
      <c r="D674" s="66"/>
    </row>
    <row r="675">
      <c r="A675" s="46"/>
      <c r="B675" s="7"/>
      <c r="C675" s="74"/>
      <c r="D675" s="66"/>
    </row>
    <row r="676">
      <c r="A676" s="46"/>
      <c r="B676" s="7"/>
      <c r="C676" s="74"/>
      <c r="D676" s="66"/>
    </row>
    <row r="677">
      <c r="A677" s="46"/>
      <c r="B677" s="7"/>
      <c r="C677" s="74"/>
      <c r="D677" s="66"/>
    </row>
    <row r="678">
      <c r="A678" s="46"/>
      <c r="B678" s="7"/>
      <c r="C678" s="74"/>
      <c r="D678" s="66"/>
    </row>
    <row r="679">
      <c r="A679" s="46"/>
      <c r="B679" s="7"/>
      <c r="C679" s="74"/>
      <c r="D679" s="66"/>
    </row>
    <row r="680">
      <c r="A680" s="46"/>
      <c r="B680" s="7"/>
      <c r="C680" s="74"/>
      <c r="D680" s="66"/>
    </row>
    <row r="681">
      <c r="A681" s="46"/>
      <c r="B681" s="7"/>
      <c r="C681" s="74"/>
      <c r="D681" s="66"/>
    </row>
    <row r="682">
      <c r="A682" s="46"/>
      <c r="B682" s="7"/>
      <c r="C682" s="74"/>
      <c r="D682" s="66"/>
    </row>
    <row r="683">
      <c r="A683" s="46"/>
      <c r="B683" s="7"/>
      <c r="C683" s="74"/>
      <c r="D683" s="66"/>
    </row>
    <row r="684">
      <c r="A684" s="46"/>
      <c r="B684" s="7"/>
      <c r="C684" s="74"/>
      <c r="D684" s="66"/>
    </row>
    <row r="685">
      <c r="A685" s="46"/>
      <c r="B685" s="7"/>
      <c r="C685" s="74"/>
      <c r="D685" s="66"/>
    </row>
    <row r="686">
      <c r="A686" s="46"/>
      <c r="B686" s="7"/>
      <c r="C686" s="74"/>
      <c r="D686" s="66"/>
    </row>
    <row r="687">
      <c r="A687" s="46"/>
      <c r="B687" s="7"/>
      <c r="C687" s="74"/>
      <c r="D687" s="66"/>
    </row>
    <row r="688">
      <c r="A688" s="46"/>
      <c r="B688" s="7"/>
      <c r="C688" s="74"/>
      <c r="D688" s="66"/>
    </row>
    <row r="689">
      <c r="A689" s="46"/>
      <c r="B689" s="7"/>
      <c r="C689" s="74"/>
      <c r="D689" s="66"/>
    </row>
    <row r="690">
      <c r="A690" s="46"/>
      <c r="B690" s="7"/>
      <c r="C690" s="74"/>
      <c r="D690" s="66"/>
    </row>
    <row r="691">
      <c r="A691" s="46"/>
      <c r="B691" s="7"/>
      <c r="C691" s="74"/>
      <c r="D691" s="66"/>
    </row>
    <row r="692">
      <c r="A692" s="46"/>
      <c r="B692" s="7"/>
      <c r="C692" s="74"/>
      <c r="D692" s="66"/>
    </row>
    <row r="693">
      <c r="A693" s="46"/>
      <c r="B693" s="7"/>
      <c r="C693" s="74"/>
      <c r="D693" s="66"/>
    </row>
    <row r="694">
      <c r="A694" s="46"/>
      <c r="B694" s="7"/>
      <c r="C694" s="74"/>
      <c r="D694" s="66"/>
    </row>
    <row r="695">
      <c r="A695" s="46"/>
      <c r="B695" s="7"/>
      <c r="C695" s="74"/>
      <c r="D695" s="66"/>
    </row>
    <row r="696">
      <c r="A696" s="46"/>
      <c r="B696" s="7"/>
      <c r="C696" s="74"/>
      <c r="D696" s="66"/>
    </row>
    <row r="697">
      <c r="A697" s="46"/>
      <c r="B697" s="7"/>
      <c r="C697" s="74"/>
      <c r="D697" s="66"/>
    </row>
    <row r="698">
      <c r="A698" s="46"/>
      <c r="B698" s="7"/>
      <c r="C698" s="74"/>
      <c r="D698" s="66"/>
    </row>
    <row r="699">
      <c r="A699" s="46"/>
      <c r="B699" s="7"/>
      <c r="C699" s="74"/>
      <c r="D699" s="66"/>
    </row>
    <row r="700">
      <c r="A700" s="46"/>
      <c r="B700" s="7"/>
      <c r="C700" s="74"/>
      <c r="D700" s="66"/>
    </row>
    <row r="701">
      <c r="A701" s="46"/>
      <c r="B701" s="7"/>
      <c r="C701" s="74"/>
      <c r="D701" s="66"/>
    </row>
    <row r="702">
      <c r="A702" s="46"/>
      <c r="B702" s="7"/>
      <c r="C702" s="74"/>
      <c r="D702" s="66"/>
    </row>
    <row r="703">
      <c r="A703" s="46"/>
      <c r="B703" s="7"/>
      <c r="C703" s="74"/>
      <c r="D703" s="66"/>
    </row>
    <row r="704">
      <c r="A704" s="46"/>
      <c r="B704" s="7"/>
      <c r="C704" s="74"/>
      <c r="D704" s="66"/>
    </row>
    <row r="705">
      <c r="A705" s="46"/>
      <c r="B705" s="7"/>
      <c r="C705" s="74"/>
      <c r="D705" s="66"/>
    </row>
    <row r="706">
      <c r="A706" s="46"/>
      <c r="B706" s="7"/>
      <c r="C706" s="74"/>
      <c r="D706" s="66"/>
    </row>
    <row r="707">
      <c r="A707" s="46"/>
      <c r="B707" s="7"/>
      <c r="C707" s="74"/>
      <c r="D707" s="66"/>
    </row>
    <row r="708">
      <c r="A708" s="46"/>
      <c r="B708" s="7"/>
      <c r="C708" s="74"/>
      <c r="D708" s="66"/>
    </row>
    <row r="709">
      <c r="A709" s="46"/>
      <c r="B709" s="7"/>
      <c r="C709" s="74"/>
      <c r="D709" s="66"/>
    </row>
    <row r="710">
      <c r="A710" s="46"/>
      <c r="B710" s="7"/>
      <c r="C710" s="74"/>
      <c r="D710" s="66"/>
    </row>
    <row r="711">
      <c r="A711" s="46"/>
      <c r="B711" s="7"/>
      <c r="C711" s="74"/>
      <c r="D711" s="66"/>
    </row>
    <row r="712">
      <c r="A712" s="46"/>
      <c r="B712" s="7"/>
      <c r="C712" s="74"/>
      <c r="D712" s="66"/>
    </row>
    <row r="713">
      <c r="A713" s="46"/>
      <c r="B713" s="7"/>
      <c r="C713" s="74"/>
      <c r="D713" s="66"/>
    </row>
    <row r="714">
      <c r="A714" s="46"/>
      <c r="B714" s="7"/>
      <c r="C714" s="74"/>
      <c r="D714" s="66"/>
    </row>
    <row r="715">
      <c r="A715" s="46"/>
      <c r="B715" s="7"/>
      <c r="C715" s="74"/>
      <c r="D715" s="66"/>
    </row>
    <row r="716">
      <c r="A716" s="46"/>
      <c r="B716" s="7"/>
      <c r="C716" s="74"/>
      <c r="D716" s="66"/>
    </row>
    <row r="717">
      <c r="A717" s="46"/>
      <c r="B717" s="7"/>
      <c r="C717" s="74"/>
      <c r="D717" s="66"/>
    </row>
    <row r="718">
      <c r="A718" s="46"/>
      <c r="B718" s="7"/>
      <c r="C718" s="74"/>
      <c r="D718" s="66"/>
    </row>
    <row r="719">
      <c r="A719" s="46"/>
      <c r="B719" s="7"/>
      <c r="C719" s="74"/>
      <c r="D719" s="66"/>
    </row>
    <row r="720">
      <c r="A720" s="46"/>
      <c r="B720" s="7"/>
      <c r="C720" s="74"/>
      <c r="D720" s="66"/>
    </row>
    <row r="721">
      <c r="A721" s="46"/>
      <c r="B721" s="7"/>
      <c r="C721" s="74"/>
      <c r="D721" s="66"/>
    </row>
    <row r="722">
      <c r="A722" s="46"/>
      <c r="B722" s="7"/>
      <c r="C722" s="74"/>
      <c r="D722" s="66"/>
    </row>
    <row r="723">
      <c r="A723" s="46"/>
      <c r="B723" s="7"/>
      <c r="C723" s="74"/>
      <c r="D723" s="66"/>
    </row>
    <row r="724">
      <c r="A724" s="46"/>
      <c r="B724" s="7"/>
      <c r="C724" s="74"/>
      <c r="D724" s="66"/>
    </row>
    <row r="725">
      <c r="A725" s="46"/>
      <c r="B725" s="7"/>
      <c r="C725" s="74"/>
      <c r="D725" s="66"/>
    </row>
    <row r="726">
      <c r="A726" s="46"/>
      <c r="B726" s="7"/>
      <c r="C726" s="74"/>
      <c r="D726" s="66"/>
    </row>
    <row r="727">
      <c r="A727" s="46"/>
      <c r="B727" s="7"/>
      <c r="C727" s="74"/>
      <c r="D727" s="66"/>
    </row>
    <row r="728">
      <c r="A728" s="46"/>
      <c r="B728" s="7"/>
      <c r="C728" s="74"/>
      <c r="D728" s="66"/>
    </row>
    <row r="729">
      <c r="A729" s="46"/>
      <c r="B729" s="7"/>
      <c r="C729" s="74"/>
      <c r="D729" s="66"/>
    </row>
    <row r="730">
      <c r="A730" s="46"/>
      <c r="B730" s="7"/>
      <c r="C730" s="74"/>
      <c r="D730" s="66"/>
    </row>
    <row r="731">
      <c r="A731" s="46"/>
      <c r="B731" s="7"/>
      <c r="C731" s="74"/>
      <c r="D731" s="66"/>
    </row>
    <row r="732">
      <c r="A732" s="46"/>
      <c r="B732" s="7"/>
      <c r="C732" s="74"/>
      <c r="D732" s="66"/>
    </row>
    <row r="733">
      <c r="A733" s="46"/>
      <c r="B733" s="7"/>
      <c r="C733" s="74"/>
      <c r="D733" s="66"/>
    </row>
    <row r="734">
      <c r="A734" s="46"/>
      <c r="B734" s="7"/>
      <c r="C734" s="74"/>
      <c r="D734" s="66"/>
    </row>
    <row r="735">
      <c r="A735" s="46"/>
      <c r="B735" s="7"/>
      <c r="C735" s="74"/>
      <c r="D735" s="66"/>
    </row>
    <row r="736">
      <c r="A736" s="46"/>
      <c r="B736" s="7"/>
      <c r="C736" s="74"/>
      <c r="D736" s="66"/>
    </row>
    <row r="737">
      <c r="A737" s="46"/>
      <c r="B737" s="7"/>
      <c r="C737" s="74"/>
      <c r="D737" s="66"/>
    </row>
    <row r="738">
      <c r="A738" s="46"/>
      <c r="B738" s="7"/>
      <c r="C738" s="74"/>
      <c r="D738" s="66"/>
    </row>
    <row r="739">
      <c r="A739" s="46"/>
      <c r="B739" s="7"/>
      <c r="C739" s="74"/>
      <c r="D739" s="66"/>
    </row>
    <row r="740">
      <c r="A740" s="46"/>
      <c r="B740" s="7"/>
      <c r="C740" s="74"/>
      <c r="D740" s="66"/>
    </row>
    <row r="741">
      <c r="A741" s="46"/>
      <c r="B741" s="7"/>
      <c r="C741" s="74"/>
      <c r="D741" s="66"/>
    </row>
    <row r="742">
      <c r="A742" s="46"/>
      <c r="B742" s="7"/>
      <c r="C742" s="74"/>
      <c r="D742" s="66"/>
    </row>
    <row r="743">
      <c r="A743" s="46"/>
      <c r="B743" s="7"/>
      <c r="C743" s="74"/>
      <c r="D743" s="66"/>
    </row>
    <row r="744">
      <c r="A744" s="46"/>
      <c r="B744" s="7"/>
      <c r="C744" s="74"/>
      <c r="D744" s="66"/>
    </row>
    <row r="745">
      <c r="A745" s="46"/>
      <c r="B745" s="7"/>
      <c r="C745" s="74"/>
      <c r="D745" s="66"/>
    </row>
    <row r="746">
      <c r="A746" s="46"/>
      <c r="B746" s="7"/>
      <c r="C746" s="74"/>
      <c r="D746" s="66"/>
    </row>
    <row r="747">
      <c r="A747" s="46"/>
      <c r="B747" s="7"/>
      <c r="C747" s="74"/>
      <c r="D747" s="66"/>
    </row>
    <row r="748">
      <c r="A748" s="46"/>
      <c r="B748" s="7"/>
      <c r="C748" s="74"/>
      <c r="D748" s="66"/>
    </row>
    <row r="749">
      <c r="A749" s="46"/>
      <c r="B749" s="7"/>
      <c r="C749" s="74"/>
      <c r="D749" s="66"/>
    </row>
    <row r="750">
      <c r="A750" s="46"/>
      <c r="B750" s="7"/>
      <c r="C750" s="74"/>
      <c r="D750" s="66"/>
    </row>
    <row r="751">
      <c r="A751" s="46"/>
      <c r="B751" s="7"/>
      <c r="C751" s="74"/>
      <c r="D751" s="66"/>
    </row>
    <row r="752">
      <c r="A752" s="46"/>
      <c r="B752" s="7"/>
      <c r="C752" s="74"/>
      <c r="D752" s="66"/>
    </row>
    <row r="753">
      <c r="A753" s="46"/>
      <c r="B753" s="7"/>
      <c r="C753" s="74"/>
      <c r="D753" s="66"/>
    </row>
    <row r="754">
      <c r="A754" s="46"/>
      <c r="B754" s="7"/>
      <c r="C754" s="74"/>
      <c r="D754" s="66"/>
    </row>
    <row r="755">
      <c r="A755" s="46"/>
      <c r="B755" s="7"/>
      <c r="C755" s="74"/>
      <c r="D755" s="66"/>
    </row>
    <row r="756">
      <c r="A756" s="46"/>
      <c r="B756" s="7"/>
      <c r="C756" s="74"/>
      <c r="D756" s="66"/>
    </row>
    <row r="757">
      <c r="A757" s="46"/>
      <c r="B757" s="7"/>
      <c r="C757" s="74"/>
      <c r="D757" s="66"/>
    </row>
    <row r="758">
      <c r="A758" s="46"/>
      <c r="B758" s="7"/>
      <c r="C758" s="74"/>
      <c r="D758" s="66"/>
    </row>
    <row r="759">
      <c r="A759" s="46"/>
      <c r="B759" s="7"/>
      <c r="C759" s="74"/>
      <c r="D759" s="66"/>
    </row>
    <row r="760">
      <c r="A760" s="46"/>
      <c r="B760" s="7"/>
      <c r="C760" s="74"/>
      <c r="D760" s="66"/>
    </row>
    <row r="761">
      <c r="A761" s="46"/>
      <c r="B761" s="7"/>
      <c r="C761" s="74"/>
      <c r="D761" s="66"/>
    </row>
    <row r="762">
      <c r="A762" s="46"/>
      <c r="B762" s="7"/>
      <c r="C762" s="74"/>
      <c r="D762" s="66"/>
    </row>
    <row r="763">
      <c r="A763" s="46"/>
      <c r="B763" s="7"/>
      <c r="C763" s="74"/>
      <c r="D763" s="66"/>
    </row>
    <row r="764">
      <c r="A764" s="46"/>
      <c r="B764" s="7"/>
      <c r="C764" s="74"/>
      <c r="D764" s="66"/>
    </row>
    <row r="765">
      <c r="A765" s="46"/>
      <c r="B765" s="7"/>
      <c r="C765" s="74"/>
      <c r="D765" s="66"/>
    </row>
    <row r="766">
      <c r="A766" s="46"/>
      <c r="B766" s="7"/>
      <c r="C766" s="74"/>
      <c r="D766" s="66"/>
    </row>
    <row r="767">
      <c r="A767" s="46"/>
      <c r="B767" s="7"/>
      <c r="C767" s="74"/>
      <c r="D767" s="66"/>
    </row>
    <row r="768">
      <c r="A768" s="46"/>
      <c r="B768" s="7"/>
      <c r="C768" s="74"/>
      <c r="D768" s="66"/>
    </row>
    <row r="769">
      <c r="A769" s="46"/>
      <c r="B769" s="7"/>
      <c r="C769" s="74"/>
      <c r="D769" s="66"/>
    </row>
    <row r="770">
      <c r="A770" s="46"/>
      <c r="B770" s="7"/>
      <c r="C770" s="74"/>
      <c r="D770" s="66"/>
    </row>
    <row r="771">
      <c r="A771" s="46"/>
      <c r="B771" s="7"/>
      <c r="C771" s="74"/>
      <c r="D771" s="66"/>
    </row>
    <row r="772">
      <c r="A772" s="46"/>
      <c r="B772" s="7"/>
      <c r="C772" s="74"/>
      <c r="D772" s="66"/>
    </row>
    <row r="773">
      <c r="A773" s="46"/>
      <c r="B773" s="7"/>
      <c r="C773" s="74"/>
      <c r="D773" s="66"/>
    </row>
    <row r="774">
      <c r="A774" s="46"/>
      <c r="B774" s="7"/>
      <c r="C774" s="74"/>
      <c r="D774" s="66"/>
    </row>
    <row r="775">
      <c r="A775" s="46"/>
      <c r="B775" s="7"/>
      <c r="C775" s="74"/>
      <c r="D775" s="66"/>
    </row>
    <row r="776">
      <c r="A776" s="46"/>
      <c r="B776" s="7"/>
      <c r="C776" s="74"/>
      <c r="D776" s="66"/>
    </row>
    <row r="777">
      <c r="A777" s="46"/>
      <c r="B777" s="7"/>
      <c r="C777" s="74"/>
      <c r="D777" s="66"/>
    </row>
    <row r="778">
      <c r="A778" s="46"/>
      <c r="B778" s="7"/>
      <c r="C778" s="74"/>
      <c r="D778" s="66"/>
    </row>
    <row r="779">
      <c r="A779" s="46"/>
      <c r="B779" s="7"/>
      <c r="C779" s="74"/>
      <c r="D779" s="66"/>
    </row>
    <row r="780">
      <c r="A780" s="46"/>
      <c r="B780" s="7"/>
      <c r="C780" s="74"/>
      <c r="D780" s="66"/>
    </row>
    <row r="781">
      <c r="A781" s="46"/>
      <c r="B781" s="7"/>
      <c r="C781" s="74"/>
      <c r="D781" s="66"/>
    </row>
    <row r="782">
      <c r="A782" s="46"/>
      <c r="B782" s="7"/>
      <c r="C782" s="74"/>
      <c r="D782" s="66"/>
    </row>
    <row r="783">
      <c r="A783" s="46"/>
      <c r="B783" s="7"/>
      <c r="C783" s="74"/>
      <c r="D783" s="66"/>
    </row>
    <row r="784">
      <c r="A784" s="46"/>
      <c r="B784" s="7"/>
      <c r="C784" s="74"/>
      <c r="D784" s="66"/>
    </row>
    <row r="785">
      <c r="A785" s="46"/>
      <c r="B785" s="7"/>
      <c r="C785" s="74"/>
      <c r="D785" s="66"/>
    </row>
    <row r="786">
      <c r="A786" s="46"/>
      <c r="B786" s="7"/>
      <c r="C786" s="74"/>
      <c r="D786" s="66"/>
    </row>
    <row r="787">
      <c r="A787" s="46"/>
      <c r="B787" s="7"/>
      <c r="C787" s="74"/>
      <c r="D787" s="66"/>
    </row>
    <row r="788">
      <c r="A788" s="46"/>
      <c r="B788" s="7"/>
      <c r="C788" s="74"/>
      <c r="D788" s="66"/>
    </row>
    <row r="789">
      <c r="A789" s="46"/>
      <c r="B789" s="7"/>
      <c r="C789" s="74"/>
      <c r="D789" s="66"/>
    </row>
    <row r="790">
      <c r="A790" s="46"/>
      <c r="B790" s="7"/>
      <c r="C790" s="74"/>
      <c r="D790" s="66"/>
    </row>
    <row r="791">
      <c r="A791" s="46"/>
      <c r="B791" s="7"/>
      <c r="C791" s="74"/>
      <c r="D791" s="66"/>
    </row>
    <row r="792">
      <c r="A792" s="46"/>
      <c r="B792" s="7"/>
      <c r="C792" s="74"/>
      <c r="D792" s="66"/>
    </row>
    <row r="793">
      <c r="A793" s="46"/>
      <c r="B793" s="7"/>
      <c r="C793" s="74"/>
      <c r="D793" s="66"/>
    </row>
    <row r="794">
      <c r="A794" s="46"/>
      <c r="B794" s="7"/>
      <c r="C794" s="74"/>
      <c r="D794" s="66"/>
    </row>
    <row r="795">
      <c r="A795" s="46"/>
      <c r="B795" s="7"/>
      <c r="C795" s="74"/>
      <c r="D795" s="66"/>
    </row>
    <row r="796">
      <c r="A796" s="46"/>
      <c r="B796" s="7"/>
      <c r="C796" s="74"/>
      <c r="D796" s="66"/>
    </row>
    <row r="797">
      <c r="A797" s="46"/>
      <c r="B797" s="7"/>
      <c r="C797" s="74"/>
      <c r="D797" s="66"/>
    </row>
    <row r="798">
      <c r="A798" s="46"/>
      <c r="B798" s="7"/>
      <c r="C798" s="74"/>
      <c r="D798" s="66"/>
    </row>
    <row r="799">
      <c r="A799" s="46"/>
      <c r="B799" s="7"/>
      <c r="C799" s="74"/>
      <c r="D799" s="66"/>
    </row>
    <row r="800">
      <c r="A800" s="46"/>
      <c r="B800" s="7"/>
      <c r="C800" s="74"/>
      <c r="D800" s="66"/>
    </row>
    <row r="801">
      <c r="A801" s="46"/>
      <c r="B801" s="7"/>
      <c r="C801" s="74"/>
      <c r="D801" s="66"/>
    </row>
    <row r="802">
      <c r="A802" s="46"/>
      <c r="B802" s="7"/>
      <c r="C802" s="74"/>
      <c r="D802" s="66"/>
    </row>
    <row r="803">
      <c r="A803" s="46"/>
      <c r="B803" s="7"/>
      <c r="C803" s="74"/>
      <c r="D803" s="66"/>
    </row>
    <row r="804">
      <c r="A804" s="46"/>
      <c r="B804" s="7"/>
      <c r="C804" s="74"/>
      <c r="D804" s="66"/>
    </row>
    <row r="805">
      <c r="A805" s="46"/>
      <c r="B805" s="7"/>
      <c r="C805" s="74"/>
      <c r="D805" s="66"/>
    </row>
    <row r="806">
      <c r="A806" s="46"/>
      <c r="B806" s="7"/>
      <c r="C806" s="74"/>
      <c r="D806" s="66"/>
    </row>
    <row r="807">
      <c r="A807" s="46"/>
      <c r="B807" s="7"/>
      <c r="C807" s="74"/>
      <c r="D807" s="66"/>
    </row>
    <row r="808">
      <c r="A808" s="46"/>
      <c r="B808" s="7"/>
      <c r="C808" s="74"/>
      <c r="D808" s="66"/>
    </row>
    <row r="809">
      <c r="A809" s="46"/>
      <c r="B809" s="7"/>
      <c r="C809" s="74"/>
      <c r="D809" s="66"/>
    </row>
    <row r="810">
      <c r="A810" s="46"/>
      <c r="B810" s="7"/>
      <c r="C810" s="74"/>
      <c r="D810" s="66"/>
    </row>
    <row r="811">
      <c r="A811" s="46"/>
      <c r="B811" s="7"/>
      <c r="C811" s="74"/>
      <c r="D811" s="66"/>
    </row>
    <row r="812">
      <c r="A812" s="46"/>
      <c r="B812" s="7"/>
      <c r="C812" s="74"/>
      <c r="D812" s="66"/>
    </row>
    <row r="813">
      <c r="A813" s="46"/>
      <c r="B813" s="7"/>
      <c r="C813" s="74"/>
      <c r="D813" s="66"/>
    </row>
    <row r="814">
      <c r="A814" s="46"/>
      <c r="B814" s="7"/>
      <c r="C814" s="74"/>
      <c r="D814" s="66"/>
    </row>
    <row r="815">
      <c r="A815" s="46"/>
      <c r="B815" s="7"/>
      <c r="C815" s="74"/>
      <c r="D815" s="66"/>
    </row>
    <row r="816">
      <c r="A816" s="46"/>
      <c r="B816" s="7"/>
      <c r="C816" s="74"/>
      <c r="D816" s="66"/>
    </row>
    <row r="817">
      <c r="A817" s="46"/>
      <c r="B817" s="7"/>
      <c r="C817" s="74"/>
      <c r="D817" s="66"/>
    </row>
    <row r="818">
      <c r="A818" s="46"/>
      <c r="B818" s="7"/>
      <c r="C818" s="74"/>
      <c r="D818" s="66"/>
    </row>
    <row r="819">
      <c r="A819" s="46"/>
      <c r="B819" s="7"/>
      <c r="C819" s="74"/>
      <c r="D819" s="66"/>
    </row>
    <row r="820">
      <c r="A820" s="46"/>
      <c r="B820" s="7"/>
      <c r="C820" s="74"/>
      <c r="D820" s="66"/>
    </row>
    <row r="821">
      <c r="A821" s="46"/>
      <c r="B821" s="7"/>
      <c r="C821" s="74"/>
      <c r="D821" s="66"/>
    </row>
    <row r="822">
      <c r="A822" s="46"/>
      <c r="B822" s="7"/>
      <c r="C822" s="74"/>
      <c r="D822" s="66"/>
    </row>
    <row r="823">
      <c r="A823" s="46"/>
      <c r="B823" s="7"/>
      <c r="C823" s="74"/>
      <c r="D823" s="66"/>
    </row>
    <row r="824">
      <c r="A824" s="46"/>
      <c r="B824" s="7"/>
      <c r="C824" s="74"/>
      <c r="D824" s="66"/>
    </row>
    <row r="825">
      <c r="A825" s="46"/>
      <c r="B825" s="7"/>
      <c r="C825" s="74"/>
      <c r="D825" s="66"/>
    </row>
    <row r="826">
      <c r="A826" s="46"/>
      <c r="B826" s="7"/>
      <c r="C826" s="74"/>
      <c r="D826" s="66"/>
    </row>
    <row r="827">
      <c r="A827" s="46"/>
      <c r="B827" s="7"/>
      <c r="C827" s="74"/>
      <c r="D827" s="66"/>
    </row>
    <row r="828">
      <c r="A828" s="46"/>
      <c r="B828" s="7"/>
      <c r="C828" s="74"/>
      <c r="D828" s="66"/>
    </row>
    <row r="829">
      <c r="A829" s="46"/>
      <c r="B829" s="7"/>
      <c r="C829" s="74"/>
      <c r="D829" s="66"/>
    </row>
    <row r="830">
      <c r="A830" s="46"/>
      <c r="B830" s="7"/>
      <c r="C830" s="74"/>
      <c r="D830" s="66"/>
    </row>
    <row r="831">
      <c r="A831" s="46"/>
      <c r="B831" s="7"/>
      <c r="C831" s="74"/>
      <c r="D831" s="66"/>
    </row>
    <row r="832">
      <c r="A832" s="46"/>
      <c r="B832" s="7"/>
      <c r="C832" s="74"/>
      <c r="D832" s="66"/>
    </row>
    <row r="833">
      <c r="A833" s="46"/>
      <c r="B833" s="7"/>
      <c r="C833" s="74"/>
      <c r="D833" s="66"/>
    </row>
    <row r="834">
      <c r="A834" s="46"/>
      <c r="B834" s="7"/>
      <c r="C834" s="74"/>
      <c r="D834" s="66"/>
    </row>
    <row r="835">
      <c r="A835" s="46"/>
      <c r="B835" s="7"/>
      <c r="C835" s="74"/>
      <c r="D835" s="66"/>
    </row>
    <row r="836">
      <c r="A836" s="46"/>
      <c r="B836" s="7"/>
      <c r="C836" s="74"/>
      <c r="D836" s="66"/>
    </row>
    <row r="837">
      <c r="A837" s="46"/>
      <c r="B837" s="7"/>
      <c r="C837" s="74"/>
      <c r="D837" s="66"/>
    </row>
    <row r="838">
      <c r="A838" s="46"/>
      <c r="B838" s="7"/>
      <c r="C838" s="74"/>
      <c r="D838" s="66"/>
    </row>
    <row r="839">
      <c r="A839" s="46"/>
      <c r="B839" s="7"/>
      <c r="C839" s="74"/>
      <c r="D839" s="66"/>
    </row>
    <row r="840">
      <c r="A840" s="46"/>
      <c r="B840" s="7"/>
      <c r="C840" s="74"/>
      <c r="D840" s="66"/>
    </row>
    <row r="841">
      <c r="A841" s="46"/>
      <c r="B841" s="7"/>
      <c r="C841" s="74"/>
      <c r="D841" s="66"/>
    </row>
    <row r="842">
      <c r="A842" s="46"/>
      <c r="B842" s="7"/>
      <c r="C842" s="74"/>
      <c r="D842" s="66"/>
    </row>
    <row r="843">
      <c r="A843" s="46"/>
      <c r="B843" s="7"/>
      <c r="C843" s="74"/>
      <c r="D843" s="66"/>
    </row>
    <row r="844">
      <c r="A844" s="46"/>
      <c r="B844" s="7"/>
      <c r="C844" s="74"/>
      <c r="D844" s="66"/>
    </row>
    <row r="845">
      <c r="A845" s="46"/>
      <c r="B845" s="7"/>
      <c r="C845" s="74"/>
      <c r="D845" s="66"/>
    </row>
    <row r="846">
      <c r="A846" s="46"/>
      <c r="B846" s="7"/>
      <c r="C846" s="74"/>
      <c r="D846" s="66"/>
    </row>
    <row r="847">
      <c r="A847" s="46"/>
      <c r="B847" s="7"/>
      <c r="C847" s="74"/>
      <c r="D847" s="66"/>
    </row>
    <row r="848">
      <c r="A848" s="46"/>
      <c r="B848" s="7"/>
      <c r="C848" s="74"/>
      <c r="D848" s="66"/>
    </row>
    <row r="849">
      <c r="A849" s="46"/>
      <c r="B849" s="7"/>
      <c r="C849" s="74"/>
      <c r="D849" s="66"/>
    </row>
    <row r="850">
      <c r="A850" s="46"/>
      <c r="B850" s="7"/>
      <c r="C850" s="74"/>
      <c r="D850" s="66"/>
    </row>
    <row r="851">
      <c r="A851" s="46"/>
      <c r="B851" s="7"/>
      <c r="C851" s="74"/>
      <c r="D851" s="66"/>
    </row>
    <row r="852">
      <c r="A852" s="46"/>
      <c r="B852" s="7"/>
      <c r="C852" s="74"/>
      <c r="D852" s="66"/>
    </row>
    <row r="853">
      <c r="A853" s="46"/>
      <c r="B853" s="7"/>
      <c r="C853" s="74"/>
      <c r="D853" s="66"/>
    </row>
    <row r="854">
      <c r="A854" s="46"/>
      <c r="B854" s="7"/>
      <c r="C854" s="74"/>
      <c r="D854" s="66"/>
    </row>
    <row r="855">
      <c r="A855" s="46"/>
      <c r="B855" s="7"/>
      <c r="C855" s="74"/>
      <c r="D855" s="66"/>
    </row>
    <row r="856">
      <c r="A856" s="46"/>
      <c r="B856" s="7"/>
      <c r="C856" s="74"/>
      <c r="D856" s="66"/>
    </row>
    <row r="857">
      <c r="A857" s="46"/>
      <c r="B857" s="7"/>
      <c r="C857" s="74"/>
      <c r="D857" s="66"/>
    </row>
    <row r="858">
      <c r="A858" s="46"/>
      <c r="B858" s="7"/>
      <c r="C858" s="74"/>
      <c r="D858" s="66"/>
    </row>
    <row r="859">
      <c r="A859" s="46"/>
      <c r="B859" s="7"/>
      <c r="C859" s="74"/>
      <c r="D859" s="66"/>
    </row>
    <row r="860">
      <c r="A860" s="46"/>
      <c r="B860" s="7"/>
      <c r="C860" s="74"/>
      <c r="D860" s="66"/>
    </row>
    <row r="861">
      <c r="A861" s="46"/>
      <c r="B861" s="7"/>
      <c r="C861" s="74"/>
      <c r="D861" s="66"/>
    </row>
    <row r="862">
      <c r="A862" s="46"/>
      <c r="B862" s="7"/>
      <c r="C862" s="74"/>
      <c r="D862" s="66"/>
    </row>
    <row r="863">
      <c r="A863" s="46"/>
      <c r="B863" s="7"/>
      <c r="C863" s="74"/>
      <c r="D863" s="66"/>
    </row>
    <row r="864">
      <c r="A864" s="46"/>
      <c r="B864" s="7"/>
      <c r="C864" s="74"/>
      <c r="D864" s="66"/>
    </row>
    <row r="865">
      <c r="A865" s="46"/>
      <c r="B865" s="7"/>
      <c r="C865" s="74"/>
      <c r="D865" s="66"/>
    </row>
    <row r="866">
      <c r="A866" s="46"/>
      <c r="B866" s="7"/>
      <c r="C866" s="74"/>
      <c r="D866" s="66"/>
    </row>
    <row r="867">
      <c r="A867" s="46"/>
      <c r="B867" s="7"/>
      <c r="C867" s="74"/>
      <c r="D867" s="66"/>
    </row>
    <row r="868">
      <c r="A868" s="46"/>
      <c r="B868" s="7"/>
      <c r="C868" s="74"/>
      <c r="D868" s="66"/>
    </row>
    <row r="869">
      <c r="A869" s="46"/>
      <c r="B869" s="7"/>
      <c r="C869" s="74"/>
      <c r="D869" s="66"/>
    </row>
    <row r="870">
      <c r="A870" s="46"/>
      <c r="B870" s="7"/>
      <c r="C870" s="74"/>
      <c r="D870" s="66"/>
    </row>
    <row r="871">
      <c r="A871" s="46"/>
      <c r="B871" s="7"/>
      <c r="C871" s="74"/>
      <c r="D871" s="66"/>
    </row>
    <row r="872">
      <c r="A872" s="46"/>
      <c r="B872" s="7"/>
      <c r="C872" s="74"/>
      <c r="D872" s="66"/>
    </row>
    <row r="873">
      <c r="A873" s="46"/>
      <c r="B873" s="7"/>
      <c r="C873" s="74"/>
      <c r="D873" s="66"/>
    </row>
    <row r="874">
      <c r="A874" s="46"/>
      <c r="B874" s="7"/>
      <c r="C874" s="74"/>
      <c r="D874" s="66"/>
    </row>
    <row r="875">
      <c r="A875" s="46"/>
      <c r="B875" s="7"/>
      <c r="C875" s="74"/>
      <c r="D875" s="66"/>
    </row>
    <row r="876">
      <c r="A876" s="46"/>
      <c r="B876" s="7"/>
      <c r="C876" s="74"/>
      <c r="D876" s="66"/>
    </row>
    <row r="877">
      <c r="A877" s="46"/>
      <c r="B877" s="7"/>
      <c r="C877" s="74"/>
      <c r="D877" s="66"/>
    </row>
    <row r="878">
      <c r="A878" s="46"/>
      <c r="B878" s="7"/>
      <c r="C878" s="74"/>
      <c r="D878" s="66"/>
    </row>
    <row r="879">
      <c r="A879" s="46"/>
      <c r="B879" s="7"/>
      <c r="C879" s="74"/>
      <c r="D879" s="66"/>
    </row>
    <row r="880">
      <c r="A880" s="46"/>
      <c r="B880" s="7"/>
      <c r="C880" s="74"/>
      <c r="D880" s="66"/>
    </row>
    <row r="881">
      <c r="A881" s="46"/>
      <c r="B881" s="7"/>
      <c r="C881" s="74"/>
      <c r="D881" s="66"/>
    </row>
    <row r="882">
      <c r="A882" s="46"/>
      <c r="B882" s="7"/>
      <c r="C882" s="74"/>
      <c r="D882" s="66"/>
    </row>
    <row r="883">
      <c r="A883" s="46"/>
      <c r="B883" s="7"/>
      <c r="C883" s="74"/>
      <c r="D883" s="66"/>
    </row>
    <row r="884">
      <c r="A884" s="46"/>
      <c r="B884" s="7"/>
      <c r="C884" s="74"/>
      <c r="D884" s="66"/>
    </row>
    <row r="885">
      <c r="A885" s="46"/>
      <c r="B885" s="7"/>
      <c r="C885" s="74"/>
      <c r="D885" s="66"/>
    </row>
    <row r="886">
      <c r="A886" s="46"/>
      <c r="B886" s="7"/>
      <c r="C886" s="74"/>
      <c r="D886" s="66"/>
    </row>
    <row r="887">
      <c r="A887" s="46"/>
      <c r="B887" s="7"/>
      <c r="C887" s="74"/>
      <c r="D887" s="66"/>
    </row>
    <row r="888">
      <c r="A888" s="46"/>
      <c r="B888" s="7"/>
      <c r="C888" s="74"/>
      <c r="D888" s="66"/>
    </row>
    <row r="889">
      <c r="A889" s="46"/>
      <c r="B889" s="7"/>
      <c r="C889" s="74"/>
      <c r="D889" s="66"/>
    </row>
    <row r="890">
      <c r="A890" s="46"/>
      <c r="B890" s="7"/>
      <c r="C890" s="74"/>
      <c r="D890" s="66"/>
    </row>
    <row r="891">
      <c r="A891" s="46"/>
      <c r="B891" s="7"/>
      <c r="C891" s="74"/>
      <c r="D891" s="66"/>
    </row>
    <row r="892">
      <c r="A892" s="46"/>
      <c r="B892" s="7"/>
      <c r="C892" s="74"/>
      <c r="D892" s="66"/>
    </row>
    <row r="893">
      <c r="A893" s="46"/>
      <c r="B893" s="7"/>
      <c r="C893" s="74"/>
      <c r="D893" s="66"/>
    </row>
    <row r="894">
      <c r="A894" s="46"/>
      <c r="B894" s="7"/>
      <c r="C894" s="74"/>
      <c r="D894" s="66"/>
    </row>
    <row r="895">
      <c r="A895" s="46"/>
      <c r="B895" s="7"/>
      <c r="C895" s="74"/>
      <c r="D895" s="66"/>
    </row>
    <row r="896">
      <c r="A896" s="46"/>
      <c r="B896" s="7"/>
      <c r="C896" s="74"/>
      <c r="D896" s="66"/>
    </row>
    <row r="897">
      <c r="A897" s="46"/>
      <c r="B897" s="7"/>
      <c r="C897" s="74"/>
      <c r="D897" s="66"/>
    </row>
    <row r="898">
      <c r="A898" s="46"/>
      <c r="B898" s="7"/>
      <c r="C898" s="74"/>
      <c r="D898" s="66"/>
    </row>
    <row r="899">
      <c r="A899" s="46"/>
      <c r="B899" s="7"/>
      <c r="C899" s="74"/>
      <c r="D899" s="66"/>
    </row>
    <row r="900">
      <c r="A900" s="46"/>
      <c r="B900" s="7"/>
      <c r="C900" s="74"/>
      <c r="D900" s="66"/>
    </row>
    <row r="901">
      <c r="A901" s="46"/>
      <c r="B901" s="7"/>
      <c r="C901" s="74"/>
      <c r="D901" s="66"/>
    </row>
    <row r="902">
      <c r="A902" s="46"/>
      <c r="B902" s="7"/>
      <c r="C902" s="74"/>
      <c r="D902" s="66"/>
    </row>
    <row r="903">
      <c r="A903" s="46"/>
      <c r="B903" s="7"/>
      <c r="C903" s="74"/>
      <c r="D903" s="66"/>
    </row>
    <row r="904">
      <c r="A904" s="46"/>
      <c r="B904" s="7"/>
      <c r="C904" s="74"/>
      <c r="D904" s="66"/>
    </row>
    <row r="905">
      <c r="A905" s="46"/>
      <c r="B905" s="7"/>
      <c r="C905" s="74"/>
      <c r="D905" s="66"/>
    </row>
    <row r="906">
      <c r="A906" s="46"/>
      <c r="B906" s="7"/>
      <c r="C906" s="74"/>
      <c r="D906" s="66"/>
    </row>
    <row r="907">
      <c r="A907" s="46"/>
      <c r="B907" s="7"/>
      <c r="C907" s="74"/>
      <c r="D907" s="66"/>
    </row>
    <row r="908">
      <c r="A908" s="46"/>
      <c r="B908" s="7"/>
      <c r="C908" s="74"/>
      <c r="D908" s="66"/>
    </row>
    <row r="909">
      <c r="A909" s="46"/>
      <c r="B909" s="7"/>
      <c r="C909" s="74"/>
      <c r="D909" s="66"/>
    </row>
    <row r="910">
      <c r="A910" s="46"/>
      <c r="B910" s="7"/>
      <c r="C910" s="74"/>
      <c r="D910" s="66"/>
    </row>
    <row r="911">
      <c r="A911" s="46"/>
      <c r="B911" s="7"/>
      <c r="C911" s="74"/>
      <c r="D911" s="66"/>
    </row>
    <row r="912">
      <c r="A912" s="46"/>
      <c r="B912" s="7"/>
      <c r="C912" s="74"/>
      <c r="D912" s="66"/>
    </row>
    <row r="913">
      <c r="A913" s="46"/>
      <c r="B913" s="7"/>
      <c r="C913" s="74"/>
      <c r="D913" s="66"/>
    </row>
    <row r="914">
      <c r="A914" s="46"/>
      <c r="B914" s="7"/>
      <c r="C914" s="74"/>
      <c r="D914" s="66"/>
    </row>
    <row r="915">
      <c r="A915" s="46"/>
      <c r="B915" s="7"/>
      <c r="C915" s="74"/>
      <c r="D915" s="66"/>
    </row>
    <row r="916">
      <c r="A916" s="46"/>
      <c r="B916" s="7"/>
      <c r="C916" s="74"/>
      <c r="D916" s="66"/>
    </row>
    <row r="917">
      <c r="A917" s="46"/>
      <c r="B917" s="7"/>
      <c r="C917" s="74"/>
      <c r="D917" s="66"/>
    </row>
    <row r="918">
      <c r="A918" s="46"/>
      <c r="B918" s="7"/>
      <c r="C918" s="74"/>
      <c r="D918" s="66"/>
    </row>
    <row r="919">
      <c r="A919" s="46"/>
      <c r="B919" s="7"/>
      <c r="C919" s="74"/>
      <c r="D919" s="66"/>
    </row>
    <row r="920">
      <c r="A920" s="46"/>
      <c r="B920" s="7"/>
      <c r="C920" s="74"/>
      <c r="D920" s="66"/>
    </row>
    <row r="921">
      <c r="A921" s="46"/>
      <c r="B921" s="7"/>
      <c r="C921" s="74"/>
      <c r="D921" s="66"/>
    </row>
    <row r="922">
      <c r="A922" s="46"/>
      <c r="B922" s="7"/>
      <c r="C922" s="74"/>
      <c r="D922" s="66"/>
    </row>
    <row r="923">
      <c r="A923" s="46"/>
      <c r="B923" s="7"/>
      <c r="C923" s="74"/>
      <c r="D923" s="66"/>
    </row>
    <row r="924">
      <c r="A924" s="46"/>
      <c r="B924" s="7"/>
      <c r="C924" s="74"/>
      <c r="D924" s="66"/>
    </row>
    <row r="925">
      <c r="A925" s="46"/>
      <c r="B925" s="7"/>
      <c r="C925" s="74"/>
      <c r="D925" s="66"/>
    </row>
    <row r="926">
      <c r="A926" s="46"/>
      <c r="B926" s="7"/>
      <c r="C926" s="74"/>
      <c r="D926" s="66"/>
    </row>
    <row r="927">
      <c r="A927" s="46"/>
      <c r="B927" s="7"/>
      <c r="C927" s="74"/>
      <c r="D927" s="66"/>
    </row>
    <row r="928">
      <c r="A928" s="46"/>
      <c r="B928" s="7"/>
      <c r="C928" s="74"/>
      <c r="D928" s="66"/>
    </row>
    <row r="929">
      <c r="A929" s="46"/>
      <c r="B929" s="7"/>
      <c r="C929" s="74"/>
      <c r="D929" s="66"/>
    </row>
    <row r="930">
      <c r="A930" s="46"/>
      <c r="B930" s="7"/>
      <c r="C930" s="74"/>
      <c r="D930" s="66"/>
    </row>
    <row r="931">
      <c r="A931" s="46"/>
      <c r="B931" s="7"/>
      <c r="C931" s="74"/>
      <c r="D931" s="66"/>
    </row>
    <row r="932">
      <c r="A932" s="46"/>
      <c r="B932" s="7"/>
      <c r="C932" s="74"/>
      <c r="D932" s="66"/>
    </row>
    <row r="933">
      <c r="A933" s="46"/>
      <c r="B933" s="7"/>
      <c r="C933" s="74"/>
      <c r="D933" s="66"/>
    </row>
    <row r="934">
      <c r="A934" s="46"/>
      <c r="B934" s="7"/>
      <c r="C934" s="74"/>
      <c r="D934" s="66"/>
    </row>
    <row r="935">
      <c r="A935" s="46"/>
      <c r="B935" s="7"/>
      <c r="C935" s="74"/>
      <c r="D935" s="66"/>
    </row>
    <row r="936">
      <c r="A936" s="46"/>
      <c r="B936" s="7"/>
      <c r="C936" s="74"/>
      <c r="D936" s="66"/>
    </row>
    <row r="937">
      <c r="A937" s="46"/>
      <c r="B937" s="7"/>
      <c r="C937" s="74"/>
      <c r="D937" s="66"/>
    </row>
    <row r="938">
      <c r="A938" s="46"/>
      <c r="B938" s="7"/>
      <c r="C938" s="74"/>
      <c r="D938" s="66"/>
    </row>
    <row r="939">
      <c r="A939" s="46"/>
      <c r="B939" s="7"/>
      <c r="C939" s="74"/>
      <c r="D939" s="66"/>
    </row>
    <row r="940">
      <c r="A940" s="46"/>
      <c r="B940" s="7"/>
      <c r="C940" s="74"/>
      <c r="D940" s="66"/>
    </row>
    <row r="941">
      <c r="A941" s="46"/>
      <c r="B941" s="7"/>
      <c r="C941" s="74"/>
      <c r="D941" s="66"/>
    </row>
    <row r="942">
      <c r="A942" s="46"/>
      <c r="B942" s="7"/>
      <c r="C942" s="74"/>
      <c r="D942" s="66"/>
    </row>
    <row r="943">
      <c r="A943" s="46"/>
      <c r="B943" s="7"/>
      <c r="C943" s="74"/>
      <c r="D943" s="66"/>
    </row>
    <row r="944">
      <c r="A944" s="46"/>
      <c r="B944" s="7"/>
      <c r="C944" s="74"/>
      <c r="D944" s="66"/>
    </row>
    <row r="945">
      <c r="A945" s="46"/>
      <c r="B945" s="7"/>
      <c r="C945" s="74"/>
      <c r="D945" s="66"/>
    </row>
    <row r="946">
      <c r="A946" s="46"/>
      <c r="B946" s="7"/>
      <c r="C946" s="74"/>
      <c r="D946" s="66"/>
    </row>
    <row r="947">
      <c r="A947" s="46"/>
      <c r="B947" s="7"/>
      <c r="C947" s="74"/>
      <c r="D947" s="66"/>
    </row>
    <row r="948">
      <c r="A948" s="46"/>
      <c r="B948" s="7"/>
      <c r="C948" s="74"/>
      <c r="D948" s="66"/>
    </row>
    <row r="949">
      <c r="A949" s="46"/>
      <c r="B949" s="7"/>
      <c r="C949" s="74"/>
      <c r="D949" s="66"/>
    </row>
    <row r="950">
      <c r="A950" s="46"/>
      <c r="B950" s="7"/>
      <c r="C950" s="74"/>
      <c r="D950" s="66"/>
    </row>
    <row r="951">
      <c r="A951" s="46"/>
      <c r="B951" s="7"/>
      <c r="C951" s="74"/>
      <c r="D951" s="66"/>
    </row>
    <row r="952">
      <c r="A952" s="46"/>
      <c r="B952" s="7"/>
      <c r="C952" s="74"/>
      <c r="D952" s="66"/>
    </row>
    <row r="953">
      <c r="A953" s="46"/>
      <c r="B953" s="7"/>
      <c r="C953" s="74"/>
      <c r="D953" s="66"/>
    </row>
    <row r="954">
      <c r="A954" s="46"/>
      <c r="B954" s="7"/>
      <c r="C954" s="74"/>
      <c r="D954" s="66"/>
    </row>
    <row r="955">
      <c r="A955" s="46"/>
      <c r="B955" s="7"/>
      <c r="C955" s="74"/>
      <c r="D955" s="66"/>
    </row>
    <row r="956">
      <c r="A956" s="46"/>
      <c r="B956" s="7"/>
      <c r="C956" s="74"/>
      <c r="D956" s="66"/>
    </row>
    <row r="957">
      <c r="A957" s="46"/>
      <c r="B957" s="7"/>
      <c r="C957" s="74"/>
      <c r="D957" s="66"/>
    </row>
    <row r="958">
      <c r="A958" s="46"/>
      <c r="B958" s="7"/>
      <c r="C958" s="74"/>
      <c r="D958" s="66"/>
    </row>
    <row r="959">
      <c r="A959" s="46"/>
      <c r="B959" s="7"/>
      <c r="C959" s="74"/>
      <c r="D959" s="66"/>
    </row>
    <row r="960">
      <c r="A960" s="46"/>
      <c r="B960" s="7"/>
      <c r="C960" s="74"/>
      <c r="D960" s="66"/>
    </row>
    <row r="961">
      <c r="A961" s="46"/>
      <c r="B961" s="7"/>
      <c r="C961" s="74"/>
      <c r="D961" s="66"/>
    </row>
    <row r="962">
      <c r="A962" s="46"/>
      <c r="B962" s="7"/>
      <c r="C962" s="74"/>
      <c r="D962" s="66"/>
    </row>
    <row r="963">
      <c r="A963" s="46"/>
      <c r="B963" s="7"/>
      <c r="C963" s="74"/>
      <c r="D963" s="66"/>
    </row>
    <row r="964">
      <c r="A964" s="46"/>
      <c r="B964" s="7"/>
      <c r="C964" s="74"/>
      <c r="D964" s="66"/>
    </row>
    <row r="965">
      <c r="A965" s="46"/>
      <c r="B965" s="7"/>
      <c r="C965" s="74"/>
      <c r="D965" s="66"/>
    </row>
    <row r="966">
      <c r="A966" s="46"/>
      <c r="B966" s="7"/>
      <c r="C966" s="74"/>
      <c r="D966" s="66"/>
    </row>
    <row r="967">
      <c r="A967" s="46"/>
      <c r="B967" s="7"/>
      <c r="C967" s="74"/>
      <c r="D967" s="66"/>
    </row>
    <row r="968">
      <c r="A968" s="46"/>
      <c r="B968" s="7"/>
      <c r="C968" s="74"/>
      <c r="D968" s="66"/>
    </row>
    <row r="969">
      <c r="A969" s="46"/>
      <c r="B969" s="7"/>
      <c r="C969" s="74"/>
      <c r="D969" s="66"/>
    </row>
    <row r="970">
      <c r="A970" s="46"/>
      <c r="B970" s="7"/>
      <c r="C970" s="74"/>
      <c r="D970" s="66"/>
    </row>
    <row r="971">
      <c r="A971" s="46"/>
      <c r="B971" s="7"/>
      <c r="C971" s="74"/>
      <c r="D971" s="66"/>
    </row>
    <row r="972">
      <c r="A972" s="46"/>
      <c r="B972" s="7"/>
      <c r="C972" s="74"/>
      <c r="D972" s="66"/>
    </row>
    <row r="973">
      <c r="A973" s="46"/>
      <c r="B973" s="7"/>
      <c r="C973" s="74"/>
      <c r="D973" s="66"/>
    </row>
    <row r="974">
      <c r="A974" s="46"/>
      <c r="B974" s="7"/>
      <c r="C974" s="74"/>
      <c r="D974" s="66"/>
    </row>
    <row r="975">
      <c r="A975" s="46"/>
      <c r="B975" s="7"/>
      <c r="C975" s="74"/>
      <c r="D975" s="66"/>
    </row>
    <row r="976">
      <c r="A976" s="46"/>
      <c r="B976" s="7"/>
      <c r="C976" s="74"/>
      <c r="D976" s="66"/>
    </row>
    <row r="977">
      <c r="A977" s="46"/>
      <c r="B977" s="7"/>
      <c r="C977" s="74"/>
      <c r="D977" s="66"/>
    </row>
    <row r="978">
      <c r="A978" s="46"/>
      <c r="B978" s="7"/>
      <c r="C978" s="74"/>
      <c r="D978" s="66"/>
    </row>
    <row r="979">
      <c r="A979" s="46"/>
      <c r="B979" s="7"/>
      <c r="C979" s="74"/>
      <c r="D979" s="66"/>
    </row>
    <row r="980">
      <c r="A980" s="46"/>
      <c r="B980" s="7"/>
      <c r="C980" s="74"/>
      <c r="D980" s="66"/>
    </row>
    <row r="981">
      <c r="A981" s="46"/>
      <c r="B981" s="7"/>
      <c r="C981" s="74"/>
      <c r="D981" s="66"/>
    </row>
    <row r="982">
      <c r="A982" s="46"/>
      <c r="B982" s="7"/>
      <c r="C982" s="74"/>
      <c r="D982" s="66"/>
    </row>
    <row r="983">
      <c r="A983" s="46"/>
      <c r="B983" s="7"/>
      <c r="C983" s="74"/>
      <c r="D983" s="66"/>
    </row>
    <row r="984">
      <c r="A984" s="46"/>
      <c r="B984" s="7"/>
      <c r="C984" s="74"/>
      <c r="D984" s="66"/>
    </row>
    <row r="985">
      <c r="A985" s="46"/>
      <c r="B985" s="7"/>
      <c r="C985" s="74"/>
      <c r="D985" s="66"/>
    </row>
    <row r="986">
      <c r="A986" s="46"/>
      <c r="B986" s="7"/>
      <c r="C986" s="74"/>
      <c r="D986" s="66"/>
    </row>
    <row r="987">
      <c r="A987" s="46"/>
      <c r="B987" s="7"/>
      <c r="C987" s="74"/>
      <c r="D987" s="66"/>
    </row>
    <row r="988">
      <c r="A988" s="46"/>
      <c r="B988" s="7"/>
      <c r="C988" s="74"/>
      <c r="D988" s="66"/>
    </row>
    <row r="989">
      <c r="A989" s="46"/>
      <c r="B989" s="7"/>
      <c r="C989" s="74"/>
      <c r="D989" s="66"/>
    </row>
    <row r="990">
      <c r="A990" s="46"/>
      <c r="B990" s="7"/>
      <c r="C990" s="74"/>
      <c r="D990" s="66"/>
    </row>
    <row r="991">
      <c r="A991" s="46"/>
      <c r="B991" s="7"/>
      <c r="C991" s="74"/>
      <c r="D991" s="66"/>
    </row>
    <row r="992">
      <c r="A992" s="46"/>
      <c r="B992" s="7"/>
      <c r="C992" s="74"/>
      <c r="D992" s="66"/>
    </row>
    <row r="993">
      <c r="A993" s="46"/>
      <c r="B993" s="7"/>
      <c r="C993" s="74"/>
      <c r="D993" s="66"/>
    </row>
    <row r="994">
      <c r="A994" s="46"/>
      <c r="B994" s="7"/>
      <c r="C994" s="74"/>
      <c r="D994" s="66"/>
    </row>
    <row r="995">
      <c r="A995" s="46"/>
      <c r="B995" s="7"/>
      <c r="C995" s="74"/>
      <c r="D995" s="66"/>
    </row>
    <row r="996">
      <c r="A996" s="46"/>
      <c r="B996" s="7"/>
      <c r="C996" s="74"/>
      <c r="D996" s="66"/>
    </row>
    <row r="997">
      <c r="A997" s="46"/>
      <c r="B997" s="7"/>
      <c r="C997" s="74"/>
      <c r="D997" s="66"/>
    </row>
    <row r="998">
      <c r="A998" s="46"/>
      <c r="B998" s="7"/>
      <c r="C998" s="74"/>
      <c r="D998" s="66"/>
    </row>
    <row r="999">
      <c r="A999" s="46"/>
      <c r="B999" s="7"/>
      <c r="C999" s="74"/>
      <c r="D999" s="66"/>
    </row>
    <row r="1000">
      <c r="A1000" s="46"/>
      <c r="B1000" s="7"/>
      <c r="C1000" s="74"/>
      <c r="D1000" s="66"/>
    </row>
    <row r="1001">
      <c r="A1001" s="46"/>
      <c r="B1001" s="7"/>
      <c r="C1001" s="74"/>
      <c r="D1001" s="66"/>
    </row>
    <row r="1002">
      <c r="A1002" s="46"/>
      <c r="B1002" s="7"/>
      <c r="C1002" s="74"/>
      <c r="D1002" s="66"/>
    </row>
    <row r="1003">
      <c r="A1003" s="46"/>
      <c r="B1003" s="7"/>
      <c r="C1003" s="74"/>
      <c r="D1003" s="66"/>
    </row>
    <row r="1004">
      <c r="A1004" s="46"/>
      <c r="B1004" s="7"/>
      <c r="C1004" s="74"/>
      <c r="D1004" s="66"/>
    </row>
    <row r="1005">
      <c r="A1005" s="46"/>
      <c r="B1005" s="7"/>
      <c r="C1005" s="74"/>
      <c r="D1005" s="66"/>
    </row>
    <row r="1006">
      <c r="A1006" s="46"/>
      <c r="B1006" s="7"/>
      <c r="C1006" s="74"/>
      <c r="D1006" s="66"/>
    </row>
    <row r="1007">
      <c r="A1007" s="46"/>
      <c r="B1007" s="7"/>
      <c r="C1007" s="74"/>
      <c r="D1007" s="66"/>
    </row>
    <row r="1008">
      <c r="A1008" s="46"/>
      <c r="B1008" s="7"/>
      <c r="C1008" s="74"/>
      <c r="D1008" s="66"/>
    </row>
    <row r="1009">
      <c r="A1009" s="46"/>
      <c r="B1009" s="7"/>
      <c r="C1009" s="74"/>
      <c r="D1009" s="66"/>
    </row>
    <row r="1010">
      <c r="A1010" s="46"/>
      <c r="B1010" s="7"/>
      <c r="C1010" s="74"/>
      <c r="D1010" s="66"/>
    </row>
    <row r="1011">
      <c r="A1011" s="46"/>
      <c r="B1011" s="7"/>
      <c r="C1011" s="74"/>
      <c r="D1011" s="66"/>
    </row>
    <row r="1012">
      <c r="A1012" s="46"/>
      <c r="B1012" s="7"/>
      <c r="C1012" s="74"/>
      <c r="D1012" s="66"/>
    </row>
    <row r="1013">
      <c r="A1013" s="46"/>
      <c r="B1013" s="7"/>
      <c r="C1013" s="74"/>
      <c r="D1013" s="66"/>
    </row>
    <row r="1014">
      <c r="A1014" s="46"/>
      <c r="B1014" s="7"/>
      <c r="C1014" s="74"/>
      <c r="D1014" s="66"/>
    </row>
    <row r="1015">
      <c r="A1015" s="46"/>
      <c r="B1015" s="7"/>
      <c r="C1015" s="74"/>
      <c r="D1015" s="66"/>
    </row>
    <row r="1016">
      <c r="A1016" s="46"/>
      <c r="B1016" s="7"/>
      <c r="C1016" s="74"/>
      <c r="D1016" s="66"/>
    </row>
    <row r="1017">
      <c r="A1017" s="46"/>
      <c r="B1017" s="7"/>
      <c r="C1017" s="74"/>
      <c r="D1017" s="66"/>
    </row>
    <row r="1018">
      <c r="A1018" s="46"/>
      <c r="B1018" s="7"/>
      <c r="C1018" s="74"/>
      <c r="D1018" s="66"/>
    </row>
    <row r="1019">
      <c r="A1019" s="46"/>
      <c r="B1019" s="7"/>
      <c r="C1019" s="74"/>
      <c r="D1019" s="66"/>
    </row>
    <row r="1020">
      <c r="A1020" s="46"/>
      <c r="B1020" s="7"/>
      <c r="C1020" s="74"/>
      <c r="D1020" s="66"/>
    </row>
    <row r="1021">
      <c r="A1021" s="46"/>
      <c r="B1021" s="7"/>
      <c r="C1021" s="74"/>
      <c r="D1021" s="66"/>
    </row>
    <row r="1022">
      <c r="A1022" s="46"/>
      <c r="B1022" s="7"/>
      <c r="C1022" s="74"/>
      <c r="D1022" s="66"/>
    </row>
    <row r="1023">
      <c r="A1023" s="46"/>
      <c r="B1023" s="7"/>
      <c r="C1023" s="74"/>
      <c r="D1023" s="66"/>
    </row>
    <row r="1024">
      <c r="A1024" s="46"/>
      <c r="B1024" s="7"/>
      <c r="C1024" s="74"/>
      <c r="D1024" s="66"/>
    </row>
    <row r="1025">
      <c r="A1025" s="46"/>
      <c r="B1025" s="7"/>
      <c r="C1025" s="74"/>
      <c r="D1025" s="66"/>
    </row>
    <row r="1026">
      <c r="A1026" s="46"/>
      <c r="B1026" s="7"/>
      <c r="C1026" s="74"/>
      <c r="D1026" s="66"/>
    </row>
    <row r="1027">
      <c r="A1027" s="46"/>
      <c r="B1027" s="7"/>
      <c r="C1027" s="74"/>
      <c r="D1027" s="66"/>
    </row>
    <row r="1028">
      <c r="A1028" s="46"/>
      <c r="B1028" s="7"/>
      <c r="C1028" s="74"/>
      <c r="D1028" s="66"/>
    </row>
    <row r="1029">
      <c r="A1029" s="46"/>
      <c r="B1029" s="7"/>
      <c r="C1029" s="74"/>
      <c r="D1029" s="66"/>
    </row>
    <row r="1030">
      <c r="A1030" s="46"/>
      <c r="B1030" s="7"/>
      <c r="C1030" s="74"/>
      <c r="D1030" s="66"/>
    </row>
    <row r="1031">
      <c r="A1031" s="46"/>
      <c r="B1031" s="7"/>
      <c r="C1031" s="74"/>
      <c r="D1031" s="66"/>
    </row>
    <row r="1032">
      <c r="A1032" s="46"/>
      <c r="B1032" s="7"/>
      <c r="C1032" s="74"/>
      <c r="D1032" s="66"/>
    </row>
    <row r="1033">
      <c r="A1033" s="46"/>
      <c r="B1033" s="7"/>
      <c r="C1033" s="74"/>
      <c r="D1033" s="66"/>
    </row>
    <row r="1034">
      <c r="A1034" s="46"/>
      <c r="B1034" s="7"/>
      <c r="C1034" s="74"/>
      <c r="D1034" s="66"/>
    </row>
    <row r="1035">
      <c r="A1035" s="46"/>
      <c r="B1035" s="7"/>
      <c r="C1035" s="74"/>
      <c r="D1035" s="66"/>
    </row>
    <row r="1036">
      <c r="A1036" s="46"/>
      <c r="B1036" s="7"/>
      <c r="C1036" s="74"/>
      <c r="D1036" s="66"/>
    </row>
    <row r="1037">
      <c r="A1037" s="46"/>
      <c r="B1037" s="7"/>
      <c r="C1037" s="74"/>
      <c r="D1037" s="66"/>
    </row>
    <row r="1038">
      <c r="A1038" s="46"/>
      <c r="B1038" s="7"/>
      <c r="C1038" s="74"/>
      <c r="D1038" s="66"/>
    </row>
    <row r="1039">
      <c r="A1039" s="46"/>
      <c r="B1039" s="7"/>
      <c r="C1039" s="74"/>
      <c r="D1039" s="66"/>
    </row>
    <row r="1040">
      <c r="A1040" s="46"/>
      <c r="B1040" s="7"/>
      <c r="C1040" s="74"/>
      <c r="D1040" s="66"/>
    </row>
    <row r="1041">
      <c r="A1041" s="46"/>
      <c r="B1041" s="7"/>
      <c r="C1041" s="74"/>
      <c r="D1041" s="66"/>
    </row>
    <row r="1042">
      <c r="A1042" s="46"/>
      <c r="B1042" s="7"/>
      <c r="C1042" s="74"/>
      <c r="D1042" s="66"/>
    </row>
    <row r="1043">
      <c r="A1043" s="46"/>
      <c r="B1043" s="7"/>
      <c r="C1043" s="74"/>
      <c r="D1043" s="66"/>
    </row>
    <row r="1044">
      <c r="A1044" s="46"/>
      <c r="B1044" s="7"/>
      <c r="C1044" s="74"/>
      <c r="D1044" s="66"/>
    </row>
    <row r="1045">
      <c r="A1045" s="46"/>
      <c r="B1045" s="7"/>
      <c r="C1045" s="74"/>
      <c r="D1045" s="66"/>
    </row>
    <row r="1046">
      <c r="A1046" s="46"/>
      <c r="B1046" s="7"/>
      <c r="C1046" s="74"/>
      <c r="D1046" s="66"/>
    </row>
    <row r="1047">
      <c r="A1047" s="46"/>
      <c r="B1047" s="7"/>
      <c r="C1047" s="74"/>
      <c r="D1047" s="66"/>
    </row>
    <row r="1048">
      <c r="A1048" s="46"/>
      <c r="B1048" s="7"/>
      <c r="C1048" s="74"/>
      <c r="D1048" s="66"/>
    </row>
    <row r="1049">
      <c r="A1049" s="46"/>
      <c r="B1049" s="7"/>
      <c r="C1049" s="74"/>
      <c r="D1049" s="66"/>
    </row>
    <row r="1050">
      <c r="A1050" s="46"/>
      <c r="B1050" s="7"/>
      <c r="C1050" s="74"/>
      <c r="D1050" s="66"/>
    </row>
    <row r="1051">
      <c r="A1051" s="46"/>
      <c r="B1051" s="7"/>
      <c r="C1051" s="74"/>
      <c r="D1051" s="66"/>
    </row>
    <row r="1052">
      <c r="A1052" s="46"/>
      <c r="B1052" s="7"/>
      <c r="C1052" s="74"/>
      <c r="D1052" s="66"/>
    </row>
    <row r="1053">
      <c r="A1053" s="46"/>
      <c r="B1053" s="7"/>
      <c r="C1053" s="74"/>
      <c r="D1053" s="66"/>
    </row>
    <row r="1054">
      <c r="A1054" s="46"/>
      <c r="B1054" s="7"/>
      <c r="C1054" s="74"/>
      <c r="D1054" s="66"/>
    </row>
    <row r="1055">
      <c r="A1055" s="46"/>
      <c r="B1055" s="7"/>
      <c r="C1055" s="74"/>
      <c r="D1055" s="66"/>
    </row>
    <row r="1056">
      <c r="A1056" s="46"/>
      <c r="B1056" s="7"/>
      <c r="C1056" s="74"/>
      <c r="D1056" s="66"/>
    </row>
    <row r="1057">
      <c r="A1057" s="46"/>
      <c r="B1057" s="7"/>
      <c r="C1057" s="74"/>
      <c r="D1057" s="66"/>
    </row>
    <row r="1058">
      <c r="A1058" s="46"/>
      <c r="B1058" s="7"/>
      <c r="C1058" s="74"/>
      <c r="D1058" s="66"/>
    </row>
    <row r="1059">
      <c r="A1059" s="46"/>
      <c r="B1059" s="7"/>
      <c r="C1059" s="74"/>
      <c r="D1059" s="66"/>
    </row>
    <row r="1060">
      <c r="A1060" s="46"/>
      <c r="B1060" s="7"/>
      <c r="C1060" s="74"/>
      <c r="D1060" s="66"/>
    </row>
    <row r="1061">
      <c r="A1061" s="46"/>
      <c r="B1061" s="7"/>
      <c r="C1061" s="74"/>
      <c r="D1061" s="66"/>
    </row>
    <row r="1062">
      <c r="A1062" s="46"/>
      <c r="B1062" s="7"/>
      <c r="C1062" s="74"/>
      <c r="D1062" s="66"/>
    </row>
    <row r="1063">
      <c r="A1063" s="46"/>
      <c r="B1063" s="7"/>
      <c r="C1063" s="74"/>
      <c r="D1063" s="66"/>
    </row>
    <row r="1064">
      <c r="A1064" s="46"/>
      <c r="B1064" s="7"/>
      <c r="C1064" s="74"/>
      <c r="D1064" s="66"/>
    </row>
    <row r="1065">
      <c r="A1065" s="46"/>
      <c r="B1065" s="7"/>
      <c r="C1065" s="74"/>
      <c r="D1065" s="66"/>
    </row>
    <row r="1066">
      <c r="A1066" s="46"/>
      <c r="B1066" s="7"/>
      <c r="C1066" s="74"/>
      <c r="D1066" s="66"/>
    </row>
    <row r="1067">
      <c r="A1067" s="46"/>
      <c r="B1067" s="7"/>
      <c r="C1067" s="74"/>
      <c r="D1067" s="66"/>
    </row>
    <row r="1068">
      <c r="A1068" s="46"/>
      <c r="B1068" s="7"/>
      <c r="C1068" s="74"/>
      <c r="D1068" s="66"/>
    </row>
    <row r="1069">
      <c r="A1069" s="46"/>
      <c r="B1069" s="7"/>
      <c r="C1069" s="74"/>
      <c r="D1069" s="66"/>
    </row>
    <row r="1070">
      <c r="A1070" s="46"/>
      <c r="B1070" s="7"/>
      <c r="C1070" s="74"/>
      <c r="D1070" s="66"/>
    </row>
    <row r="1071">
      <c r="A1071" s="46"/>
      <c r="B1071" s="7"/>
      <c r="C1071" s="74"/>
      <c r="D1071" s="66"/>
    </row>
    <row r="1072">
      <c r="A1072" s="46"/>
      <c r="B1072" s="7"/>
      <c r="C1072" s="74"/>
      <c r="D1072" s="66"/>
    </row>
    <row r="1073">
      <c r="A1073" s="46"/>
      <c r="B1073" s="7"/>
      <c r="C1073" s="74"/>
      <c r="D1073" s="66"/>
    </row>
    <row r="1074">
      <c r="A1074" s="46"/>
      <c r="B1074" s="7"/>
      <c r="C1074" s="74"/>
      <c r="D1074" s="66"/>
    </row>
    <row r="1075">
      <c r="A1075" s="46"/>
      <c r="B1075" s="7"/>
      <c r="C1075" s="74"/>
      <c r="D1075" s="66"/>
    </row>
    <row r="1076">
      <c r="A1076" s="46"/>
      <c r="B1076" s="7"/>
      <c r="C1076" s="74"/>
      <c r="D1076" s="66"/>
    </row>
    <row r="1077">
      <c r="A1077" s="46"/>
      <c r="B1077" s="7"/>
      <c r="C1077" s="74"/>
      <c r="D1077" s="66"/>
    </row>
    <row r="1078">
      <c r="A1078" s="46"/>
      <c r="B1078" s="7"/>
      <c r="C1078" s="74"/>
      <c r="D1078" s="66"/>
    </row>
    <row r="1079">
      <c r="A1079" s="46"/>
      <c r="B1079" s="7"/>
      <c r="C1079" s="74"/>
      <c r="D1079" s="66"/>
    </row>
    <row r="1080">
      <c r="A1080" s="46"/>
      <c r="B1080" s="7"/>
      <c r="C1080" s="74"/>
      <c r="D1080" s="66"/>
    </row>
    <row r="1081">
      <c r="A1081" s="46"/>
      <c r="B1081" s="7"/>
      <c r="C1081" s="74"/>
      <c r="D1081" s="66"/>
    </row>
    <row r="1082">
      <c r="A1082" s="46"/>
      <c r="B1082" s="7"/>
      <c r="C1082" s="74"/>
      <c r="D1082" s="66"/>
    </row>
    <row r="1083">
      <c r="A1083" s="46"/>
      <c r="B1083" s="7"/>
      <c r="C1083" s="74"/>
      <c r="D1083" s="66"/>
    </row>
    <row r="1084">
      <c r="A1084" s="46"/>
      <c r="B1084" s="7"/>
      <c r="C1084" s="74"/>
      <c r="D1084" s="66"/>
    </row>
    <row r="1085">
      <c r="A1085" s="46"/>
      <c r="B1085" s="7"/>
      <c r="C1085" s="74"/>
      <c r="D1085" s="66"/>
    </row>
    <row r="1086">
      <c r="A1086" s="46"/>
      <c r="B1086" s="7"/>
      <c r="C1086" s="74"/>
      <c r="D1086" s="66"/>
    </row>
    <row r="1087">
      <c r="A1087" s="46"/>
      <c r="B1087" s="7"/>
      <c r="C1087" s="74"/>
      <c r="D1087" s="66"/>
    </row>
    <row r="1088">
      <c r="A1088" s="46"/>
      <c r="B1088" s="7"/>
      <c r="C1088" s="74"/>
      <c r="D1088" s="66"/>
    </row>
    <row r="1089">
      <c r="A1089" s="46"/>
      <c r="B1089" s="7"/>
      <c r="C1089" s="74"/>
      <c r="D1089" s="66"/>
    </row>
    <row r="1090">
      <c r="A1090" s="46"/>
      <c r="B1090" s="7"/>
      <c r="C1090" s="74"/>
      <c r="D1090" s="66"/>
    </row>
    <row r="1091">
      <c r="A1091" s="46"/>
      <c r="B1091" s="7"/>
      <c r="C1091" s="74"/>
      <c r="D1091" s="66"/>
    </row>
    <row r="1092">
      <c r="A1092" s="46"/>
      <c r="B1092" s="7"/>
      <c r="C1092" s="74"/>
      <c r="D1092" s="66"/>
    </row>
    <row r="1093">
      <c r="A1093" s="46"/>
      <c r="B1093" s="7"/>
      <c r="C1093" s="74"/>
      <c r="D1093" s="66"/>
    </row>
    <row r="1094">
      <c r="A1094" s="46"/>
      <c r="B1094" s="7"/>
      <c r="C1094" s="74"/>
      <c r="D1094" s="66"/>
    </row>
    <row r="1095">
      <c r="A1095" s="46"/>
      <c r="B1095" s="7"/>
      <c r="C1095" s="74"/>
      <c r="D1095" s="66"/>
    </row>
  </sheetData>
  <mergeCells count="28">
    <mergeCell ref="B2:B18"/>
    <mergeCell ref="B19:B21"/>
    <mergeCell ref="B22:B27"/>
    <mergeCell ref="B28:B35"/>
    <mergeCell ref="B36:B39"/>
    <mergeCell ref="B40:B42"/>
    <mergeCell ref="B43:B44"/>
    <mergeCell ref="B46:B64"/>
    <mergeCell ref="B66:B67"/>
    <mergeCell ref="B68:B69"/>
    <mergeCell ref="B70:B76"/>
    <mergeCell ref="B77:B84"/>
    <mergeCell ref="B86:B87"/>
    <mergeCell ref="B88:B89"/>
    <mergeCell ref="B113:B114"/>
    <mergeCell ref="B116:B119"/>
    <mergeCell ref="B121:B122"/>
    <mergeCell ref="B123:B124"/>
    <mergeCell ref="B125:B138"/>
    <mergeCell ref="B139:B143"/>
    <mergeCell ref="B144:B150"/>
    <mergeCell ref="B95:B96"/>
    <mergeCell ref="B97:B98"/>
    <mergeCell ref="B99:B101"/>
    <mergeCell ref="B102:B103"/>
    <mergeCell ref="B105:B106"/>
    <mergeCell ref="B107:B108"/>
    <mergeCell ref="B109:B112"/>
  </mergeCells>
  <conditionalFormatting sqref="C6">
    <cfRule type="notContainsBlanks" dxfId="0" priority="1">
      <formula>LEN(TRIM(C6))&gt;0</formula>
    </cfRule>
  </conditionalFormatting>
  <hyperlinks>
    <hyperlink r:id="rId2" ref="B2"/>
    <hyperlink r:id="rId3" ref="B19"/>
    <hyperlink r:id="rId4" ref="B22"/>
    <hyperlink r:id="rId5" ref="B28"/>
    <hyperlink r:id="rId6" ref="B36"/>
    <hyperlink r:id="rId7" ref="B40"/>
    <hyperlink r:id="rId8" ref="B43"/>
    <hyperlink r:id="rId9" ref="B45"/>
    <hyperlink r:id="rId10" ref="B46"/>
    <hyperlink r:id="rId11" ref="B65"/>
    <hyperlink r:id="rId12" ref="B66"/>
    <hyperlink r:id="rId13" ref="B68"/>
    <hyperlink r:id="rId14" ref="B70"/>
    <hyperlink r:id="rId15" ref="B77"/>
    <hyperlink r:id="rId16" ref="B85"/>
    <hyperlink r:id="rId17" ref="B86"/>
    <hyperlink r:id="rId18" ref="B88"/>
    <hyperlink r:id="rId19" ref="B90"/>
    <hyperlink r:id="rId20" ref="B91"/>
    <hyperlink r:id="rId21" ref="B92"/>
    <hyperlink r:id="rId22" ref="B93"/>
    <hyperlink r:id="rId23" ref="B94"/>
    <hyperlink r:id="rId24" ref="B95"/>
    <hyperlink r:id="rId25" ref="B99"/>
    <hyperlink r:id="rId26" ref="B102"/>
    <hyperlink r:id="rId27" ref="B104"/>
    <hyperlink r:id="rId28" ref="B105"/>
    <hyperlink r:id="rId29" ref="B107"/>
    <hyperlink r:id="rId30" ref="B109"/>
    <hyperlink r:id="rId31" ref="B113"/>
    <hyperlink r:id="rId32" ref="B115"/>
    <hyperlink r:id="rId33" ref="B116"/>
    <hyperlink r:id="rId34" ref="B120"/>
    <hyperlink r:id="rId35" ref="B121"/>
    <hyperlink r:id="rId36" ref="B123"/>
    <hyperlink r:id="rId37" ref="B125"/>
    <hyperlink r:id="rId38" ref="B139"/>
    <hyperlink r:id="rId39" ref="B144"/>
    <hyperlink r:id="rId40" ref="B151"/>
  </hyperlinks>
  <drawing r:id="rId41"/>
  <legacyDrawing r:id="rId4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9.71"/>
    <col customWidth="1" min="2" max="2" width="42.29"/>
    <col customWidth="1" min="3" max="3" width="27.86"/>
    <col customWidth="1" min="4" max="4" width="31.0"/>
    <col customWidth="1" min="5" max="5" width="39.29"/>
  </cols>
  <sheetData>
    <row r="1">
      <c r="A1" s="162"/>
      <c r="B1" s="56" t="s">
        <v>6</v>
      </c>
      <c r="C1" s="5" t="s">
        <v>7</v>
      </c>
      <c r="D1" s="5" t="s">
        <v>8</v>
      </c>
      <c r="E1" s="78" t="s">
        <v>1355</v>
      </c>
    </row>
    <row r="2">
      <c r="A2" s="140" t="s">
        <v>3916</v>
      </c>
      <c r="B2" s="8" t="s">
        <v>3917</v>
      </c>
      <c r="C2" s="118" t="s">
        <v>985</v>
      </c>
      <c r="D2" s="118" t="s">
        <v>985</v>
      </c>
      <c r="E2" s="163" t="str">
        <f>IFERROR(__xludf.DUMMYFUNCTION("IFERROR(VLOOKUP(C2,IMPORTRANGE(""https://docs.google.com/spreadsheets/d/1SQRLoxD_LXfQNfB7NOxI5jlxbkDlcNPwla_2gSTySP8/edit#gid=274515254"",""Vault!$C$2:$D$100""),2,0),0)"),"Vault / ボールト")</f>
        <v>Vault / ボールト</v>
      </c>
    </row>
    <row r="3">
      <c r="A3" s="68" t="str">
        <f>IFERROR(__xludf.DUMMYFUNCTION("JOIN(""-"",""app"",SPLIT(LOWER( C3),"" ""))"),"app-manage-assets-with-ease!")</f>
        <v>app-manage-assets-with-ease!</v>
      </c>
      <c r="C3" s="118" t="s">
        <v>1342</v>
      </c>
      <c r="D3" s="118" t="s">
        <v>1343</v>
      </c>
      <c r="E3" s="163" t="str">
        <f>IFERROR(__xludf.DUMMYFUNCTION("IFERROR(VLOOKUP(C3,IMPORTRANGE(""https://docs.google.com/spreadsheets/d/1SQRLoxD_LXfQNfB7NOxI5jlxbkDlcNPwla_2gSTySP8/edit#gid=274515254"",""Vault!$C$2:$D$100""),2,0),0)"),"アセットを簡単に管理！")</f>
        <v>アセットを簡単に管理！</v>
      </c>
    </row>
    <row r="4">
      <c r="A4" s="140" t="s">
        <v>3918</v>
      </c>
      <c r="C4" s="118" t="s">
        <v>3919</v>
      </c>
      <c r="D4" s="118" t="s">
        <v>3920</v>
      </c>
      <c r="E4" s="163" t="str">
        <f>IFERROR(__xludf.DUMMYFUNCTION("IFERROR(VLOOKUP(C4,IMPORTRANGE(""https://docs.google.com/spreadsheets/d/1SQRLoxD_LXfQNfB7NOxI5jlxbkDlcNPwla_2gSTySP8/edit#gid=274515254"",""Vault!$C$2:$D$100""),2,0),0)"),"最近")</f>
        <v>最近</v>
      </c>
    </row>
    <row r="5">
      <c r="A5" s="140" t="s">
        <v>3717</v>
      </c>
      <c r="C5" s="118" t="s">
        <v>1206</v>
      </c>
      <c r="D5" s="118" t="s">
        <v>1207</v>
      </c>
      <c r="E5" s="163" t="str">
        <f>IFERROR(__xludf.DUMMYFUNCTION("IFERROR(VLOOKUP(C5,IMPORTRANGE(""https://docs.google.com/spreadsheets/d/1SQRLoxD_LXfQNfB7NOxI5jlxbkDlcNPwla_2gSTySP8/edit#gid=274515254"",""Vault!$C$2:$D$100""),2,0),0)"),"お気に入り")</f>
        <v>お気に入り</v>
      </c>
    </row>
    <row r="6">
      <c r="A6" s="140" t="s">
        <v>1883</v>
      </c>
      <c r="C6" s="118" t="s">
        <v>986</v>
      </c>
      <c r="D6" s="118" t="s">
        <v>928</v>
      </c>
      <c r="E6" s="163" t="str">
        <f>IFERROR(__xludf.DUMMYFUNCTION("IFERROR(VLOOKUP(C6,IMPORTRANGE(""https://docs.google.com/spreadsheets/d/1SQRLoxD_LXfQNfB7NOxI5jlxbkDlcNPwla_2gSTySP8/edit#gid=274515254"",""Vault!$C$2:$D$100""),2,0),0)"),"すべて")</f>
        <v>すべて</v>
      </c>
    </row>
    <row r="7">
      <c r="A7" s="140" t="s">
        <v>3921</v>
      </c>
      <c r="C7" s="118" t="s">
        <v>3225</v>
      </c>
      <c r="D7" s="118" t="s">
        <v>3226</v>
      </c>
      <c r="E7" s="163" t="str">
        <f>IFERROR(__xludf.DUMMYFUNCTION("IFERROR(VLOOKUP(C7,IMPORTRANGE(""https://docs.google.com/spreadsheets/d/1SQRLoxD_LXfQNfB7NOxI5jlxbkDlcNPwla_2gSTySP8/edit#gid=274515254"",""Vault!$C$2:$D$100""),2,0),0)"),"共有")</f>
        <v>共有</v>
      </c>
    </row>
    <row r="8">
      <c r="A8" s="140" t="s">
        <v>3922</v>
      </c>
      <c r="C8" s="118" t="s">
        <v>3923</v>
      </c>
      <c r="D8" s="118" t="s">
        <v>3924</v>
      </c>
      <c r="E8" s="163" t="str">
        <f>IFERROR(__xludf.DUMMYFUNCTION("IFERROR(VLOOKUP(C8,IMPORTRANGE(""https://docs.google.com/spreadsheets/d/1SQRLoxD_LXfQNfB7NOxI5jlxbkDlcNPwla_2gSTySP8/edit#gid=274515254"",""Vault!$C$2:$D$100""),2,0),0)"),"所有")</f>
        <v>所有</v>
      </c>
    </row>
    <row r="9">
      <c r="A9" s="140" t="s">
        <v>3925</v>
      </c>
      <c r="C9" s="118" t="s">
        <v>3519</v>
      </c>
      <c r="D9" s="118" t="s">
        <v>3520</v>
      </c>
      <c r="E9" s="163" t="str">
        <f>IFERROR(__xludf.DUMMYFUNCTION("IFERROR(VLOOKUP(C9,IMPORTRANGE(""https://docs.google.com/spreadsheets/d/1SQRLoxD_LXfQNfB7NOxI5jlxbkDlcNPwla_2gSTySP8/edit#gid=274515254"",""Vault!$C$2:$D$100""),2,0),0)"),"アクティビティ")</f>
        <v>アクティビティ</v>
      </c>
    </row>
    <row r="10">
      <c r="A10" s="140" t="s">
        <v>3718</v>
      </c>
      <c r="C10" s="118" t="s">
        <v>3719</v>
      </c>
      <c r="D10" s="118" t="s">
        <v>3720</v>
      </c>
      <c r="E10" s="163" t="str">
        <f>IFERROR(__xludf.DUMMYFUNCTION("IFERROR(VLOOKUP(C10,IMPORTRANGE(""https://docs.google.com/spreadsheets/d/1SQRLoxD_LXfQNfB7NOxI5jlxbkDlcNPwla_2gSTySP8/edit#gid=274515254"",""Vault!$C$2:$D$100""),2,0),0)"),"アーカイブ済み")</f>
        <v>アーカイブ済み</v>
      </c>
    </row>
    <row r="11">
      <c r="A11" s="140" t="s">
        <v>98</v>
      </c>
      <c r="C11" s="118" t="s">
        <v>3742</v>
      </c>
      <c r="D11" s="26" t="s">
        <v>100</v>
      </c>
      <c r="E11" s="163" t="str">
        <f>IFERROR(__xludf.DUMMYFUNCTION("IFERROR(VLOOKUP(C11,IMPORTRANGE(""https://docs.google.com/spreadsheets/d/1SQRLoxD_LXfQNfB7NOxI5jlxbkDlcNPwla_2gSTySP8/edit#gid=274515254"",""Vault!$C$2:$D$100""),2,0),0)"),"詳細を表示")</f>
        <v>詳細を表示</v>
      </c>
    </row>
    <row r="12" ht="30.0" customHeight="1">
      <c r="A12" s="108" t="str">
        <f>IFERROR(__xludf.DUMMYFUNCTION("JOIN(""-"",""app"",SPLIT(LOWER( C12),"" ""))"),"app-selected")</f>
        <v>app-selected</v>
      </c>
      <c r="B12" s="105" t="s">
        <v>3926</v>
      </c>
      <c r="C12" s="106" t="s">
        <v>757</v>
      </c>
      <c r="D12" s="106" t="s">
        <v>3707</v>
      </c>
      <c r="E12" s="115" t="s">
        <v>3927</v>
      </c>
    </row>
    <row r="13">
      <c r="A13" s="108" t="str">
        <f>IFERROR(__xludf.DUMMYFUNCTION("JOIN(""-"",""app"",SPLIT(LOWER( C13),"" ""))"),"app-last-7-days")</f>
        <v>app-last-7-days</v>
      </c>
      <c r="B13" s="103" t="s">
        <v>3928</v>
      </c>
      <c r="C13" s="106" t="s">
        <v>3929</v>
      </c>
      <c r="D13" s="106" t="s">
        <v>3930</v>
      </c>
      <c r="E13" s="115" t="s">
        <v>3931</v>
      </c>
    </row>
    <row r="14">
      <c r="A14" s="108" t="str">
        <f>IFERROR(__xludf.DUMMYFUNCTION("JOIN(""-"",""app"",SPLIT(LOWER( C14),"" ""))"),"app-today")</f>
        <v>app-today</v>
      </c>
      <c r="C14" s="106" t="s">
        <v>1492</v>
      </c>
      <c r="D14" s="106" t="s">
        <v>1493</v>
      </c>
      <c r="E14" s="163" t="str">
        <f>IFERROR(__xludf.DUMMYFUNCTION("IFERROR(VLOOKUP(C14,IMPORTRANGE(""https://docs.google.com/spreadsheets/d/1SQRLoxD_LXfQNfB7NOxI5jlxbkDlcNPwla_2gSTySP8/edit#gid=274515254"",""Vault!$C$2:$D$100""),2,0),0)"),"今日")</f>
        <v>今日</v>
      </c>
    </row>
    <row r="15">
      <c r="A15" s="108" t="str">
        <f>IFERROR(__xludf.DUMMYFUNCTION("JOIN(""-"",""app"",SPLIT(LOWER( C15),"" ""))"),"app-none")</f>
        <v>app-none</v>
      </c>
      <c r="C15" s="106" t="s">
        <v>439</v>
      </c>
      <c r="D15" s="106" t="s">
        <v>440</v>
      </c>
      <c r="E15" s="163" t="str">
        <f>IFERROR(__xludf.DUMMYFUNCTION("IFERROR(VLOOKUP(C15,IMPORTRANGE(""https://docs.google.com/spreadsheets/d/1SQRLoxD_LXfQNfB7NOxI5jlxbkDlcNPwla_2gSTySP8/edit#gid=274515254"",""Vault!$C$2:$D$100""),2,0),0)"),"なし")</f>
        <v>なし</v>
      </c>
    </row>
    <row r="16">
      <c r="A16" s="108" t="str">
        <f>IFERROR(__xludf.DUMMYFUNCTION("JOIN(""-"",""app"",SPLIT(LOWER( C16),"" ""))"),"app-files")</f>
        <v>app-files</v>
      </c>
      <c r="B16" s="103" t="s">
        <v>3932</v>
      </c>
      <c r="C16" s="106" t="s">
        <v>3215</v>
      </c>
      <c r="D16" s="106" t="s">
        <v>3216</v>
      </c>
      <c r="E16" s="163" t="str">
        <f>IFERROR(__xludf.DUMMYFUNCTION("IFERROR(VLOOKUP(C16,IMPORTRANGE(""https://docs.google.com/spreadsheets/d/1SQRLoxD_LXfQNfB7NOxI5jlxbkDlcNPwla_2gSTySP8/edit#gid=274515254"",""Vault!$C$2:$D$100""),2,0),0)"),"ファイル")</f>
        <v>ファイル</v>
      </c>
    </row>
    <row r="17">
      <c r="A17" s="108" t="str">
        <f>IFERROR(__xludf.DUMMYFUNCTION("JOIN(""-"",""app"",SPLIT(LOWER( C17),"" ""))"),"app-folders")</f>
        <v>app-folders</v>
      </c>
      <c r="C17" s="106" t="s">
        <v>3218</v>
      </c>
      <c r="D17" s="106" t="s">
        <v>3219</v>
      </c>
      <c r="E17" s="163" t="str">
        <f>IFERROR(__xludf.DUMMYFUNCTION("IFERROR(VLOOKUP(C17,IMPORTRANGE(""https://docs.google.com/spreadsheets/d/1SQRLoxD_LXfQNfB7NOxI5jlxbkDlcNPwla_2gSTySP8/edit#gid=274515254"",""Vault!$C$2:$D$100""),2,0),0)"),"フォルダ")</f>
        <v>フォルダ</v>
      </c>
    </row>
    <row r="18">
      <c r="A18" s="108" t="str">
        <f>IFERROR(__xludf.DUMMYFUNCTION("JOIN(""-"",""app"",SPLIT(LOWER( C18),"" ""))"),"app-selected")</f>
        <v>app-selected</v>
      </c>
      <c r="B18" s="105" t="s">
        <v>3933</v>
      </c>
      <c r="C18" s="106" t="s">
        <v>757</v>
      </c>
      <c r="D18" s="106" t="s">
        <v>3707</v>
      </c>
      <c r="E18" s="115" t="s">
        <v>3927</v>
      </c>
    </row>
    <row r="19">
      <c r="A19" s="108" t="str">
        <f>IFERROR(__xludf.DUMMYFUNCTION("JOIN(""-"",""app"",SPLIT(LOWER( C19),"" ""))"),"app-files")</f>
        <v>app-files</v>
      </c>
      <c r="B19" s="103" t="s">
        <v>3934</v>
      </c>
      <c r="C19" s="106" t="s">
        <v>3215</v>
      </c>
      <c r="D19" s="106" t="s">
        <v>3216</v>
      </c>
      <c r="E19" s="163" t="str">
        <f>IFERROR(__xludf.DUMMYFUNCTION("IFERROR(VLOOKUP(C19,IMPORTRANGE(""https://docs.google.com/spreadsheets/d/1SQRLoxD_LXfQNfB7NOxI5jlxbkDlcNPwla_2gSTySP8/edit#gid=274515254"",""Vault!$C$2:$D$100""),2,0),0)"),"ファイル")</f>
        <v>ファイル</v>
      </c>
    </row>
    <row r="20">
      <c r="A20" s="108" t="str">
        <f>IFERROR(__xludf.DUMMYFUNCTION("JOIN(""-"",""app"",SPLIT(LOWER( C20),"" ""))"),"app-folders")</f>
        <v>app-folders</v>
      </c>
      <c r="C20" s="106" t="s">
        <v>3218</v>
      </c>
      <c r="D20" s="106" t="s">
        <v>3219</v>
      </c>
      <c r="E20" s="163" t="str">
        <f>IFERROR(__xludf.DUMMYFUNCTION("IFERROR(VLOOKUP(C20,IMPORTRANGE(""https://docs.google.com/spreadsheets/d/1SQRLoxD_LXfQNfB7NOxI5jlxbkDlcNPwla_2gSTySP8/edit#gid=274515254"",""Vault!$C$2:$D$100""),2,0),0)"),"フォルダ")</f>
        <v>フォルダ</v>
      </c>
    </row>
    <row r="21">
      <c r="A21" s="108" t="str">
        <f>IFERROR(__xludf.DUMMYFUNCTION("JOIN(""-"",""app"",SPLIT(LOWER( C21),"" ""))"),"app-none")</f>
        <v>app-none</v>
      </c>
      <c r="B21" s="105" t="s">
        <v>3935</v>
      </c>
      <c r="C21" s="106" t="s">
        <v>439</v>
      </c>
      <c r="D21" s="106" t="s">
        <v>440</v>
      </c>
      <c r="E21" s="163" t="str">
        <f>IFERROR(__xludf.DUMMYFUNCTION("IFERROR(VLOOKUP(C21,IMPORTRANGE(""https://docs.google.com/spreadsheets/d/1SQRLoxD_LXfQNfB7NOxI5jlxbkDlcNPwla_2gSTySP8/edit#gid=274515254"",""Vault!$C$2:$D$100""),2,0),0)"),"なし")</f>
        <v>なし</v>
      </c>
    </row>
    <row r="22">
      <c r="A22" s="108" t="str">
        <f>IFERROR(__xludf.DUMMYFUNCTION("JOIN(""-"",""app"",SPLIT(LOWER( C22),"" ""))"),"app-selected")</f>
        <v>app-selected</v>
      </c>
      <c r="B22" s="105" t="s">
        <v>3936</v>
      </c>
      <c r="C22" s="106" t="s">
        <v>757</v>
      </c>
      <c r="D22" s="106" t="s">
        <v>3707</v>
      </c>
      <c r="E22" s="115" t="s">
        <v>3927</v>
      </c>
    </row>
    <row r="23">
      <c r="A23" s="108" t="str">
        <f>IFERROR(__xludf.DUMMYFUNCTION("JOIN(""-"",""app"",SPLIT(LOWER( C23),"" ""))"),"app-none")</f>
        <v>app-none</v>
      </c>
      <c r="B23" s="103" t="s">
        <v>3937</v>
      </c>
      <c r="C23" s="106" t="s">
        <v>439</v>
      </c>
      <c r="D23" s="106" t="s">
        <v>440</v>
      </c>
      <c r="E23" s="163" t="str">
        <f>IFERROR(__xludf.DUMMYFUNCTION("IFERROR(VLOOKUP(C23,IMPORTRANGE(""https://docs.google.com/spreadsheets/d/1SQRLoxD_LXfQNfB7NOxI5jlxbkDlcNPwla_2gSTySP8/edit#gid=274515254"",""Vault!$C$2:$D$100""),2,0),0)"),"なし")</f>
        <v>なし</v>
      </c>
    </row>
    <row r="24">
      <c r="A24" s="108" t="str">
        <f>IFERROR(__xludf.DUMMYFUNCTION("JOIN(""-"",""app"",SPLIT(LOWER( C24),"" ""))"),"app-folders")</f>
        <v>app-folders</v>
      </c>
      <c r="C24" s="106" t="s">
        <v>3218</v>
      </c>
      <c r="D24" s="106" t="s">
        <v>3219</v>
      </c>
      <c r="E24" s="163" t="str">
        <f>IFERROR(__xludf.DUMMYFUNCTION("IFERROR(VLOOKUP(C24,IMPORTRANGE(""https://docs.google.com/spreadsheets/d/1SQRLoxD_LXfQNfB7NOxI5jlxbkDlcNPwla_2gSTySP8/edit#gid=274515254"",""Vault!$C$2:$D$100""),2,0),0)"),"フォルダ")</f>
        <v>フォルダ</v>
      </c>
    </row>
    <row r="25">
      <c r="A25" s="108" t="str">
        <f>IFERROR(__xludf.DUMMYFUNCTION("JOIN(""-"",""app"",SPLIT(LOWER( C25),"" ""))"),"app-files")</f>
        <v>app-files</v>
      </c>
      <c r="C25" s="106" t="s">
        <v>3215</v>
      </c>
      <c r="D25" s="106" t="s">
        <v>3216</v>
      </c>
      <c r="E25" s="163" t="str">
        <f>IFERROR(__xludf.DUMMYFUNCTION("IFERROR(VLOOKUP(C25,IMPORTRANGE(""https://docs.google.com/spreadsheets/d/1SQRLoxD_LXfQNfB7NOxI5jlxbkDlcNPwla_2gSTySP8/edit#gid=274515254"",""Vault!$C$2:$D$100""),2,0),0)"),"ファイル")</f>
        <v>ファイル</v>
      </c>
    </row>
    <row r="26">
      <c r="A26" s="108" t="str">
        <f>IFERROR(__xludf.DUMMYFUNCTION("JOIN(""-"",""app"",SPLIT(LOWER( C26),"" ""))"),"app-folders")</f>
        <v>app-folders</v>
      </c>
      <c r="B26" s="103" t="s">
        <v>3938</v>
      </c>
      <c r="C26" s="106" t="s">
        <v>3218</v>
      </c>
      <c r="D26" s="106" t="s">
        <v>3219</v>
      </c>
      <c r="E26" s="163" t="str">
        <f>IFERROR(__xludf.DUMMYFUNCTION("IFERROR(VLOOKUP(C26,IMPORTRANGE(""https://docs.google.com/spreadsheets/d/1SQRLoxD_LXfQNfB7NOxI5jlxbkDlcNPwla_2gSTySP8/edit#gid=274515254"",""Vault!$C$2:$D$100""),2,0),0)"),"フォルダ")</f>
        <v>フォルダ</v>
      </c>
    </row>
    <row r="27">
      <c r="A27" s="108" t="str">
        <f>IFERROR(__xludf.DUMMYFUNCTION("JOIN(""-"",""app"",SPLIT(LOWER( C27),"" ""))"),"app-files")</f>
        <v>app-files</v>
      </c>
      <c r="C27" s="106" t="s">
        <v>3215</v>
      </c>
      <c r="D27" s="106" t="s">
        <v>3216</v>
      </c>
      <c r="E27" s="163" t="str">
        <f>IFERROR(__xludf.DUMMYFUNCTION("IFERROR(VLOOKUP(C27,IMPORTRANGE(""https://docs.google.com/spreadsheets/d/1SQRLoxD_LXfQNfB7NOxI5jlxbkDlcNPwla_2gSTySP8/edit#gid=274515254"",""Vault!$C$2:$D$100""),2,0),0)"),"ファイル")</f>
        <v>ファイル</v>
      </c>
    </row>
    <row r="28">
      <c r="A28" s="108" t="str">
        <f>IFERROR(__xludf.DUMMYFUNCTION("JOIN(""-"",""app"",SPLIT(LOWER( C28),"" ""))"),"app-selected")</f>
        <v>app-selected</v>
      </c>
      <c r="B28" s="105" t="s">
        <v>3938</v>
      </c>
      <c r="C28" s="106" t="s">
        <v>757</v>
      </c>
      <c r="D28" s="106" t="s">
        <v>3707</v>
      </c>
      <c r="E28" s="115" t="s">
        <v>3927</v>
      </c>
    </row>
    <row r="29">
      <c r="A29" s="108" t="str">
        <f>IFERROR(__xludf.DUMMYFUNCTION("JOIN(""-"",""app"",SPLIT(LOWER( C29),"" ""))"),"app-folders")</f>
        <v>app-folders</v>
      </c>
      <c r="B29" s="103" t="s">
        <v>3939</v>
      </c>
      <c r="C29" s="106" t="s">
        <v>3218</v>
      </c>
      <c r="D29" s="106" t="s">
        <v>3219</v>
      </c>
      <c r="E29" s="163" t="str">
        <f>IFERROR(__xludf.DUMMYFUNCTION("IFERROR(VLOOKUP(C29,IMPORTRANGE(""https://docs.google.com/spreadsheets/d/1SQRLoxD_LXfQNfB7NOxI5jlxbkDlcNPwla_2gSTySP8/edit#gid=274515254"",""Vault!$C$2:$D$100""),2,0),0)"),"フォルダ")</f>
        <v>フォルダ</v>
      </c>
    </row>
    <row r="30">
      <c r="A30" s="108" t="str">
        <f>IFERROR(__xludf.DUMMYFUNCTION("JOIN(""-"",""app"",SPLIT(LOWER( C30),"" ""))"),"app-files")</f>
        <v>app-files</v>
      </c>
      <c r="C30" s="106" t="s">
        <v>3215</v>
      </c>
      <c r="D30" s="106" t="s">
        <v>3216</v>
      </c>
      <c r="E30" s="163" t="str">
        <f>IFERROR(__xludf.DUMMYFUNCTION("IFERROR(VLOOKUP(C30,IMPORTRANGE(""https://docs.google.com/spreadsheets/d/1SQRLoxD_LXfQNfB7NOxI5jlxbkDlcNPwla_2gSTySP8/edit#gid=274515254"",""Vault!$C$2:$D$100""),2,0),0)"),"ファイル")</f>
        <v>ファイル</v>
      </c>
    </row>
    <row r="31">
      <c r="A31" s="102" t="str">
        <f>IFERROR(__xludf.DUMMYFUNCTION("JOIN(""-"",""app"",SPLIT(LOWER( C31),"" ""))"),"app-shared")</f>
        <v>app-shared</v>
      </c>
      <c r="B31" s="103" t="s">
        <v>3940</v>
      </c>
      <c r="C31" s="106" t="s">
        <v>3941</v>
      </c>
      <c r="D31" s="106" t="s">
        <v>3942</v>
      </c>
      <c r="E31" s="163" t="str">
        <f>IFERROR(__xludf.DUMMYFUNCTION("IFERROR(VLOOKUP(C31,IMPORTRANGE(""https://docs.google.com/spreadsheets/d/1SQRLoxD_LXfQNfB7NOxI5jlxbkDlcNPwla_2gSTySP8/edit#gid=274515254"",""Vault!$C$2:$D$100""),2,0),0)"),"共有")</f>
        <v>共有</v>
      </c>
    </row>
    <row r="32">
      <c r="A32" s="108" t="str">
        <f>IFERROR(__xludf.DUMMYFUNCTION("JOIN(""-"",""app"",SPLIT(LOWER( C32),"" ""))"),"app-today")</f>
        <v>app-today</v>
      </c>
      <c r="C32" s="106" t="s">
        <v>1492</v>
      </c>
      <c r="D32" s="106" t="s">
        <v>1493</v>
      </c>
      <c r="E32" s="163" t="str">
        <f>IFERROR(__xludf.DUMMYFUNCTION("IFERROR(VLOOKUP(C32,IMPORTRANGE(""https://docs.google.com/spreadsheets/d/1SQRLoxD_LXfQNfB7NOxI5jlxbkDlcNPwla_2gSTySP8/edit#gid=274515254"",""Vault!$C$2:$D$100""),2,0),0)"),"今日")</f>
        <v>今日</v>
      </c>
    </row>
    <row r="33">
      <c r="A33" s="108" t="str">
        <f>IFERROR(__xludf.DUMMYFUNCTION("JOIN(""-"",""app"",SPLIT(LOWER( C33),"" ""))"),"app-last-week")</f>
        <v>app-last-week</v>
      </c>
      <c r="C33" s="106" t="s">
        <v>3943</v>
      </c>
      <c r="D33" s="106" t="s">
        <v>3944</v>
      </c>
      <c r="E33" s="163" t="str">
        <f>IFERROR(__xludf.DUMMYFUNCTION("IFERROR(VLOOKUP(C33,IMPORTRANGE(""https://docs.google.com/spreadsheets/d/1SQRLoxD_LXfQNfB7NOxI5jlxbkDlcNPwla_2gSTySP8/edit#gid=274515254"",""Vault!$C$2:$D$100""),2,0),0)"),"先週")</f>
        <v>先週</v>
      </c>
    </row>
    <row r="34">
      <c r="A34" s="108" t="str">
        <f>IFERROR(__xludf.DUMMYFUNCTION("JOIN(""-"",""app"",SPLIT(LOWER( C34),"" ""))"),"app-last-month")</f>
        <v>app-last-month</v>
      </c>
      <c r="C34" s="106" t="s">
        <v>3945</v>
      </c>
      <c r="D34" s="106" t="s">
        <v>3946</v>
      </c>
      <c r="E34" s="163" t="str">
        <f>IFERROR(__xludf.DUMMYFUNCTION("IFERROR(VLOOKUP(C34,IMPORTRANGE(""https://docs.google.com/spreadsheets/d/1SQRLoxD_LXfQNfB7NOxI5jlxbkDlcNPwla_2gSTySP8/edit#gid=274515254"",""Vault!$C$2:$D$100""),2,0),0)"),"先月")</f>
        <v>先月</v>
      </c>
    </row>
    <row r="35">
      <c r="A35" s="108" t="str">
        <f>IFERROR(__xludf.DUMMYFUNCTION("JOIN(""-"",""app"",SPLIT(LOWER( C35),"" ""))"),"app-last-year")</f>
        <v>app-last-year</v>
      </c>
      <c r="C35" s="106" t="s">
        <v>3947</v>
      </c>
      <c r="D35" s="106" t="s">
        <v>3948</v>
      </c>
      <c r="E35" s="163" t="str">
        <f>IFERROR(__xludf.DUMMYFUNCTION("IFERROR(VLOOKUP(C35,IMPORTRANGE(""https://docs.google.com/spreadsheets/d/1SQRLoxD_LXfQNfB7NOxI5jlxbkDlcNPwla_2gSTySP8/edit#gid=274515254"",""Vault!$C$2:$D$100""),2,0),0)"),"昨年")</f>
        <v>昨年</v>
      </c>
    </row>
    <row r="36">
      <c r="A36" s="108" t="str">
        <f>IFERROR(__xludf.DUMMYFUNCTION("JOIN(""-"",""app"",SPLIT(LOWER( C36),"" ""))"),"app-select-due-date-range")</f>
        <v>app-select-due-date-range</v>
      </c>
      <c r="B36" s="105" t="s">
        <v>3949</v>
      </c>
      <c r="C36" s="106" t="s">
        <v>1486</v>
      </c>
      <c r="D36" s="127" t="s">
        <v>1487</v>
      </c>
      <c r="E36" s="115" t="s">
        <v>3950</v>
      </c>
    </row>
    <row r="37">
      <c r="A37" s="108" t="str">
        <f>IFERROR(__xludf.DUMMYFUNCTION("JOIN(""-"",""app"",SPLIT(LOWER( C37),"" ""))"),"app-none")</f>
        <v>app-none</v>
      </c>
      <c r="B37" s="105" t="s">
        <v>3951</v>
      </c>
      <c r="C37" s="106" t="s">
        <v>439</v>
      </c>
      <c r="D37" s="106" t="s">
        <v>440</v>
      </c>
      <c r="E37" s="163" t="str">
        <f>IFERROR(__xludf.DUMMYFUNCTION("IFERROR(VLOOKUP(C37,IMPORTRANGE(""https://docs.google.com/spreadsheets/d/1SQRLoxD_LXfQNfB7NOxI5jlxbkDlcNPwla_2gSTySP8/edit#gid=274515254"",""Vault!$C$2:$D$100""),2,0),0)"),"なし")</f>
        <v>なし</v>
      </c>
    </row>
    <row r="38">
      <c r="A38" s="108" t="str">
        <f>IFERROR(__xludf.DUMMYFUNCTION("JOIN(""-"",""app"",SPLIT(LOWER( C38),"" ""))"),"app-shared-by")</f>
        <v>app-shared-by</v>
      </c>
      <c r="B38" s="105" t="s">
        <v>3952</v>
      </c>
      <c r="C38" s="106" t="s">
        <v>3953</v>
      </c>
      <c r="D38" s="106" t="s">
        <v>3954</v>
      </c>
      <c r="E38" s="163" t="str">
        <f>IFERROR(__xludf.DUMMYFUNCTION("IFERROR(VLOOKUP(C38,IMPORTRANGE(""https://docs.google.com/spreadsheets/d/1SQRLoxD_LXfQNfB7NOxI5jlxbkDlcNPwla_2gSTySP8/edit#gid=274515254"",""Vault!$C$2:$D$100""),2,0),0)"),"共有者")</f>
        <v>共有者</v>
      </c>
    </row>
    <row r="39">
      <c r="A39" s="108" t="str">
        <f>IFERROR(__xludf.DUMMYFUNCTION("JOIN(""-"",""app"",SPLIT(LOWER( C39),"" ""))"),"app-selected")</f>
        <v>app-selected</v>
      </c>
      <c r="B39" s="105" t="s">
        <v>3955</v>
      </c>
      <c r="C39" s="106" t="s">
        <v>757</v>
      </c>
      <c r="D39" s="106" t="s">
        <v>3707</v>
      </c>
      <c r="E39" s="115" t="s">
        <v>3927</v>
      </c>
    </row>
    <row r="40">
      <c r="A40" s="108" t="str">
        <f>IFERROR(__xludf.DUMMYFUNCTION("JOIN(""-"",""app"",SPLIT(LOWER( C40),"" ""))"),"app-files")</f>
        <v>app-files</v>
      </c>
      <c r="B40" s="103" t="s">
        <v>3956</v>
      </c>
      <c r="C40" s="106" t="s">
        <v>3215</v>
      </c>
      <c r="D40" s="106" t="s">
        <v>3216</v>
      </c>
      <c r="E40" s="163" t="str">
        <f>IFERROR(__xludf.DUMMYFUNCTION("IFERROR(VLOOKUP(C40,IMPORTRANGE(""https://docs.google.com/spreadsheets/d/1SQRLoxD_LXfQNfB7NOxI5jlxbkDlcNPwla_2gSTySP8/edit#gid=274515254"",""Vault!$C$2:$D$100""),2,0),0)"),"ファイル")</f>
        <v>ファイル</v>
      </c>
    </row>
    <row r="41">
      <c r="A41" s="108" t="str">
        <f>IFERROR(__xludf.DUMMYFUNCTION("JOIN(""-"",""app"",SPLIT(LOWER( C41),"" ""))"),"app-folders")</f>
        <v>app-folders</v>
      </c>
      <c r="C41" s="106" t="s">
        <v>3218</v>
      </c>
      <c r="D41" s="106" t="s">
        <v>3219</v>
      </c>
      <c r="E41" s="163" t="str">
        <f>IFERROR(__xludf.DUMMYFUNCTION("IFERROR(VLOOKUP(C41,IMPORTRANGE(""https://docs.google.com/spreadsheets/d/1SQRLoxD_LXfQNfB7NOxI5jlxbkDlcNPwla_2gSTySP8/edit#gid=274515254"",""Vault!$C$2:$D$100""),2,0),0)"),"フォルダ")</f>
        <v>フォルダ</v>
      </c>
    </row>
    <row r="42">
      <c r="A42" s="108" t="str">
        <f>IFERROR(__xludf.DUMMYFUNCTION("JOIN(""-"",""app"",SPLIT(LOWER( C42),"" ""))"),"app-none")</f>
        <v>app-none</v>
      </c>
      <c r="B42" s="103" t="s">
        <v>3957</v>
      </c>
      <c r="C42" s="106" t="s">
        <v>439</v>
      </c>
      <c r="D42" s="106" t="s">
        <v>440</v>
      </c>
      <c r="E42" s="163" t="str">
        <f>IFERROR(__xludf.DUMMYFUNCTION("IFERROR(VLOOKUP(C42,IMPORTRANGE(""https://docs.google.com/spreadsheets/d/1SQRLoxD_LXfQNfB7NOxI5jlxbkDlcNPwla_2gSTySP8/edit#gid=274515254"",""Vault!$C$2:$D$100""),2,0),0)"),"なし")</f>
        <v>なし</v>
      </c>
    </row>
    <row r="43">
      <c r="A43" s="108" t="str">
        <f>IFERROR(__xludf.DUMMYFUNCTION("JOIN(""-"",""app"",SPLIT(LOWER( C43),"" ""))"),"app-folders")</f>
        <v>app-folders</v>
      </c>
      <c r="C43" s="106" t="s">
        <v>3218</v>
      </c>
      <c r="D43" s="106" t="s">
        <v>3219</v>
      </c>
      <c r="E43" s="163" t="str">
        <f>IFERROR(__xludf.DUMMYFUNCTION("IFERROR(VLOOKUP(C43,IMPORTRANGE(""https://docs.google.com/spreadsheets/d/1SQRLoxD_LXfQNfB7NOxI5jlxbkDlcNPwla_2gSTySP8/edit#gid=274515254"",""Vault!$C$2:$D$100""),2,0),0)"),"フォルダ")</f>
        <v>フォルダ</v>
      </c>
    </row>
    <row r="44">
      <c r="A44" s="108" t="str">
        <f>IFERROR(__xludf.DUMMYFUNCTION("JOIN(""-"",""app"",SPLIT(LOWER( C44),"" ""))"),"app-files")</f>
        <v>app-files</v>
      </c>
      <c r="C44" s="106" t="s">
        <v>3215</v>
      </c>
      <c r="D44" s="106" t="s">
        <v>3216</v>
      </c>
      <c r="E44" s="163" t="str">
        <f>IFERROR(__xludf.DUMMYFUNCTION("IFERROR(VLOOKUP(C44,IMPORTRANGE(""https://docs.google.com/spreadsheets/d/1SQRLoxD_LXfQNfB7NOxI5jlxbkDlcNPwla_2gSTySP8/edit#gid=274515254"",""Vault!$C$2:$D$100""),2,0),0)"),"ファイル")</f>
        <v>ファイル</v>
      </c>
    </row>
    <row r="45" ht="30.0" customHeight="1">
      <c r="A45" s="2" t="s">
        <v>3958</v>
      </c>
      <c r="B45" s="8" t="s">
        <v>3959</v>
      </c>
      <c r="C45" s="118" t="s">
        <v>3606</v>
      </c>
      <c r="D45" s="118" t="s">
        <v>3607</v>
      </c>
      <c r="E45" s="163" t="str">
        <f>IFERROR(__xludf.DUMMYFUNCTION("IFERROR(VLOOKUP(C45,IMPORTRANGE(""https://docs.google.com/spreadsheets/d/1SQRLoxD_LXfQNfB7NOxI5jlxbkDlcNPwla_2gSTySP8/edit#gid=274515254"",""Vault!$C$2:$D$100""),2,0),0)"),"1人のユーザを追加しました")</f>
        <v>1人のユーザを追加しました</v>
      </c>
    </row>
    <row r="46" ht="24.75" customHeight="1">
      <c r="A46" s="140" t="s">
        <v>3960</v>
      </c>
      <c r="C46" s="118" t="s">
        <v>3961</v>
      </c>
      <c r="D46" s="26" t="s">
        <v>3962</v>
      </c>
      <c r="E46" s="163" t="str">
        <f>IFERROR(__xludf.DUMMYFUNCTION("IFERROR(VLOOKUP(C46,IMPORTRANGE(""https://docs.google.com/spreadsheets/d/1SQRLoxD_LXfQNfB7NOxI5jlxbkDlcNPwla_2gSTySP8/edit#gid=274515254"",""Vault!$C$2:$D$100""),2,0),0)"),"さらに読み込む")</f>
        <v>さらに読み込む</v>
      </c>
    </row>
    <row r="47">
      <c r="A47" s="2" t="s">
        <v>3963</v>
      </c>
      <c r="C47" s="26" t="s">
        <v>3609</v>
      </c>
      <c r="D47" s="26" t="s">
        <v>3610</v>
      </c>
      <c r="E47" s="163" t="str">
        <f>IFERROR(__xludf.DUMMYFUNCTION("IFERROR(VLOOKUP(C47,IMPORTRANGE(""https://docs.google.com/spreadsheets/d/1SQRLoxD_LXfQNfB7NOxI5jlxbkDlcNPwla_2gSTySP8/edit#gid=274515254"",""Vault!$C$2:$D$100""),2,0),0)"),"新規ファイルを作成しました")</f>
        <v>新規ファイルを作成しました</v>
      </c>
    </row>
    <row r="48">
      <c r="A48" s="13" t="s">
        <v>3964</v>
      </c>
      <c r="C48" s="26" t="s">
        <v>3612</v>
      </c>
      <c r="D48" s="26" t="s">
        <v>3613</v>
      </c>
      <c r="E48" s="163" t="str">
        <f>IFERROR(__xludf.DUMMYFUNCTION("IFERROR(VLOOKUP(C48,IMPORTRANGE(""https://docs.google.com/spreadsheets/d/1SQRLoxD_LXfQNfB7NOxI5jlxbkDlcNPwla_2gSTySP8/edit#gid=274515254"",""Vault!$C$2:$D$100""),2,0),0)"),"新規フォルダを作成しました")</f>
        <v>新規フォルダを作成しました</v>
      </c>
    </row>
    <row r="49">
      <c r="A49" s="102" t="str">
        <f>IFERROR(__xludf.DUMMYFUNCTION("JOIN(""-"",""app"",SPLIT(LOWER( C49),"" ""))"),"app-you-added-a-new-version")</f>
        <v>app-you-added-a-new-version</v>
      </c>
      <c r="B49" s="164" t="s">
        <v>3965</v>
      </c>
      <c r="C49" s="146" t="s">
        <v>3966</v>
      </c>
      <c r="D49" s="154" t="s">
        <v>3967</v>
      </c>
      <c r="E49" s="2" t="s">
        <v>3968</v>
      </c>
    </row>
    <row r="50">
      <c r="A50" s="102" t="str">
        <f>IFERROR(__xludf.DUMMYFUNCTION("JOIN(""-"",""app"",SPLIT(LOWER( C50),"" ""))"),"app-you-downloaded-the-file")</f>
        <v>app-you-downloaded-the-file</v>
      </c>
      <c r="C50" s="146" t="s">
        <v>3647</v>
      </c>
      <c r="D50" s="154" t="s">
        <v>3648</v>
      </c>
      <c r="E50" s="2" t="s">
        <v>3649</v>
      </c>
    </row>
    <row r="51">
      <c r="A51" s="102" t="str">
        <f>IFERROR(__xludf.DUMMYFUNCTION("JOIN(""-"",""app"",SPLIT(LOWER( C51),"" ""))"),"app-you-deleted-the-file")</f>
        <v>app-you-deleted-the-file</v>
      </c>
      <c r="B51" s="160" t="s">
        <v>3969</v>
      </c>
      <c r="C51" s="146" t="s">
        <v>3970</v>
      </c>
      <c r="D51" s="154" t="s">
        <v>3971</v>
      </c>
      <c r="E51" s="2" t="s">
        <v>3972</v>
      </c>
    </row>
    <row r="52">
      <c r="A52" s="2" t="s">
        <v>3973</v>
      </c>
      <c r="B52" s="8" t="s">
        <v>3974</v>
      </c>
      <c r="C52" s="118" t="s">
        <v>3975</v>
      </c>
      <c r="D52" s="26" t="s">
        <v>3976</v>
      </c>
      <c r="E52" s="163" t="str">
        <f>IFERROR(__xludf.DUMMYFUNCTION("IFERROR(VLOOKUP(C52,IMPORTRANGE(""https://docs.google.com/spreadsheets/d/1SQRLoxD_LXfQNfB7NOxI5jlxbkDlcNPwla_2gSTySP8/edit#gid=274515254"",""Vault!$C$2:$D$100""),2,0),0)"),"以前")</f>
        <v>以前</v>
      </c>
    </row>
    <row r="53">
      <c r="A53" s="140" t="s">
        <v>3695</v>
      </c>
      <c r="C53" s="26" t="s">
        <v>3486</v>
      </c>
      <c r="D53" s="26" t="s">
        <v>3487</v>
      </c>
      <c r="E53" s="163" t="str">
        <f>IFERROR(__xludf.DUMMYFUNCTION("IFERROR(VLOOKUP(C53,IMPORTRANGE(""https://docs.google.com/spreadsheets/d/1SQRLoxD_LXfQNfB7NOxI5jlxbkDlcNPwla_2gSTySP8/edit#gid=274515254"",""Vault!$C$2:$D$100""),2,0),0)"),"アセット")</f>
        <v>アセット</v>
      </c>
    </row>
    <row r="54">
      <c r="A54" s="140" t="s">
        <v>98</v>
      </c>
      <c r="C54" s="26" t="s">
        <v>3501</v>
      </c>
      <c r="D54" s="26" t="s">
        <v>3502</v>
      </c>
      <c r="E54" s="163" t="str">
        <f>IFERROR(__xludf.DUMMYFUNCTION("IFERROR(VLOOKUP(C54,IMPORTRANGE(""https://docs.google.com/spreadsheets/d/1SQRLoxD_LXfQNfB7NOxI5jlxbkDlcNPwla_2gSTySP8/edit#gid=274515254"",""Vault!$C$2:$D$100""),2,0),0)"),"表示")</f>
        <v>表示</v>
      </c>
    </row>
    <row r="55">
      <c r="A55" s="140" t="s">
        <v>926</v>
      </c>
      <c r="C55" s="26" t="s">
        <v>927</v>
      </c>
      <c r="D55" s="26" t="s">
        <v>1034</v>
      </c>
      <c r="E55" s="163" t="str">
        <f>IFERROR(__xludf.DUMMYFUNCTION("IFERROR(VLOOKUP(C55,IMPORTRANGE(""https://docs.google.com/spreadsheets/d/1SQRLoxD_LXfQNfB7NOxI5jlxbkDlcNPwla_2gSTySP8/edit#gid=274515254"",""Vault!$C$2:$D$100""),2,0),0)"),"すべて")</f>
        <v>すべて</v>
      </c>
    </row>
    <row r="56">
      <c r="A56" s="68" t="str">
        <f>IFERROR(__xludf.DUMMYFUNCTION("JOIN(""-"",""app"",SPLIT(LOWER( C56),"" ""))"),"app-search")</f>
        <v>app-search</v>
      </c>
      <c r="C56" s="26" t="s">
        <v>219</v>
      </c>
      <c r="D56" s="26" t="s">
        <v>220</v>
      </c>
      <c r="E56" s="163" t="str">
        <f>IFERROR(__xludf.DUMMYFUNCTION("IFERROR(VLOOKUP(C56,IMPORTRANGE(""https://docs.google.com/spreadsheets/d/1SQRLoxD_LXfQNfB7NOxI5jlxbkDlcNPwla_2gSTySP8/edit#gid=274515254"",""Vault!$C$2:$D$100""),2,0),0)"),"検索")</f>
        <v>検索</v>
      </c>
    </row>
    <row r="57">
      <c r="A57" s="68" t="str">
        <f>IFERROR(__xludf.DUMMYFUNCTION("JOIN(""-"",""app"",SPLIT(LOWER( C57),"" ""))"),"app-file-name")</f>
        <v>app-file-name</v>
      </c>
      <c r="C57" s="26" t="s">
        <v>3977</v>
      </c>
      <c r="D57" s="26" t="s">
        <v>3978</v>
      </c>
      <c r="E57" s="163" t="str">
        <f>IFERROR(__xludf.DUMMYFUNCTION("IFERROR(VLOOKUP(C57,IMPORTRANGE(""https://docs.google.com/spreadsheets/d/1SQRLoxD_LXfQNfB7NOxI5jlxbkDlcNPwla_2gSTySP8/edit#gid=274515254"",""Vault!$C$2:$D$100""),2,0),0)"),"ファイル名")</f>
        <v>ファイル名</v>
      </c>
    </row>
    <row r="58">
      <c r="A58" s="68" t="str">
        <f>IFERROR(__xludf.DUMMYFUNCTION("JOIN(""-"",""app"",SPLIT(LOWER( C58),"" ""))"),"app-owner")</f>
        <v>app-owner</v>
      </c>
      <c r="C58" s="26" t="s">
        <v>2515</v>
      </c>
      <c r="D58" s="26" t="s">
        <v>2516</v>
      </c>
      <c r="E58" s="163" t="str">
        <f>IFERROR(__xludf.DUMMYFUNCTION("IFERROR(VLOOKUP(C58,IMPORTRANGE(""https://docs.google.com/spreadsheets/d/1SQRLoxD_LXfQNfB7NOxI5jlxbkDlcNPwla_2gSTySP8/edit#gid=274515254"",""Vault!$C$2:$D$100""),2,0),0)"),"所有者")</f>
        <v>所有者</v>
      </c>
    </row>
    <row r="59">
      <c r="A59" s="68" t="str">
        <f>IFERROR(__xludf.DUMMYFUNCTION("JOIN(""-"",""app"",SPLIT(LOWER( C59),"" ""))"),"app-teams")</f>
        <v>app-teams</v>
      </c>
      <c r="C59" s="26" t="s">
        <v>519</v>
      </c>
      <c r="D59" s="26" t="s">
        <v>520</v>
      </c>
      <c r="E59" s="163" t="str">
        <f>IFERROR(__xludf.DUMMYFUNCTION("IFERROR(VLOOKUP(C59,IMPORTRANGE(""https://docs.google.com/spreadsheets/d/1SQRLoxD_LXfQNfB7NOxI5jlxbkDlcNPwla_2gSTySP8/edit#gid=274515254"",""Vault!$C$2:$D$100""),2,0),0)"),"チーム")</f>
        <v>チーム</v>
      </c>
    </row>
    <row r="60">
      <c r="A60" s="68" t="str">
        <f>IFERROR(__xludf.DUMMYFUNCTION("JOIN(""-"",""app"",SPLIT(LOWER( C60),"" ""))"),"app-users")</f>
        <v>app-users</v>
      </c>
      <c r="C60" s="26" t="s">
        <v>508</v>
      </c>
      <c r="D60" s="26" t="s">
        <v>509</v>
      </c>
      <c r="E60" s="163" t="str">
        <f>IFERROR(__xludf.DUMMYFUNCTION("IFERROR(VLOOKUP(C60,IMPORTRANGE(""https://docs.google.com/spreadsheets/d/1SQRLoxD_LXfQNfB7NOxI5jlxbkDlcNPwla_2gSTySP8/edit#gid=274515254"",""Vault!$C$2:$D$100""),2,0),0)"),"ユーザー")</f>
        <v>ユーザー</v>
      </c>
    </row>
    <row r="61">
      <c r="A61" s="68" t="str">
        <f>IFERROR(__xludf.DUMMYFUNCTION("JOIN(""-"",""app"",SPLIT(LOWER( C61),"" ""))"),"app-tags")</f>
        <v>app-tags</v>
      </c>
      <c r="C61" s="26" t="s">
        <v>346</v>
      </c>
      <c r="D61" s="26" t="s">
        <v>347</v>
      </c>
      <c r="E61" s="163" t="str">
        <f>IFERROR(__xludf.DUMMYFUNCTION("IFERROR(VLOOKUP(C61,IMPORTRANGE(""https://docs.google.com/spreadsheets/d/1SQRLoxD_LXfQNfB7NOxI5jlxbkDlcNPwla_2gSTySP8/edit#gid=274515254"",""Vault!$C$2:$D$100""),2,0),0)"),"タグ")</f>
        <v>タグ</v>
      </c>
    </row>
    <row r="62">
      <c r="A62" s="68" t="str">
        <f>IFERROR(__xludf.DUMMYFUNCTION("JOIN(""-"",""app"",SPLIT(LOWER( C62),"" ""))"),"app-create-new-folder")</f>
        <v>app-create-new-folder</v>
      </c>
      <c r="B62" s="20" t="s">
        <v>3979</v>
      </c>
      <c r="C62" s="26" t="s">
        <v>3980</v>
      </c>
      <c r="D62" s="26" t="s">
        <v>3981</v>
      </c>
      <c r="E62" s="163" t="str">
        <f>IFERROR(__xludf.DUMMYFUNCTION("IFERROR(VLOOKUP(C62,IMPORTRANGE(""https://docs.google.com/spreadsheets/d/1SQRLoxD_LXfQNfB7NOxI5jlxbkDlcNPwla_2gSTySP8/edit#gid=274515254"",""Vault!$C$2:$D$100""),2,0),0)"),"新規フォルダを作成")</f>
        <v>新規フォルダを作成</v>
      </c>
    </row>
    <row r="63">
      <c r="A63" s="68" t="str">
        <f>IFERROR(__xludf.DUMMYFUNCTION("JOIN(""-"",""app"",SPLIT(LOWER( C63),"" ""))"),"app-filters")</f>
        <v>app-filters</v>
      </c>
      <c r="B63" s="20" t="s">
        <v>3982</v>
      </c>
      <c r="C63" s="26" t="s">
        <v>2733</v>
      </c>
      <c r="D63" s="26" t="s">
        <v>2734</v>
      </c>
      <c r="E63" s="163" t="str">
        <f>IFERROR(__xludf.DUMMYFUNCTION("IFERROR(VLOOKUP(C63,IMPORTRANGE(""https://docs.google.com/spreadsheets/d/1SQRLoxD_LXfQNfB7NOxI5jlxbkDlcNPwla_2gSTySP8/edit#gid=274515254"",""Vault!$C$2:$D$100""),2,0),0)"),"フィルタ")</f>
        <v>フィルタ</v>
      </c>
    </row>
    <row r="64">
      <c r="A64" s="68" t="str">
        <f>IFERROR(__xludf.DUMMYFUNCTION("JOIN(""-"",""app"",SPLIT(LOWER( C64),"" ""))"),"app-clear-all")</f>
        <v>app-clear-all</v>
      </c>
      <c r="C64" s="26" t="s">
        <v>2762</v>
      </c>
      <c r="D64" s="26" t="s">
        <v>2763</v>
      </c>
      <c r="E64" s="163" t="str">
        <f>IFERROR(__xludf.DUMMYFUNCTION("IFERROR(VLOOKUP(C64,IMPORTRANGE(""https://docs.google.com/spreadsheets/d/1SQRLoxD_LXfQNfB7NOxI5jlxbkDlcNPwla_2gSTySP8/edit#gid=274515254"",""Vault!$C$2:$D$100""),2,0),0)"),"すべてクリア")</f>
        <v>すべてクリア</v>
      </c>
    </row>
    <row r="65">
      <c r="A65" s="68" t="str">
        <f>IFERROR(__xludf.DUMMYFUNCTION("JOIN(""-"",""app"",SPLIT(LOWER( C65),"" ""))"),"app-owner")</f>
        <v>app-owner</v>
      </c>
      <c r="C65" s="26" t="s">
        <v>2515</v>
      </c>
      <c r="D65" s="26" t="s">
        <v>2516</v>
      </c>
      <c r="E65" s="163" t="str">
        <f>IFERROR(__xludf.DUMMYFUNCTION("IFERROR(VLOOKUP(C65,IMPORTRANGE(""https://docs.google.com/spreadsheets/d/1SQRLoxD_LXfQNfB7NOxI5jlxbkDlcNPwla_2gSTySP8/edit#gid=274515254"",""Vault!$C$2:$D$100""),2,0),0)"),"所有者")</f>
        <v>所有者</v>
      </c>
    </row>
    <row r="66">
      <c r="A66" s="68" t="str">
        <f>IFERROR(__xludf.DUMMYFUNCTION("JOIN(""-"",""app"",SPLIT(LOWER( C66),"" ""))"),"app-users")</f>
        <v>app-users</v>
      </c>
      <c r="C66" s="26" t="s">
        <v>508</v>
      </c>
      <c r="D66" s="26" t="s">
        <v>509</v>
      </c>
      <c r="E66" s="163" t="str">
        <f>IFERROR(__xludf.DUMMYFUNCTION("IFERROR(VLOOKUP(C66,IMPORTRANGE(""https://docs.google.com/spreadsheets/d/1SQRLoxD_LXfQNfB7NOxI5jlxbkDlcNPwla_2gSTySP8/edit#gid=274515254"",""Vault!$C$2:$D$100""),2,0),0)"),"ユーザー")</f>
        <v>ユーザー</v>
      </c>
    </row>
    <row r="67">
      <c r="A67" s="68" t="str">
        <f>IFERROR(__xludf.DUMMYFUNCTION("JOIN(""-"",""app"",SPLIT(LOWER( C67),"" ""))"),"app-teams")</f>
        <v>app-teams</v>
      </c>
      <c r="C67" s="26" t="s">
        <v>519</v>
      </c>
      <c r="D67" s="26" t="s">
        <v>520</v>
      </c>
      <c r="E67" s="163" t="str">
        <f>IFERROR(__xludf.DUMMYFUNCTION("IFERROR(VLOOKUP(C67,IMPORTRANGE(""https://docs.google.com/spreadsheets/d/1SQRLoxD_LXfQNfB7NOxI5jlxbkDlcNPwla_2gSTySP8/edit#gid=274515254"",""Vault!$C$2:$D$100""),2,0),0)"),"チーム")</f>
        <v>チーム</v>
      </c>
    </row>
    <row r="68">
      <c r="A68" s="68" t="str">
        <f>IFERROR(__xludf.DUMMYFUNCTION("JOIN(""-"",""app"",SPLIT(LOWER( C68),"" ""))"),"app-tags")</f>
        <v>app-tags</v>
      </c>
      <c r="C68" s="26" t="s">
        <v>346</v>
      </c>
      <c r="D68" s="26" t="s">
        <v>347</v>
      </c>
      <c r="E68" s="163" t="str">
        <f>IFERROR(__xludf.DUMMYFUNCTION("IFERROR(VLOOKUP(C68,IMPORTRANGE(""https://docs.google.com/spreadsheets/d/1SQRLoxD_LXfQNfB7NOxI5jlxbkDlcNPwla_2gSTySP8/edit#gid=274515254"",""Vault!$C$2:$D$100""),2,0),0)"),"タグ")</f>
        <v>タグ</v>
      </c>
    </row>
    <row r="69">
      <c r="A69" s="68" t="str">
        <f>IFERROR(__xludf.DUMMYFUNCTION("JOIN(""-"",""app"",SPLIT(LOWER( C69),"" ""))"),"app-none")</f>
        <v>app-none</v>
      </c>
      <c r="C69" s="26" t="s">
        <v>439</v>
      </c>
      <c r="D69" s="26" t="s">
        <v>440</v>
      </c>
      <c r="E69" s="163" t="str">
        <f>IFERROR(__xludf.DUMMYFUNCTION("IFERROR(VLOOKUP(C69,IMPORTRANGE(""https://docs.google.com/spreadsheets/d/1SQRLoxD_LXfQNfB7NOxI5jlxbkDlcNPwla_2gSTySP8/edit#gid=274515254"",""Vault!$C$2:$D$100""),2,0),0)"),"なし")</f>
        <v>なし</v>
      </c>
    </row>
    <row r="70">
      <c r="A70" s="68" t="str">
        <f>IFERROR(__xludf.DUMMYFUNCTION("JOIN(""-"",""app"",SPLIT(LOWER( C70),"" ""))"),"app-search")</f>
        <v>app-search</v>
      </c>
      <c r="C70" s="26" t="s">
        <v>219</v>
      </c>
      <c r="D70" s="63" t="s">
        <v>220</v>
      </c>
      <c r="E70" s="163" t="str">
        <f>IFERROR(__xludf.DUMMYFUNCTION("IFERROR(VLOOKUP(C70,IMPORTRANGE(""https://docs.google.com/spreadsheets/d/1SQRLoxD_LXfQNfB7NOxI5jlxbkDlcNPwla_2gSTySP8/edit#gid=274515254"",""Vault!$C$2:$D$100""),2,0),0)"),"検索")</f>
        <v>検索</v>
      </c>
    </row>
    <row r="71">
      <c r="A71" s="140" t="s">
        <v>3983</v>
      </c>
      <c r="C71" s="26" t="s">
        <v>3984</v>
      </c>
      <c r="D71" s="26" t="s">
        <v>3985</v>
      </c>
      <c r="E71" s="163" t="str">
        <f>IFERROR(__xludf.DUMMYFUNCTION("IFERROR(VLOOKUP(C71,IMPORTRANGE(""https://docs.google.com/spreadsheets/d/1SQRLoxD_LXfQNfB7NOxI5jlxbkDlcNPwla_2gSTySP8/edit#gid=274515254"",""Vault!$C$2:$D$100""),2,0),0)"),"ブックマーク済み")</f>
        <v>ブックマーク済み</v>
      </c>
    </row>
    <row r="72">
      <c r="A72" s="140" t="s">
        <v>3718</v>
      </c>
      <c r="C72" s="26" t="s">
        <v>3719</v>
      </c>
      <c r="D72" s="26" t="s">
        <v>3720</v>
      </c>
      <c r="E72" s="163" t="str">
        <f>IFERROR(__xludf.DUMMYFUNCTION("IFERROR(VLOOKUP(C72,IMPORTRANGE(""https://docs.google.com/spreadsheets/d/1SQRLoxD_LXfQNfB7NOxI5jlxbkDlcNPwla_2gSTySP8/edit#gid=274515254"",""Vault!$C$2:$D$100""),2,0),0)"),"アーカイブ済み")</f>
        <v>アーカイブ済み</v>
      </c>
    </row>
    <row r="73">
      <c r="A73" s="140" t="s">
        <v>3986</v>
      </c>
      <c r="C73" s="26" t="s">
        <v>3987</v>
      </c>
      <c r="D73" s="26" t="s">
        <v>3988</v>
      </c>
      <c r="E73" s="163" t="str">
        <f>IFERROR(__xludf.DUMMYFUNCTION("IFERROR(VLOOKUP(C73,IMPORTRANGE(""https://docs.google.com/spreadsheets/d/1SQRLoxD_LXfQNfB7NOxI5jlxbkDlcNPwla_2gSTySP8/edit#gid=274515254"",""Vault!$C$2:$D$100""),2,0),0)"),"共有中")</f>
        <v>共有中</v>
      </c>
    </row>
    <row r="74">
      <c r="A74" s="140" t="s">
        <v>2747</v>
      </c>
      <c r="C74" s="26" t="s">
        <v>2748</v>
      </c>
      <c r="D74" s="26" t="s">
        <v>2749</v>
      </c>
      <c r="E74" s="163" t="str">
        <f>IFERROR(__xludf.DUMMYFUNCTION("IFERROR(VLOOKUP(C74,IMPORTRANGE(""https://docs.google.com/spreadsheets/d/1SQRLoxD_LXfQNfB7NOxI5jlxbkDlcNPwla_2gSTySP8/edit#gid=274515254"",""Vault!$C$2:$D$100""),2,0),0)"),"フィルタを適用")</f>
        <v>フィルタを適用</v>
      </c>
    </row>
    <row r="75">
      <c r="A75" s="2" t="s">
        <v>3989</v>
      </c>
      <c r="B75" s="8" t="s">
        <v>3990</v>
      </c>
      <c r="C75" s="118" t="s">
        <v>3991</v>
      </c>
      <c r="D75" s="118" t="s">
        <v>3992</v>
      </c>
      <c r="E75" s="163" t="str">
        <f>IFERROR(__xludf.DUMMYFUNCTION("IFERROR(VLOOKUP(C75,IMPORTRANGE(""https://docs.google.com/spreadsheets/d/1SQRLoxD_LXfQNfB7NOxI5jlxbkDlcNPwla_2gSTySP8/edit#gid=274515254"",""Vault!$C$2:$D$100""),2,0),0)"),"日付の利用不可")</f>
        <v>日付の利用不可</v>
      </c>
    </row>
    <row r="76">
      <c r="A76" s="140" t="s">
        <v>3993</v>
      </c>
      <c r="B76" s="20" t="s">
        <v>3994</v>
      </c>
      <c r="C76" s="26" t="s">
        <v>3995</v>
      </c>
      <c r="D76" s="26" t="s">
        <v>3996</v>
      </c>
      <c r="E76" s="163" t="str">
        <f>IFERROR(__xludf.DUMMYFUNCTION("IFERROR(VLOOKUP(C76,IMPORTRANGE(""https://docs.google.com/spreadsheets/d/1SQRLoxD_LXfQNfB7NOxI5jlxbkDlcNPwla_2gSTySP8/edit#gid=274515254"",""Vault!$C$2:$D$100""),2,0),0)"),"共有されたファイル／フォルダはありません")</f>
        <v>共有されたファイル／フォルダはありません</v>
      </c>
    </row>
    <row r="77">
      <c r="A77" s="165" t="str">
        <f>IFERROR(__xludf.DUMMYFUNCTION("JOIN(""-"",""app"",SPLIT(LOWER( C77),"" ""))"),"app-selected")</f>
        <v>app-selected</v>
      </c>
      <c r="B77" s="128" t="s">
        <v>3997</v>
      </c>
      <c r="C77" s="106" t="s">
        <v>757</v>
      </c>
      <c r="D77" s="106" t="s">
        <v>3707</v>
      </c>
      <c r="E77" s="115" t="s">
        <v>3927</v>
      </c>
    </row>
    <row r="78">
      <c r="A78" s="165" t="str">
        <f>IFERROR(__xludf.DUMMYFUNCTION("JOIN(""-"",""app"",SPLIT(LOWER( C78),"" ""))"),"app-files")</f>
        <v>app-files</v>
      </c>
      <c r="B78" s="103" t="s">
        <v>3998</v>
      </c>
      <c r="C78" s="106" t="s">
        <v>3215</v>
      </c>
      <c r="D78" s="106" t="s">
        <v>3216</v>
      </c>
      <c r="E78" s="163" t="str">
        <f>IFERROR(__xludf.DUMMYFUNCTION("IFERROR(VLOOKUP(C78,IMPORTRANGE(""https://docs.google.com/spreadsheets/d/1SQRLoxD_LXfQNfB7NOxI5jlxbkDlcNPwla_2gSTySP8/edit#gid=274515254"",""Vault!$C$2:$D$100""),2,0),0)"),"ファイル")</f>
        <v>ファイル</v>
      </c>
    </row>
    <row r="79">
      <c r="A79" s="165" t="str">
        <f>IFERROR(__xludf.DUMMYFUNCTION("JOIN(""-"",""app"",SPLIT(LOWER( C79),"" ""))"),"app-folders")</f>
        <v>app-folders</v>
      </c>
      <c r="C79" s="106" t="s">
        <v>3218</v>
      </c>
      <c r="D79" s="106" t="s">
        <v>3219</v>
      </c>
      <c r="E79" s="163" t="str">
        <f>IFERROR(__xludf.DUMMYFUNCTION("IFERROR(VLOOKUP(C79,IMPORTRANGE(""https://docs.google.com/spreadsheets/d/1SQRLoxD_LXfQNfB7NOxI5jlxbkDlcNPwla_2gSTySP8/edit#gid=274515254"",""Vault!$C$2:$D$100""),2,0),0)"),"フォルダ")</f>
        <v>フォルダ</v>
      </c>
    </row>
    <row r="80">
      <c r="A80" s="68" t="str">
        <f>IFERROR(__xludf.DUMMYFUNCTION("JOIN(""-"",""app"",SPLIT(LOWER( C80),"" ""))"),"app-none")</f>
        <v>app-none</v>
      </c>
      <c r="B80" s="128" t="s">
        <v>3999</v>
      </c>
      <c r="C80" s="106" t="s">
        <v>439</v>
      </c>
      <c r="D80" s="106" t="s">
        <v>440</v>
      </c>
      <c r="E80" s="163" t="str">
        <f>IFERROR(__xludf.DUMMYFUNCTION("IFERROR(VLOOKUP(C80,IMPORTRANGE(""https://docs.google.com/spreadsheets/d/1SQRLoxD_LXfQNfB7NOxI5jlxbkDlcNPwla_2gSTySP8/edit#gid=274515254"",""Vault!$C$2:$D$100""),2,0),0)"),"なし")</f>
        <v>なし</v>
      </c>
    </row>
    <row r="81">
      <c r="A81" s="147" t="str">
        <f>IFERROR(__xludf.DUMMYFUNCTION("JOIN(""-"",""app"",SPLIT(LOWER( C81),"" ""))"),"app-files")</f>
        <v>app-files</v>
      </c>
      <c r="B81" s="106"/>
      <c r="C81" s="121" t="s">
        <v>3215</v>
      </c>
      <c r="D81" s="122" t="s">
        <v>3216</v>
      </c>
      <c r="E81" s="163" t="str">
        <f>IFERROR(__xludf.DUMMYFUNCTION("IFERROR(VLOOKUP(C81,IMPORTRANGE(""https://docs.google.com/spreadsheets/d/1SQRLoxD_LXfQNfB7NOxI5jlxbkDlcNPwla_2gSTySP8/edit#gid=274515254"",""Vault!$C$2:$D$100""),2,0),0)"),"ファイル")</f>
        <v>ファイル</v>
      </c>
    </row>
    <row r="82">
      <c r="A82" s="147" t="str">
        <f>IFERROR(__xludf.DUMMYFUNCTION("JOIN(""-"",""app"",SPLIT(LOWER( C82),"" ""))"),"app-folders")</f>
        <v>app-folders</v>
      </c>
      <c r="B82" s="106"/>
      <c r="C82" s="121" t="s">
        <v>3218</v>
      </c>
      <c r="D82" s="122" t="s">
        <v>3219</v>
      </c>
      <c r="E82" s="163" t="str">
        <f>IFERROR(__xludf.DUMMYFUNCTION("IFERROR(VLOOKUP(C82,IMPORTRANGE(""https://docs.google.com/spreadsheets/d/1SQRLoxD_LXfQNfB7NOxI5jlxbkDlcNPwla_2gSTySP8/edit#gid=274515254"",""Vault!$C$2:$D$100""),2,0),0)"),"フォルダ")</f>
        <v>フォルダ</v>
      </c>
    </row>
    <row r="83">
      <c r="A83" s="147" t="str">
        <f>IFERROR(__xludf.DUMMYFUNCTION("JOIN(""-"",""app"",SPLIT(LOWER( C83),"" ""))"),"app-last-week")</f>
        <v>app-last-week</v>
      </c>
      <c r="B83" s="106"/>
      <c r="C83" s="121" t="s">
        <v>4000</v>
      </c>
      <c r="D83" s="106" t="s">
        <v>3944</v>
      </c>
      <c r="E83" s="163" t="str">
        <f>IFERROR(__xludf.DUMMYFUNCTION("IFERROR(VLOOKUP(C83,IMPORTRANGE(""https://docs.google.com/spreadsheets/d/1SQRLoxD_LXfQNfB7NOxI5jlxbkDlcNPwla_2gSTySP8/edit#gid=274515254"",""Vault!$C$2:$D$100""),2,0),0)"),"先週")</f>
        <v>先週</v>
      </c>
    </row>
    <row r="84">
      <c r="A84" s="147" t="str">
        <f>IFERROR(__xludf.DUMMYFUNCTION("JOIN(""-"",""app"",SPLIT(LOWER( C84),"" ""))"),"app-last-month")</f>
        <v>app-last-month</v>
      </c>
      <c r="B84" s="106"/>
      <c r="C84" s="121" t="s">
        <v>4001</v>
      </c>
      <c r="D84" s="106" t="s">
        <v>3946</v>
      </c>
      <c r="E84" s="163" t="str">
        <f>IFERROR(__xludf.DUMMYFUNCTION("IFERROR(VLOOKUP(C84,IMPORTRANGE(""https://docs.google.com/spreadsheets/d/1SQRLoxD_LXfQNfB7NOxI5jlxbkDlcNPwla_2gSTySP8/edit#gid=274515254"",""Vault!$C$2:$D$100""),2,0),0)"),"先月")</f>
        <v>先月</v>
      </c>
    </row>
    <row r="85">
      <c r="A85" s="147" t="str">
        <f>IFERROR(__xludf.DUMMYFUNCTION("JOIN(""-"",""app"",SPLIT(LOWER( C85),"" ""))"),"app-last-year")</f>
        <v>app-last-year</v>
      </c>
      <c r="B85" s="106"/>
      <c r="C85" s="121" t="s">
        <v>4002</v>
      </c>
      <c r="D85" s="106" t="s">
        <v>3948</v>
      </c>
      <c r="E85" s="163" t="str">
        <f>IFERROR(__xludf.DUMMYFUNCTION("IFERROR(VLOOKUP(C85,IMPORTRANGE(""https://docs.google.com/spreadsheets/d/1SQRLoxD_LXfQNfB7NOxI5jlxbkDlcNPwla_2gSTySP8/edit#gid=274515254"",""Vault!$C$2:$D$100""),2,0),0)"),"昨年")</f>
        <v>昨年</v>
      </c>
    </row>
    <row r="86">
      <c r="A86" s="147" t="str">
        <f>IFERROR(__xludf.DUMMYFUNCTION("JOIN(""-"",""app"",SPLIT(LOWER( C86),"" ""))"),"app-earlier")</f>
        <v>app-earlier</v>
      </c>
      <c r="B86" s="106"/>
      <c r="C86" s="121" t="s">
        <v>3975</v>
      </c>
      <c r="D86" s="121" t="s">
        <v>3976</v>
      </c>
      <c r="E86" s="163" t="str">
        <f>IFERROR(__xludf.DUMMYFUNCTION("IFERROR(VLOOKUP(C86,IMPORTRANGE(""https://docs.google.com/spreadsheets/d/1SQRLoxD_LXfQNfB7NOxI5jlxbkDlcNPwla_2gSTySP8/edit#gid=274515254"",""Vault!$C$2:$D$100""),2,0),0)"),"以前")</f>
        <v>以前</v>
      </c>
    </row>
    <row r="87">
      <c r="A87" s="147" t="str">
        <f>IFERROR(__xludf.DUMMYFUNCTION("JOIN(""-"",""app"",SPLIT(LOWER( C87),"" ""))"),"app-info")</f>
        <v>app-info</v>
      </c>
      <c r="B87" s="106"/>
      <c r="C87" s="121" t="s">
        <v>3616</v>
      </c>
      <c r="D87" s="121" t="s">
        <v>3617</v>
      </c>
      <c r="E87" s="163" t="str">
        <f>IFERROR(__xludf.DUMMYFUNCTION("IFERROR(VLOOKUP(C87,IMPORTRANGE(""https://docs.google.com/spreadsheets/d/1SQRLoxD_LXfQNfB7NOxI5jlxbkDlcNPwla_2gSTySP8/edit#gid=274515254"",""Vault!$C$2:$D$100""),2,0),0)"),"情報")</f>
        <v>情報</v>
      </c>
    </row>
    <row r="88">
      <c r="A88" s="147" t="str">
        <f>IFERROR(__xludf.DUMMYFUNCTION("JOIN(""-"",""app"",SPLIT(LOWER( C88),"" ""))"),"app-shared-by")</f>
        <v>app-shared-by</v>
      </c>
      <c r="B88" s="106"/>
      <c r="C88" s="121" t="s">
        <v>3953</v>
      </c>
      <c r="D88" s="106" t="s">
        <v>3954</v>
      </c>
      <c r="E88" s="163" t="str">
        <f>IFERROR(__xludf.DUMMYFUNCTION("IFERROR(VLOOKUP(C88,IMPORTRANGE(""https://docs.google.com/spreadsheets/d/1SQRLoxD_LXfQNfB7NOxI5jlxbkDlcNPwla_2gSTySP8/edit#gid=274515254"",""Vault!$C$2:$D$100""),2,0),0)"),"共有者")</f>
        <v>共有者</v>
      </c>
    </row>
    <row r="89">
      <c r="A89" s="147" t="str">
        <f>IFERROR(__xludf.DUMMYFUNCTION("JOIN(""-"",""app"",SPLIT(LOWER( C89),"" ""))"),"app-rename")</f>
        <v>app-rename</v>
      </c>
      <c r="B89" s="106"/>
      <c r="C89" s="121" t="s">
        <v>1721</v>
      </c>
      <c r="D89" s="121" t="s">
        <v>1722</v>
      </c>
      <c r="E89" s="163" t="str">
        <f>IFERROR(__xludf.DUMMYFUNCTION("IFERROR(VLOOKUP(C89,IMPORTRANGE(""https://docs.google.com/spreadsheets/d/1SQRLoxD_LXfQNfB7NOxI5jlxbkDlcNPwla_2gSTySP8/edit#gid=274515254"",""Vault!$C$2:$D$100""),2,0),0)"),"名前変更")</f>
        <v>名前変更</v>
      </c>
    </row>
    <row r="90">
      <c r="A90" s="147" t="str">
        <f>IFERROR(__xludf.DUMMYFUNCTION("JOIN(""-"",""app"",SPLIT(LOWER( C90),"" ""))"),"app-view-activity")</f>
        <v>app-view-activity</v>
      </c>
      <c r="B90" s="106"/>
      <c r="C90" s="121" t="s">
        <v>4003</v>
      </c>
      <c r="D90" s="121" t="s">
        <v>4004</v>
      </c>
      <c r="E90" s="163" t="str">
        <f>IFERROR(__xludf.DUMMYFUNCTION("IFERROR(VLOOKUP(C90,IMPORTRANGE(""https://docs.google.com/spreadsheets/d/1SQRLoxD_LXfQNfB7NOxI5jlxbkDlcNPwla_2gSTySP8/edit#gid=274515254"",""Vault!$C$2:$D$100""),2,0),0)"),"アクティビティを表示")</f>
        <v>アクティビティを表示</v>
      </c>
    </row>
    <row r="91">
      <c r="A91" s="147" t="str">
        <f>IFERROR(__xludf.DUMMYFUNCTION("JOIN(""-"",""app"",SPLIT(LOWER( C91),"" ""))"),"app-download")</f>
        <v>app-download</v>
      </c>
      <c r="B91" s="106"/>
      <c r="C91" s="121" t="s">
        <v>3505</v>
      </c>
      <c r="D91" s="121" t="s">
        <v>3506</v>
      </c>
      <c r="E91" s="163" t="str">
        <f>IFERROR(__xludf.DUMMYFUNCTION("IFERROR(VLOOKUP(C91,IMPORTRANGE(""https://docs.google.com/spreadsheets/d/1SQRLoxD_LXfQNfB7NOxI5jlxbkDlcNPwla_2gSTySP8/edit#gid=274515254"",""Vault!$C$2:$D$100""),2,0),0)"),"ダウンロード")</f>
        <v>ダウンロード</v>
      </c>
    </row>
    <row r="92">
      <c r="A92" s="147" t="str">
        <f>IFERROR(__xludf.DUMMYFUNCTION("JOIN(""-"",""app"",SPLIT(LOWER( C92),"" ""))"),"app-move-to")</f>
        <v>app-move-to</v>
      </c>
      <c r="B92" s="106"/>
      <c r="C92" s="121" t="s">
        <v>4005</v>
      </c>
      <c r="D92" s="121" t="s">
        <v>3634</v>
      </c>
      <c r="E92" s="163" t="str">
        <f>IFERROR(__xludf.DUMMYFUNCTION("IFERROR(VLOOKUP(C92,IMPORTRANGE(""https://docs.google.com/spreadsheets/d/1SQRLoxD_LXfQNfB7NOxI5jlxbkDlcNPwla_2gSTySP8/edit#gid=274515254"",""Vault!$C$2:$D$100""),2,0),0)"),"移動先")</f>
        <v>移動先</v>
      </c>
    </row>
    <row r="93">
      <c r="A93" s="147" t="str">
        <f>IFERROR(__xludf.DUMMYFUNCTION("JOIN(""-"",""app"",SPLIT(LOWER( C93),"" ""))"),"app-create-ticket")</f>
        <v>app-create-ticket</v>
      </c>
      <c r="B93" s="106"/>
      <c r="C93" s="121" t="s">
        <v>3583</v>
      </c>
      <c r="D93" s="121" t="s">
        <v>399</v>
      </c>
      <c r="E93" s="163" t="str">
        <f>IFERROR(__xludf.DUMMYFUNCTION("IFERROR(VLOOKUP(C93,IMPORTRANGE(""https://docs.google.com/spreadsheets/d/1SQRLoxD_LXfQNfB7NOxI5jlxbkDlcNPwla_2gSTySP8/edit#gid=274515254"",""Vault!$C$2:$D$100""),2,0),0)"),"チケットの作成")</f>
        <v>チケットの作成</v>
      </c>
    </row>
    <row r="94">
      <c r="A94" s="147" t="str">
        <f>IFERROR(__xludf.DUMMYFUNCTION("JOIN(""-"",""app"",SPLIT(LOWER( C94),"" ""))"),"app-versions")</f>
        <v>app-versions</v>
      </c>
      <c r="B94" s="106"/>
      <c r="C94" s="121" t="s">
        <v>3663</v>
      </c>
      <c r="D94" s="121" t="s">
        <v>3664</v>
      </c>
      <c r="E94" s="163" t="str">
        <f>IFERROR(__xludf.DUMMYFUNCTION("IFERROR(VLOOKUP(C94,IMPORTRANGE(""https://docs.google.com/spreadsheets/d/1SQRLoxD_LXfQNfB7NOxI5jlxbkDlcNPwla_2gSTySP8/edit#gid=274515254"",""Vault!$C$2:$D$100""),2,0),0)"),"バージョン")</f>
        <v>バージョン</v>
      </c>
    </row>
    <row r="95">
      <c r="A95" s="147" t="str">
        <f>IFERROR(__xludf.DUMMYFUNCTION("JOIN(""-"",""app"",SPLIT(LOWER( C95),"" ""))"),"app-upload-new-version")</f>
        <v>app-upload-new-version</v>
      </c>
      <c r="B95" s="106"/>
      <c r="C95" s="121" t="s">
        <v>4006</v>
      </c>
      <c r="D95" s="106" t="s">
        <v>3653</v>
      </c>
      <c r="E95" s="163" t="str">
        <f>IFERROR(__xludf.DUMMYFUNCTION("IFERROR(VLOOKUP(C95,IMPORTRANGE(""https://docs.google.com/spreadsheets/d/1SQRLoxD_LXfQNfB7NOxI5jlxbkDlcNPwla_2gSTySP8/edit#gid=274515254"",""Vault!$C$2:$D$100""),2,0),0)"),"新バージョンをアップロード")</f>
        <v>新バージョンをアップロード</v>
      </c>
    </row>
    <row r="96">
      <c r="A96" s="147" t="str">
        <f>IFERROR(__xludf.DUMMYFUNCTION("JOIN(""-"",""app"",SPLIT(LOWER( C96),"" ""))"),"app-share")</f>
        <v>app-share</v>
      </c>
      <c r="B96" s="106"/>
      <c r="C96" s="121" t="s">
        <v>501</v>
      </c>
      <c r="D96" s="121" t="s">
        <v>502</v>
      </c>
      <c r="E96" s="163" t="str">
        <f>IFERROR(__xludf.DUMMYFUNCTION("IFERROR(VLOOKUP(C96,IMPORTRANGE(""https://docs.google.com/spreadsheets/d/1SQRLoxD_LXfQNfB7NOxI5jlxbkDlcNPwla_2gSTySP8/edit#gid=274515254"",""Vault!$C$2:$D$100""),2,0),0)"),"共有")</f>
        <v>共有</v>
      </c>
    </row>
    <row r="97">
      <c r="A97" s="147" t="str">
        <f>IFERROR(__xludf.DUMMYFUNCTION("JOIN(""-"",""app"",SPLIT(LOWER( C97),"" ""))"),"app-sharing")</f>
        <v>app-sharing</v>
      </c>
      <c r="B97" s="106"/>
      <c r="C97" s="121" t="s">
        <v>3987</v>
      </c>
      <c r="D97" s="121" t="s">
        <v>4007</v>
      </c>
      <c r="E97" s="163" t="str">
        <f>IFERROR(__xludf.DUMMYFUNCTION("IFERROR(VLOOKUP(C97,IMPORTRANGE(""https://docs.google.com/spreadsheets/d/1SQRLoxD_LXfQNfB7NOxI5jlxbkDlcNPwla_2gSTySP8/edit#gid=274515254"",""Vault!$C$2:$D$100""),2,0),0)"),"共有中")</f>
        <v>共有中</v>
      </c>
    </row>
    <row r="98">
      <c r="A98" s="147" t="str">
        <f>IFERROR(__xludf.DUMMYFUNCTION("JOIN(""-"",""app"",SPLIT(LOWER( C98),"" ""))"),"app-created")</f>
        <v>app-created</v>
      </c>
      <c r="B98" s="106"/>
      <c r="C98" s="121" t="s">
        <v>3622</v>
      </c>
      <c r="D98" s="121" t="s">
        <v>3623</v>
      </c>
      <c r="E98" s="163" t="str">
        <f>IFERROR(__xludf.DUMMYFUNCTION("IFERROR(VLOOKUP(C98,IMPORTRANGE(""https://docs.google.com/spreadsheets/d/1SQRLoxD_LXfQNfB7NOxI5jlxbkDlcNPwla_2gSTySP8/edit#gid=274515254"",""Vault!$C$2:$D$100""),2,0),0)"),"作成済み")</f>
        <v>作成済み</v>
      </c>
    </row>
    <row r="99">
      <c r="A99" s="147" t="str">
        <f>IFERROR(__xludf.DUMMYFUNCTION("JOIN(""-"",""app"",SPLIT(LOWER( C99),"" ""))"),"app-modified")</f>
        <v>app-modified</v>
      </c>
      <c r="B99" s="106"/>
      <c r="C99" s="121" t="s">
        <v>3625</v>
      </c>
      <c r="D99" s="121" t="s">
        <v>3626</v>
      </c>
      <c r="E99" s="163" t="str">
        <f>IFERROR(__xludf.DUMMYFUNCTION("IFERROR(VLOOKUP(C99,IMPORTRANGE(""https://docs.google.com/spreadsheets/d/1SQRLoxD_LXfQNfB7NOxI5jlxbkDlcNPwla_2gSTySP8/edit#gid=274515254"",""Vault!$C$2:$D$100""),2,0),0)"),"修正済み")</f>
        <v>修正済み</v>
      </c>
    </row>
    <row r="100">
      <c r="A100" s="147" t="str">
        <f>IFERROR(__xludf.DUMMYFUNCTION("JOIN(""-"",""app"",SPLIT(LOWER( C100),"" ""))"),"app-download-all")</f>
        <v>app-download-all</v>
      </c>
      <c r="B100" s="106"/>
      <c r="C100" s="121" t="s">
        <v>3628</v>
      </c>
      <c r="D100" s="106" t="s">
        <v>3629</v>
      </c>
      <c r="E100" s="163" t="str">
        <f>IFERROR(__xludf.DUMMYFUNCTION("IFERROR(VLOOKUP(C100,IMPORTRANGE(""https://docs.google.com/spreadsheets/d/1SQRLoxD_LXfQNfB7NOxI5jlxbkDlcNPwla_2gSTySP8/edit#gid=274515254"",""Vault!$C$2:$D$100""),2,0),0)"),"すべてダウンロード")</f>
        <v>すべてダウンロード</v>
      </c>
    </row>
    <row r="101">
      <c r="A101" s="147" t="str">
        <f>IFERROR(__xludf.DUMMYFUNCTION("JOIN(""-"",""app"",SPLIT(LOWER( C101),"" ""))"),"app-show-versions")</f>
        <v>app-show-versions</v>
      </c>
      <c r="B101" s="106"/>
      <c r="C101" s="121" t="s">
        <v>4008</v>
      </c>
      <c r="D101" s="106" t="s">
        <v>3660</v>
      </c>
      <c r="E101" s="163" t="str">
        <f>IFERROR(__xludf.DUMMYFUNCTION("IFERROR(VLOOKUP(C101,IMPORTRANGE(""https://docs.google.com/spreadsheets/d/1SQRLoxD_LXfQNfB7NOxI5jlxbkDlcNPwla_2gSTySP8/edit#gid=274515254"",""Vault!$C$2:$D$100""),2,0),0)"),"バーションを表示")</f>
        <v>バーションを表示</v>
      </c>
    </row>
    <row r="102">
      <c r="A102" s="147" t="str">
        <f>IFERROR(__xludf.DUMMYFUNCTION("JOIN(""-"",""app"",SPLIT(LOWER( C102),"" ""))"),"app-search-teams")</f>
        <v>app-search-teams</v>
      </c>
      <c r="B102" s="106"/>
      <c r="C102" s="121" t="s">
        <v>1670</v>
      </c>
      <c r="D102" s="121" t="s">
        <v>1671</v>
      </c>
      <c r="E102" s="163" t="str">
        <f>IFERROR(__xludf.DUMMYFUNCTION("IFERROR(VLOOKUP(C102,IMPORTRANGE(""https://docs.google.com/spreadsheets/d/1SQRLoxD_LXfQNfB7NOxI5jlxbkDlcNPwla_2gSTySP8/edit#gid=274515254"",""Vault!$C$2:$D$100""),2,0),0)"),"チーム検索")</f>
        <v>チーム検索</v>
      </c>
    </row>
    <row r="103">
      <c r="B103" s="7"/>
      <c r="C103" s="66"/>
      <c r="D103" s="66"/>
    </row>
    <row r="104">
      <c r="B104" s="7"/>
      <c r="C104" s="66"/>
      <c r="D104" s="66"/>
    </row>
    <row r="105">
      <c r="B105" s="7"/>
      <c r="C105" s="66"/>
      <c r="D105" s="66"/>
    </row>
    <row r="106">
      <c r="B106" s="7"/>
      <c r="C106" s="66"/>
      <c r="D106" s="66"/>
    </row>
    <row r="107">
      <c r="B107" s="7"/>
      <c r="C107" s="66"/>
      <c r="D107" s="66"/>
    </row>
    <row r="108">
      <c r="B108" s="7"/>
      <c r="C108" s="66"/>
      <c r="D108" s="66"/>
    </row>
    <row r="109">
      <c r="B109" s="7"/>
      <c r="C109" s="66"/>
      <c r="D109" s="66"/>
    </row>
    <row r="110">
      <c r="B110" s="7"/>
      <c r="C110" s="66"/>
      <c r="D110" s="66"/>
    </row>
    <row r="111">
      <c r="B111" s="7"/>
      <c r="C111" s="66"/>
      <c r="D111" s="66"/>
    </row>
    <row r="112">
      <c r="B112" s="7"/>
      <c r="C112" s="66"/>
      <c r="D112" s="66"/>
    </row>
    <row r="113">
      <c r="B113" s="7"/>
      <c r="C113" s="66"/>
      <c r="D113" s="66"/>
    </row>
    <row r="114">
      <c r="B114" s="7"/>
      <c r="C114" s="66"/>
      <c r="D114" s="66"/>
    </row>
    <row r="115">
      <c r="B115" s="7"/>
      <c r="C115" s="66"/>
      <c r="D115" s="66"/>
    </row>
    <row r="116">
      <c r="B116" s="7"/>
      <c r="C116" s="66"/>
      <c r="D116" s="66"/>
    </row>
    <row r="117">
      <c r="B117" s="7"/>
      <c r="C117" s="66"/>
      <c r="D117" s="66"/>
    </row>
    <row r="118">
      <c r="B118" s="7"/>
      <c r="C118" s="66"/>
      <c r="D118" s="66"/>
    </row>
    <row r="119">
      <c r="B119" s="7"/>
      <c r="C119" s="66"/>
      <c r="D119" s="66"/>
    </row>
    <row r="120">
      <c r="B120" s="7"/>
      <c r="C120" s="66"/>
      <c r="D120" s="66"/>
    </row>
    <row r="121">
      <c r="B121" s="7"/>
      <c r="C121" s="66"/>
      <c r="D121" s="66"/>
    </row>
    <row r="122">
      <c r="B122" s="7"/>
      <c r="C122" s="66"/>
      <c r="D122" s="66"/>
    </row>
    <row r="123">
      <c r="B123" s="7"/>
      <c r="C123" s="66"/>
      <c r="D123" s="66"/>
    </row>
    <row r="124">
      <c r="B124" s="7"/>
      <c r="C124" s="66"/>
      <c r="D124" s="66"/>
    </row>
    <row r="125">
      <c r="B125" s="7"/>
      <c r="C125" s="66"/>
      <c r="D125" s="66"/>
    </row>
    <row r="126">
      <c r="B126" s="7"/>
      <c r="C126" s="66"/>
      <c r="D126" s="66"/>
    </row>
    <row r="127">
      <c r="B127" s="7"/>
      <c r="C127" s="66"/>
      <c r="D127" s="66"/>
    </row>
    <row r="128">
      <c r="B128" s="7"/>
      <c r="C128" s="66"/>
      <c r="D128" s="66"/>
    </row>
    <row r="129">
      <c r="B129" s="7"/>
      <c r="C129" s="66"/>
      <c r="D129" s="66"/>
    </row>
    <row r="130">
      <c r="B130" s="7"/>
      <c r="C130" s="66"/>
      <c r="D130" s="66"/>
    </row>
    <row r="131">
      <c r="B131" s="7"/>
      <c r="C131" s="66"/>
      <c r="D131" s="66"/>
    </row>
    <row r="132">
      <c r="B132" s="7"/>
      <c r="C132" s="66"/>
      <c r="D132" s="66"/>
    </row>
    <row r="133">
      <c r="B133" s="7"/>
      <c r="C133" s="66"/>
      <c r="D133" s="66"/>
    </row>
    <row r="134">
      <c r="B134" s="7"/>
      <c r="C134" s="66"/>
      <c r="D134" s="66"/>
    </row>
    <row r="135">
      <c r="B135" s="7"/>
      <c r="C135" s="66"/>
      <c r="D135" s="66"/>
    </row>
    <row r="136">
      <c r="B136" s="7"/>
      <c r="C136" s="66"/>
      <c r="D136" s="66"/>
    </row>
    <row r="137">
      <c r="B137" s="7"/>
      <c r="C137" s="66"/>
      <c r="D137" s="66"/>
    </row>
    <row r="138">
      <c r="B138" s="7"/>
      <c r="C138" s="66"/>
      <c r="D138" s="66"/>
    </row>
    <row r="139">
      <c r="B139" s="7"/>
      <c r="C139" s="66"/>
      <c r="D139" s="66"/>
    </row>
    <row r="140">
      <c r="B140" s="7"/>
      <c r="C140" s="66"/>
      <c r="D140" s="66"/>
    </row>
    <row r="141">
      <c r="B141" s="7"/>
      <c r="C141" s="66"/>
      <c r="D141" s="66"/>
    </row>
    <row r="142">
      <c r="B142" s="7"/>
      <c r="C142" s="66"/>
      <c r="D142" s="66"/>
    </row>
    <row r="143">
      <c r="B143" s="7"/>
      <c r="C143" s="66"/>
      <c r="D143" s="66"/>
    </row>
    <row r="144">
      <c r="B144" s="7"/>
      <c r="C144" s="66"/>
      <c r="D144" s="66"/>
    </row>
    <row r="145">
      <c r="B145" s="7"/>
      <c r="C145" s="66"/>
      <c r="D145" s="66"/>
    </row>
    <row r="146">
      <c r="B146" s="7"/>
      <c r="C146" s="66"/>
      <c r="D146" s="66"/>
    </row>
    <row r="147">
      <c r="B147" s="7"/>
      <c r="C147" s="66"/>
      <c r="D147" s="66"/>
    </row>
    <row r="148">
      <c r="B148" s="7"/>
      <c r="C148" s="66"/>
      <c r="D148" s="66"/>
    </row>
    <row r="149">
      <c r="B149" s="7"/>
      <c r="C149" s="66"/>
      <c r="D149" s="66"/>
    </row>
    <row r="150">
      <c r="B150" s="7"/>
      <c r="C150" s="66"/>
      <c r="D150" s="66"/>
    </row>
    <row r="151">
      <c r="B151" s="7"/>
      <c r="C151" s="66"/>
      <c r="D151" s="66"/>
    </row>
    <row r="152">
      <c r="B152" s="7"/>
      <c r="C152" s="66"/>
      <c r="D152" s="66"/>
    </row>
    <row r="153">
      <c r="B153" s="7"/>
      <c r="C153" s="66"/>
      <c r="D153" s="66"/>
    </row>
    <row r="154">
      <c r="B154" s="7"/>
      <c r="C154" s="66"/>
      <c r="D154" s="66"/>
    </row>
    <row r="155">
      <c r="B155" s="7"/>
      <c r="C155" s="66"/>
      <c r="D155" s="66"/>
    </row>
    <row r="156">
      <c r="B156" s="7"/>
      <c r="C156" s="66"/>
      <c r="D156" s="66"/>
    </row>
    <row r="157">
      <c r="B157" s="7"/>
      <c r="C157" s="66"/>
      <c r="D157" s="66"/>
    </row>
    <row r="158">
      <c r="B158" s="7"/>
      <c r="C158" s="66"/>
      <c r="D158" s="66"/>
    </row>
    <row r="159">
      <c r="B159" s="7"/>
      <c r="C159" s="66"/>
      <c r="D159" s="66"/>
    </row>
    <row r="160">
      <c r="B160" s="7"/>
      <c r="C160" s="66"/>
      <c r="D160" s="66"/>
    </row>
    <row r="161">
      <c r="B161" s="7"/>
      <c r="C161" s="66"/>
      <c r="D161" s="66"/>
    </row>
    <row r="162">
      <c r="B162" s="7"/>
      <c r="C162" s="66"/>
      <c r="D162" s="66"/>
    </row>
    <row r="163">
      <c r="B163" s="7"/>
      <c r="C163" s="66"/>
      <c r="D163" s="66"/>
    </row>
    <row r="164">
      <c r="B164" s="7"/>
      <c r="C164" s="66"/>
      <c r="D164" s="66"/>
    </row>
    <row r="165">
      <c r="B165" s="7"/>
      <c r="C165" s="66"/>
      <c r="D165" s="66"/>
    </row>
    <row r="166">
      <c r="B166" s="7"/>
      <c r="C166" s="66"/>
      <c r="D166" s="66"/>
    </row>
    <row r="167">
      <c r="B167" s="7"/>
      <c r="C167" s="66"/>
      <c r="D167" s="66"/>
    </row>
    <row r="168">
      <c r="B168" s="7"/>
      <c r="C168" s="66"/>
      <c r="D168" s="66"/>
    </row>
    <row r="169">
      <c r="B169" s="7"/>
      <c r="C169" s="66"/>
      <c r="D169" s="66"/>
    </row>
    <row r="170">
      <c r="B170" s="7"/>
      <c r="C170" s="66"/>
      <c r="D170" s="66"/>
    </row>
    <row r="171">
      <c r="B171" s="7"/>
      <c r="C171" s="66"/>
      <c r="D171" s="66"/>
    </row>
    <row r="172">
      <c r="B172" s="7"/>
      <c r="C172" s="66"/>
      <c r="D172" s="66"/>
    </row>
    <row r="173">
      <c r="B173" s="7"/>
      <c r="C173" s="66"/>
      <c r="D173" s="66"/>
    </row>
    <row r="174">
      <c r="B174" s="7"/>
      <c r="C174" s="66"/>
      <c r="D174" s="66"/>
    </row>
    <row r="175">
      <c r="B175" s="7"/>
      <c r="C175" s="66"/>
      <c r="D175" s="66"/>
    </row>
    <row r="176">
      <c r="B176" s="7"/>
      <c r="C176" s="66"/>
      <c r="D176" s="66"/>
    </row>
    <row r="177">
      <c r="B177" s="7"/>
      <c r="C177" s="66"/>
      <c r="D177" s="66"/>
    </row>
    <row r="178">
      <c r="B178" s="7"/>
      <c r="C178" s="66"/>
      <c r="D178" s="66"/>
    </row>
    <row r="179">
      <c r="B179" s="7"/>
      <c r="C179" s="66"/>
      <c r="D179" s="66"/>
    </row>
    <row r="180">
      <c r="B180" s="7"/>
      <c r="C180" s="66"/>
      <c r="D180" s="66"/>
    </row>
    <row r="181">
      <c r="B181" s="7"/>
      <c r="C181" s="66"/>
      <c r="D181" s="66"/>
    </row>
    <row r="182">
      <c r="B182" s="7"/>
      <c r="C182" s="66"/>
      <c r="D182" s="66"/>
    </row>
    <row r="183">
      <c r="B183" s="7"/>
      <c r="C183" s="66"/>
      <c r="D183" s="66"/>
    </row>
    <row r="184">
      <c r="B184" s="7"/>
      <c r="C184" s="66"/>
      <c r="D184" s="66"/>
    </row>
    <row r="185">
      <c r="B185" s="7"/>
      <c r="C185" s="66"/>
      <c r="D185" s="66"/>
    </row>
    <row r="186">
      <c r="B186" s="7"/>
      <c r="C186" s="66"/>
      <c r="D186" s="66"/>
    </row>
    <row r="187">
      <c r="B187" s="7"/>
      <c r="C187" s="66"/>
      <c r="D187" s="66"/>
    </row>
    <row r="188">
      <c r="B188" s="7"/>
      <c r="C188" s="66"/>
      <c r="D188" s="66"/>
    </row>
    <row r="189">
      <c r="B189" s="7"/>
      <c r="C189" s="66"/>
      <c r="D189" s="66"/>
    </row>
    <row r="190">
      <c r="B190" s="7"/>
      <c r="C190" s="66"/>
      <c r="D190" s="66"/>
    </row>
    <row r="191">
      <c r="B191" s="7"/>
      <c r="C191" s="66"/>
      <c r="D191" s="66"/>
    </row>
    <row r="192">
      <c r="B192" s="7"/>
      <c r="C192" s="66"/>
      <c r="D192" s="66"/>
    </row>
    <row r="193">
      <c r="B193" s="7"/>
      <c r="C193" s="66"/>
      <c r="D193" s="66"/>
    </row>
    <row r="194">
      <c r="B194" s="7"/>
      <c r="C194" s="66"/>
      <c r="D194" s="66"/>
    </row>
    <row r="195">
      <c r="B195" s="7"/>
      <c r="C195" s="66"/>
      <c r="D195" s="66"/>
    </row>
    <row r="196">
      <c r="B196" s="7"/>
      <c r="C196" s="66"/>
      <c r="D196" s="66"/>
    </row>
    <row r="197">
      <c r="B197" s="7"/>
      <c r="C197" s="66"/>
      <c r="D197" s="66"/>
    </row>
    <row r="198">
      <c r="B198" s="7"/>
      <c r="C198" s="66"/>
      <c r="D198" s="66"/>
    </row>
    <row r="199">
      <c r="B199" s="7"/>
      <c r="C199" s="66"/>
      <c r="D199" s="66"/>
    </row>
    <row r="200">
      <c r="B200" s="7"/>
      <c r="C200" s="66"/>
      <c r="D200" s="66"/>
    </row>
    <row r="201">
      <c r="B201" s="7"/>
      <c r="C201" s="66"/>
      <c r="D201" s="66"/>
    </row>
    <row r="202">
      <c r="B202" s="7"/>
      <c r="C202" s="66"/>
      <c r="D202" s="66"/>
    </row>
    <row r="203">
      <c r="B203" s="7"/>
      <c r="C203" s="66"/>
      <c r="D203" s="66"/>
    </row>
    <row r="204">
      <c r="B204" s="7"/>
      <c r="C204" s="66"/>
      <c r="D204" s="66"/>
    </row>
    <row r="205">
      <c r="B205" s="7"/>
      <c r="C205" s="66"/>
      <c r="D205" s="66"/>
    </row>
    <row r="206">
      <c r="B206" s="7"/>
      <c r="C206" s="66"/>
      <c r="D206" s="66"/>
    </row>
    <row r="207">
      <c r="B207" s="7"/>
      <c r="C207" s="66"/>
      <c r="D207" s="66"/>
    </row>
    <row r="208">
      <c r="B208" s="7"/>
      <c r="C208" s="66"/>
      <c r="D208" s="66"/>
    </row>
    <row r="209">
      <c r="B209" s="7"/>
      <c r="C209" s="66"/>
      <c r="D209" s="66"/>
    </row>
    <row r="210">
      <c r="B210" s="7"/>
      <c r="C210" s="66"/>
      <c r="D210" s="66"/>
    </row>
    <row r="211">
      <c r="B211" s="7"/>
      <c r="C211" s="66"/>
      <c r="D211" s="66"/>
    </row>
    <row r="212">
      <c r="B212" s="7"/>
      <c r="C212" s="66"/>
      <c r="D212" s="66"/>
    </row>
    <row r="213">
      <c r="B213" s="7"/>
      <c r="C213" s="66"/>
      <c r="D213" s="66"/>
    </row>
    <row r="214">
      <c r="B214" s="7"/>
      <c r="C214" s="66"/>
      <c r="D214" s="66"/>
    </row>
    <row r="215">
      <c r="B215" s="7"/>
      <c r="C215" s="66"/>
      <c r="D215" s="66"/>
    </row>
    <row r="216">
      <c r="B216" s="7"/>
      <c r="C216" s="66"/>
      <c r="D216" s="66"/>
    </row>
    <row r="217">
      <c r="B217" s="7"/>
      <c r="C217" s="66"/>
      <c r="D217" s="66"/>
    </row>
    <row r="218">
      <c r="B218" s="7"/>
      <c r="C218" s="66"/>
      <c r="D218" s="66"/>
    </row>
    <row r="219">
      <c r="B219" s="7"/>
      <c r="C219" s="66"/>
      <c r="D219" s="66"/>
    </row>
    <row r="220">
      <c r="B220" s="7"/>
      <c r="C220" s="66"/>
      <c r="D220" s="66"/>
    </row>
    <row r="221">
      <c r="B221" s="7"/>
      <c r="C221" s="66"/>
      <c r="D221" s="66"/>
    </row>
    <row r="222">
      <c r="B222" s="7"/>
      <c r="C222" s="66"/>
      <c r="D222" s="66"/>
    </row>
    <row r="223">
      <c r="B223" s="7"/>
      <c r="C223" s="66"/>
      <c r="D223" s="66"/>
    </row>
    <row r="224">
      <c r="B224" s="7"/>
      <c r="C224" s="66"/>
      <c r="D224" s="66"/>
    </row>
    <row r="225">
      <c r="B225" s="7"/>
      <c r="C225" s="66"/>
      <c r="D225" s="66"/>
    </row>
    <row r="226">
      <c r="B226" s="7"/>
      <c r="C226" s="66"/>
      <c r="D226" s="66"/>
    </row>
    <row r="227">
      <c r="B227" s="7"/>
      <c r="C227" s="66"/>
      <c r="D227" s="66"/>
    </row>
    <row r="228">
      <c r="B228" s="7"/>
      <c r="C228" s="66"/>
      <c r="D228" s="66"/>
    </row>
    <row r="229">
      <c r="B229" s="7"/>
      <c r="C229" s="66"/>
      <c r="D229" s="66"/>
    </row>
    <row r="230">
      <c r="B230" s="7"/>
      <c r="C230" s="66"/>
      <c r="D230" s="66"/>
    </row>
    <row r="231">
      <c r="B231" s="7"/>
      <c r="C231" s="66"/>
      <c r="D231" s="66"/>
    </row>
    <row r="232">
      <c r="B232" s="7"/>
      <c r="C232" s="66"/>
      <c r="D232" s="66"/>
    </row>
    <row r="233">
      <c r="B233" s="7"/>
      <c r="C233" s="66"/>
      <c r="D233" s="66"/>
    </row>
    <row r="234">
      <c r="B234" s="7"/>
      <c r="C234" s="66"/>
      <c r="D234" s="66"/>
    </row>
    <row r="235">
      <c r="B235" s="7"/>
      <c r="C235" s="66"/>
      <c r="D235" s="66"/>
    </row>
    <row r="236">
      <c r="B236" s="7"/>
      <c r="C236" s="66"/>
      <c r="D236" s="66"/>
    </row>
    <row r="237">
      <c r="B237" s="7"/>
      <c r="C237" s="66"/>
      <c r="D237" s="66"/>
    </row>
    <row r="238">
      <c r="B238" s="7"/>
      <c r="C238" s="66"/>
      <c r="D238" s="66"/>
    </row>
    <row r="239">
      <c r="B239" s="7"/>
      <c r="C239" s="66"/>
      <c r="D239" s="66"/>
    </row>
    <row r="240">
      <c r="B240" s="7"/>
      <c r="C240" s="66"/>
      <c r="D240" s="66"/>
    </row>
    <row r="241">
      <c r="B241" s="7"/>
      <c r="C241" s="66"/>
      <c r="D241" s="66"/>
    </row>
    <row r="242">
      <c r="B242" s="7"/>
      <c r="C242" s="66"/>
      <c r="D242" s="66"/>
    </row>
    <row r="243">
      <c r="B243" s="7"/>
      <c r="C243" s="66"/>
      <c r="D243" s="66"/>
    </row>
    <row r="244">
      <c r="B244" s="7"/>
      <c r="C244" s="66"/>
      <c r="D244" s="66"/>
    </row>
    <row r="245">
      <c r="B245" s="7"/>
      <c r="C245" s="66"/>
      <c r="D245" s="66"/>
    </row>
    <row r="246">
      <c r="B246" s="7"/>
      <c r="C246" s="66"/>
      <c r="D246" s="66"/>
    </row>
    <row r="247">
      <c r="B247" s="7"/>
      <c r="C247" s="66"/>
      <c r="D247" s="66"/>
    </row>
    <row r="248">
      <c r="B248" s="7"/>
      <c r="C248" s="66"/>
      <c r="D248" s="66"/>
    </row>
    <row r="249">
      <c r="B249" s="7"/>
      <c r="C249" s="66"/>
      <c r="D249" s="66"/>
    </row>
    <row r="250">
      <c r="B250" s="7"/>
      <c r="C250" s="66"/>
      <c r="D250" s="66"/>
    </row>
    <row r="251">
      <c r="B251" s="7"/>
      <c r="C251" s="66"/>
      <c r="D251" s="66"/>
    </row>
    <row r="252">
      <c r="B252" s="7"/>
      <c r="C252" s="66"/>
      <c r="D252" s="66"/>
    </row>
    <row r="253">
      <c r="B253" s="7"/>
      <c r="C253" s="66"/>
      <c r="D253" s="66"/>
    </row>
    <row r="254">
      <c r="B254" s="7"/>
      <c r="C254" s="66"/>
      <c r="D254" s="66"/>
    </row>
    <row r="255">
      <c r="B255" s="7"/>
      <c r="C255" s="66"/>
      <c r="D255" s="66"/>
    </row>
    <row r="256">
      <c r="B256" s="7"/>
      <c r="C256" s="66"/>
      <c r="D256" s="66"/>
    </row>
    <row r="257">
      <c r="B257" s="7"/>
      <c r="C257" s="66"/>
      <c r="D257" s="66"/>
    </row>
    <row r="258">
      <c r="B258" s="7"/>
      <c r="C258" s="66"/>
      <c r="D258" s="66"/>
    </row>
    <row r="259">
      <c r="B259" s="7"/>
      <c r="C259" s="66"/>
      <c r="D259" s="66"/>
    </row>
    <row r="260">
      <c r="B260" s="7"/>
      <c r="C260" s="66"/>
      <c r="D260" s="66"/>
    </row>
    <row r="261">
      <c r="B261" s="7"/>
      <c r="C261" s="66"/>
      <c r="D261" s="66"/>
    </row>
    <row r="262">
      <c r="B262" s="7"/>
      <c r="C262" s="66"/>
      <c r="D262" s="66"/>
    </row>
    <row r="263">
      <c r="B263" s="7"/>
      <c r="C263" s="66"/>
      <c r="D263" s="66"/>
    </row>
    <row r="264">
      <c r="B264" s="7"/>
      <c r="C264" s="66"/>
      <c r="D264" s="66"/>
    </row>
    <row r="265">
      <c r="B265" s="7"/>
      <c r="C265" s="66"/>
      <c r="D265" s="66"/>
    </row>
    <row r="266">
      <c r="B266" s="7"/>
      <c r="C266" s="66"/>
      <c r="D266" s="66"/>
    </row>
    <row r="267">
      <c r="B267" s="7"/>
      <c r="C267" s="66"/>
      <c r="D267" s="66"/>
    </row>
    <row r="268">
      <c r="B268" s="7"/>
      <c r="C268" s="66"/>
      <c r="D268" s="66"/>
    </row>
    <row r="269">
      <c r="B269" s="7"/>
      <c r="C269" s="66"/>
      <c r="D269" s="66"/>
    </row>
    <row r="270">
      <c r="B270" s="7"/>
      <c r="C270" s="66"/>
      <c r="D270" s="66"/>
    </row>
    <row r="271">
      <c r="B271" s="7"/>
      <c r="C271" s="66"/>
      <c r="D271" s="66"/>
    </row>
    <row r="272">
      <c r="B272" s="7"/>
      <c r="C272" s="66"/>
      <c r="D272" s="66"/>
    </row>
    <row r="273">
      <c r="B273" s="7"/>
      <c r="C273" s="66"/>
      <c r="D273" s="66"/>
    </row>
    <row r="274">
      <c r="B274" s="7"/>
      <c r="C274" s="66"/>
      <c r="D274" s="66"/>
    </row>
    <row r="275">
      <c r="B275" s="7"/>
      <c r="C275" s="66"/>
      <c r="D275" s="66"/>
    </row>
    <row r="276">
      <c r="B276" s="7"/>
      <c r="C276" s="66"/>
      <c r="D276" s="66"/>
    </row>
    <row r="277">
      <c r="B277" s="7"/>
      <c r="C277" s="66"/>
      <c r="D277" s="66"/>
    </row>
    <row r="278">
      <c r="B278" s="7"/>
      <c r="C278" s="66"/>
      <c r="D278" s="66"/>
    </row>
    <row r="279">
      <c r="B279" s="7"/>
      <c r="C279" s="66"/>
      <c r="D279" s="66"/>
    </row>
    <row r="280">
      <c r="B280" s="7"/>
      <c r="C280" s="66"/>
      <c r="D280" s="66"/>
    </row>
    <row r="281">
      <c r="B281" s="7"/>
      <c r="C281" s="66"/>
      <c r="D281" s="66"/>
    </row>
    <row r="282">
      <c r="B282" s="7"/>
      <c r="C282" s="66"/>
      <c r="D282" s="66"/>
    </row>
    <row r="283">
      <c r="B283" s="7"/>
      <c r="C283" s="66"/>
      <c r="D283" s="66"/>
    </row>
    <row r="284">
      <c r="B284" s="7"/>
      <c r="C284" s="66"/>
      <c r="D284" s="66"/>
    </row>
    <row r="285">
      <c r="B285" s="7"/>
      <c r="C285" s="66"/>
      <c r="D285" s="66"/>
    </row>
    <row r="286">
      <c r="B286" s="7"/>
      <c r="C286" s="66"/>
      <c r="D286" s="66"/>
    </row>
    <row r="287">
      <c r="B287" s="7"/>
      <c r="C287" s="66"/>
      <c r="D287" s="66"/>
    </row>
    <row r="288">
      <c r="B288" s="7"/>
      <c r="C288" s="66"/>
      <c r="D288" s="66"/>
    </row>
    <row r="289">
      <c r="B289" s="7"/>
      <c r="C289" s="66"/>
      <c r="D289" s="66"/>
    </row>
    <row r="290">
      <c r="B290" s="7"/>
      <c r="C290" s="66"/>
      <c r="D290" s="66"/>
    </row>
    <row r="291">
      <c r="B291" s="7"/>
      <c r="C291" s="66"/>
      <c r="D291" s="66"/>
    </row>
    <row r="292">
      <c r="B292" s="7"/>
      <c r="C292" s="66"/>
      <c r="D292" s="66"/>
    </row>
    <row r="293">
      <c r="B293" s="7"/>
      <c r="C293" s="66"/>
      <c r="D293" s="66"/>
    </row>
    <row r="294">
      <c r="B294" s="7"/>
      <c r="C294" s="66"/>
      <c r="D294" s="66"/>
    </row>
    <row r="295">
      <c r="B295" s="7"/>
      <c r="C295" s="66"/>
      <c r="D295" s="66"/>
    </row>
    <row r="296">
      <c r="B296" s="7"/>
      <c r="C296" s="66"/>
      <c r="D296" s="66"/>
    </row>
    <row r="297">
      <c r="B297" s="7"/>
      <c r="C297" s="66"/>
      <c r="D297" s="66"/>
    </row>
    <row r="298">
      <c r="B298" s="7"/>
      <c r="C298" s="66"/>
      <c r="D298" s="66"/>
    </row>
    <row r="299">
      <c r="B299" s="7"/>
      <c r="C299" s="66"/>
      <c r="D299" s="66"/>
    </row>
    <row r="300">
      <c r="B300" s="7"/>
      <c r="C300" s="66"/>
      <c r="D300" s="66"/>
    </row>
    <row r="301">
      <c r="B301" s="7"/>
      <c r="C301" s="66"/>
      <c r="D301" s="66"/>
    </row>
    <row r="302">
      <c r="B302" s="7"/>
      <c r="C302" s="66"/>
      <c r="D302" s="66"/>
    </row>
    <row r="303">
      <c r="B303" s="7"/>
      <c r="C303" s="66"/>
      <c r="D303" s="66"/>
    </row>
    <row r="304">
      <c r="B304" s="7"/>
      <c r="C304" s="66"/>
      <c r="D304" s="66"/>
    </row>
    <row r="305">
      <c r="B305" s="7"/>
      <c r="C305" s="66"/>
      <c r="D305" s="66"/>
    </row>
    <row r="306">
      <c r="B306" s="7"/>
      <c r="C306" s="66"/>
      <c r="D306" s="66"/>
    </row>
    <row r="307">
      <c r="B307" s="7"/>
      <c r="C307" s="66"/>
      <c r="D307" s="66"/>
    </row>
    <row r="308">
      <c r="B308" s="7"/>
      <c r="C308" s="66"/>
      <c r="D308" s="66"/>
    </row>
    <row r="309">
      <c r="B309" s="7"/>
      <c r="C309" s="66"/>
      <c r="D309" s="66"/>
    </row>
    <row r="310">
      <c r="B310" s="7"/>
      <c r="C310" s="66"/>
      <c r="D310" s="66"/>
    </row>
    <row r="311">
      <c r="B311" s="7"/>
      <c r="C311" s="66"/>
      <c r="D311" s="66"/>
    </row>
    <row r="312">
      <c r="B312" s="7"/>
      <c r="C312" s="66"/>
      <c r="D312" s="66"/>
    </row>
    <row r="313">
      <c r="B313" s="7"/>
      <c r="C313" s="66"/>
      <c r="D313" s="66"/>
    </row>
    <row r="314">
      <c r="B314" s="7"/>
      <c r="C314" s="66"/>
      <c r="D314" s="66"/>
    </row>
    <row r="315">
      <c r="B315" s="7"/>
      <c r="C315" s="66"/>
      <c r="D315" s="66"/>
    </row>
    <row r="316">
      <c r="B316" s="7"/>
      <c r="C316" s="66"/>
      <c r="D316" s="66"/>
    </row>
    <row r="317">
      <c r="B317" s="7"/>
      <c r="C317" s="66"/>
      <c r="D317" s="66"/>
    </row>
    <row r="318">
      <c r="B318" s="7"/>
      <c r="C318" s="66"/>
      <c r="D318" s="66"/>
    </row>
    <row r="319">
      <c r="B319" s="7"/>
      <c r="C319" s="66"/>
      <c r="D319" s="66"/>
    </row>
    <row r="320">
      <c r="B320" s="7"/>
      <c r="C320" s="66"/>
      <c r="D320" s="66"/>
    </row>
    <row r="321">
      <c r="B321" s="7"/>
      <c r="C321" s="66"/>
      <c r="D321" s="66"/>
    </row>
    <row r="322">
      <c r="B322" s="7"/>
      <c r="C322" s="66"/>
      <c r="D322" s="66"/>
    </row>
    <row r="323">
      <c r="B323" s="7"/>
      <c r="C323" s="66"/>
      <c r="D323" s="66"/>
    </row>
    <row r="324">
      <c r="B324" s="7"/>
      <c r="C324" s="66"/>
      <c r="D324" s="66"/>
    </row>
    <row r="325">
      <c r="B325" s="7"/>
      <c r="C325" s="66"/>
      <c r="D325" s="66"/>
    </row>
    <row r="326">
      <c r="B326" s="7"/>
      <c r="C326" s="66"/>
      <c r="D326" s="66"/>
    </row>
    <row r="327">
      <c r="B327" s="7"/>
      <c r="C327" s="66"/>
      <c r="D327" s="66"/>
    </row>
    <row r="328">
      <c r="B328" s="7"/>
      <c r="C328" s="66"/>
      <c r="D328" s="66"/>
    </row>
    <row r="329">
      <c r="B329" s="7"/>
      <c r="C329" s="66"/>
      <c r="D329" s="66"/>
    </row>
    <row r="330">
      <c r="B330" s="7"/>
      <c r="C330" s="66"/>
      <c r="D330" s="66"/>
    </row>
    <row r="331">
      <c r="B331" s="7"/>
      <c r="C331" s="66"/>
      <c r="D331" s="66"/>
    </row>
    <row r="332">
      <c r="B332" s="7"/>
      <c r="C332" s="66"/>
      <c r="D332" s="66"/>
    </row>
    <row r="333">
      <c r="B333" s="7"/>
      <c r="C333" s="66"/>
      <c r="D333" s="66"/>
    </row>
    <row r="334">
      <c r="B334" s="7"/>
      <c r="C334" s="66"/>
      <c r="D334" s="66"/>
    </row>
    <row r="335">
      <c r="B335" s="7"/>
      <c r="C335" s="66"/>
      <c r="D335" s="66"/>
    </row>
    <row r="336">
      <c r="B336" s="7"/>
      <c r="C336" s="66"/>
      <c r="D336" s="66"/>
    </row>
    <row r="337">
      <c r="B337" s="7"/>
      <c r="C337" s="66"/>
      <c r="D337" s="66"/>
    </row>
    <row r="338">
      <c r="B338" s="7"/>
      <c r="C338" s="66"/>
      <c r="D338" s="66"/>
    </row>
    <row r="339">
      <c r="B339" s="7"/>
      <c r="C339" s="66"/>
      <c r="D339" s="66"/>
    </row>
    <row r="340">
      <c r="B340" s="7"/>
      <c r="C340" s="66"/>
      <c r="D340" s="66"/>
    </row>
    <row r="341">
      <c r="B341" s="7"/>
      <c r="C341" s="66"/>
      <c r="D341" s="66"/>
    </row>
    <row r="342">
      <c r="B342" s="7"/>
      <c r="C342" s="66"/>
      <c r="D342" s="66"/>
    </row>
    <row r="343">
      <c r="B343" s="7"/>
      <c r="C343" s="66"/>
      <c r="D343" s="66"/>
    </row>
    <row r="344">
      <c r="B344" s="7"/>
      <c r="C344" s="66"/>
      <c r="D344" s="66"/>
    </row>
    <row r="345">
      <c r="B345" s="7"/>
      <c r="C345" s="66"/>
      <c r="D345" s="66"/>
    </row>
    <row r="346">
      <c r="B346" s="7"/>
      <c r="C346" s="66"/>
      <c r="D346" s="66"/>
    </row>
    <row r="347">
      <c r="B347" s="7"/>
      <c r="C347" s="66"/>
      <c r="D347" s="66"/>
    </row>
    <row r="348">
      <c r="B348" s="7"/>
      <c r="C348" s="66"/>
      <c r="D348" s="66"/>
    </row>
    <row r="349">
      <c r="B349" s="7"/>
      <c r="C349" s="66"/>
      <c r="D349" s="66"/>
    </row>
    <row r="350">
      <c r="B350" s="7"/>
      <c r="C350" s="66"/>
      <c r="D350" s="66"/>
    </row>
    <row r="351">
      <c r="B351" s="7"/>
      <c r="C351" s="66"/>
      <c r="D351" s="66"/>
    </row>
    <row r="352">
      <c r="B352" s="7"/>
      <c r="C352" s="66"/>
      <c r="D352" s="66"/>
    </row>
    <row r="353">
      <c r="B353" s="7"/>
      <c r="C353" s="66"/>
      <c r="D353" s="66"/>
    </row>
    <row r="354">
      <c r="B354" s="7"/>
      <c r="C354" s="66"/>
      <c r="D354" s="66"/>
    </row>
    <row r="355">
      <c r="B355" s="7"/>
      <c r="C355" s="66"/>
      <c r="D355" s="66"/>
    </row>
    <row r="356">
      <c r="B356" s="7"/>
      <c r="C356" s="66"/>
      <c r="D356" s="66"/>
    </row>
    <row r="357">
      <c r="B357" s="7"/>
      <c r="C357" s="66"/>
      <c r="D357" s="66"/>
    </row>
    <row r="358">
      <c r="B358" s="7"/>
      <c r="C358" s="66"/>
      <c r="D358" s="66"/>
    </row>
    <row r="359">
      <c r="B359" s="7"/>
      <c r="C359" s="66"/>
      <c r="D359" s="66"/>
    </row>
    <row r="360">
      <c r="B360" s="7"/>
      <c r="C360" s="66"/>
      <c r="D360" s="66"/>
    </row>
    <row r="361">
      <c r="B361" s="7"/>
      <c r="C361" s="66"/>
      <c r="D361" s="66"/>
    </row>
    <row r="362">
      <c r="B362" s="7"/>
      <c r="C362" s="66"/>
      <c r="D362" s="66"/>
    </row>
    <row r="363">
      <c r="B363" s="7"/>
      <c r="C363" s="66"/>
      <c r="D363" s="66"/>
    </row>
    <row r="364">
      <c r="B364" s="7"/>
      <c r="C364" s="66"/>
      <c r="D364" s="66"/>
    </row>
    <row r="365">
      <c r="B365" s="7"/>
      <c r="C365" s="66"/>
      <c r="D365" s="66"/>
    </row>
    <row r="366">
      <c r="B366" s="7"/>
      <c r="C366" s="66"/>
      <c r="D366" s="66"/>
    </row>
    <row r="367">
      <c r="B367" s="7"/>
      <c r="C367" s="66"/>
      <c r="D367" s="66"/>
    </row>
    <row r="368">
      <c r="B368" s="7"/>
      <c r="C368" s="66"/>
      <c r="D368" s="66"/>
    </row>
    <row r="369">
      <c r="B369" s="7"/>
      <c r="C369" s="66"/>
      <c r="D369" s="66"/>
    </row>
    <row r="370">
      <c r="B370" s="7"/>
      <c r="C370" s="66"/>
      <c r="D370" s="66"/>
    </row>
    <row r="371">
      <c r="B371" s="7"/>
      <c r="C371" s="66"/>
      <c r="D371" s="66"/>
    </row>
    <row r="372">
      <c r="B372" s="7"/>
      <c r="C372" s="66"/>
      <c r="D372" s="66"/>
    </row>
    <row r="373">
      <c r="B373" s="7"/>
      <c r="C373" s="66"/>
      <c r="D373" s="66"/>
    </row>
    <row r="374">
      <c r="B374" s="7"/>
      <c r="C374" s="66"/>
      <c r="D374" s="66"/>
    </row>
    <row r="375">
      <c r="B375" s="7"/>
      <c r="C375" s="66"/>
      <c r="D375" s="66"/>
    </row>
    <row r="376">
      <c r="B376" s="7"/>
      <c r="C376" s="66"/>
      <c r="D376" s="66"/>
    </row>
    <row r="377">
      <c r="B377" s="7"/>
      <c r="C377" s="66"/>
      <c r="D377" s="66"/>
    </row>
    <row r="378">
      <c r="B378" s="7"/>
      <c r="C378" s="66"/>
      <c r="D378" s="66"/>
    </row>
    <row r="379">
      <c r="B379" s="7"/>
      <c r="C379" s="66"/>
      <c r="D379" s="66"/>
    </row>
    <row r="380">
      <c r="B380" s="7"/>
      <c r="C380" s="66"/>
      <c r="D380" s="66"/>
    </row>
    <row r="381">
      <c r="B381" s="7"/>
      <c r="C381" s="66"/>
      <c r="D381" s="66"/>
    </row>
    <row r="382">
      <c r="B382" s="7"/>
      <c r="C382" s="66"/>
      <c r="D382" s="66"/>
    </row>
    <row r="383">
      <c r="B383" s="7"/>
      <c r="C383" s="66"/>
      <c r="D383" s="66"/>
    </row>
    <row r="384">
      <c r="B384" s="7"/>
      <c r="C384" s="66"/>
      <c r="D384" s="66"/>
    </row>
    <row r="385">
      <c r="B385" s="7"/>
      <c r="C385" s="66"/>
      <c r="D385" s="66"/>
    </row>
    <row r="386">
      <c r="B386" s="7"/>
      <c r="C386" s="66"/>
      <c r="D386" s="66"/>
    </row>
    <row r="387">
      <c r="B387" s="7"/>
      <c r="C387" s="66"/>
      <c r="D387" s="66"/>
    </row>
    <row r="388">
      <c r="B388" s="7"/>
      <c r="C388" s="66"/>
      <c r="D388" s="66"/>
    </row>
    <row r="389">
      <c r="B389" s="7"/>
      <c r="C389" s="66"/>
      <c r="D389" s="66"/>
    </row>
    <row r="390">
      <c r="B390" s="7"/>
      <c r="C390" s="66"/>
      <c r="D390" s="66"/>
    </row>
    <row r="391">
      <c r="B391" s="7"/>
      <c r="C391" s="66"/>
      <c r="D391" s="66"/>
    </row>
    <row r="392">
      <c r="B392" s="7"/>
      <c r="C392" s="66"/>
      <c r="D392" s="66"/>
    </row>
    <row r="393">
      <c r="B393" s="7"/>
      <c r="C393" s="66"/>
      <c r="D393" s="66"/>
    </row>
    <row r="394">
      <c r="B394" s="7"/>
      <c r="C394" s="66"/>
      <c r="D394" s="66"/>
    </row>
    <row r="395">
      <c r="B395" s="7"/>
      <c r="C395" s="66"/>
      <c r="D395" s="66"/>
    </row>
    <row r="396">
      <c r="B396" s="7"/>
      <c r="C396" s="66"/>
      <c r="D396" s="66"/>
    </row>
    <row r="397">
      <c r="B397" s="7"/>
      <c r="C397" s="66"/>
      <c r="D397" s="66"/>
    </row>
    <row r="398">
      <c r="B398" s="7"/>
      <c r="C398" s="66"/>
      <c r="D398" s="66"/>
    </row>
    <row r="399">
      <c r="B399" s="7"/>
      <c r="C399" s="66"/>
      <c r="D399" s="66"/>
    </row>
    <row r="400">
      <c r="B400" s="7"/>
      <c r="C400" s="66"/>
      <c r="D400" s="66"/>
    </row>
    <row r="401">
      <c r="B401" s="7"/>
      <c r="C401" s="66"/>
      <c r="D401" s="66"/>
    </row>
    <row r="402">
      <c r="B402" s="7"/>
      <c r="C402" s="66"/>
      <c r="D402" s="66"/>
    </row>
    <row r="403">
      <c r="B403" s="7"/>
      <c r="C403" s="66"/>
      <c r="D403" s="66"/>
    </row>
    <row r="404">
      <c r="B404" s="7"/>
      <c r="C404" s="66"/>
      <c r="D404" s="66"/>
    </row>
    <row r="405">
      <c r="B405" s="7"/>
      <c r="C405" s="66"/>
      <c r="D405" s="66"/>
    </row>
    <row r="406">
      <c r="B406" s="7"/>
      <c r="C406" s="66"/>
      <c r="D406" s="66"/>
    </row>
    <row r="407">
      <c r="B407" s="7"/>
      <c r="C407" s="66"/>
      <c r="D407" s="66"/>
    </row>
    <row r="408">
      <c r="B408" s="7"/>
      <c r="C408" s="66"/>
      <c r="D408" s="66"/>
    </row>
    <row r="409">
      <c r="B409" s="7"/>
      <c r="C409" s="66"/>
      <c r="D409" s="66"/>
    </row>
    <row r="410">
      <c r="B410" s="7"/>
      <c r="C410" s="66"/>
      <c r="D410" s="66"/>
    </row>
    <row r="411">
      <c r="B411" s="7"/>
      <c r="C411" s="66"/>
      <c r="D411" s="66"/>
    </row>
    <row r="412">
      <c r="B412" s="7"/>
      <c r="C412" s="66"/>
      <c r="D412" s="66"/>
    </row>
    <row r="413">
      <c r="B413" s="7"/>
      <c r="C413" s="66"/>
      <c r="D413" s="66"/>
    </row>
    <row r="414">
      <c r="B414" s="7"/>
      <c r="C414" s="66"/>
      <c r="D414" s="66"/>
    </row>
    <row r="415">
      <c r="B415" s="7"/>
      <c r="C415" s="66"/>
      <c r="D415" s="66"/>
    </row>
    <row r="416">
      <c r="B416" s="7"/>
      <c r="C416" s="66"/>
      <c r="D416" s="66"/>
    </row>
    <row r="417">
      <c r="B417" s="7"/>
      <c r="C417" s="66"/>
      <c r="D417" s="66"/>
    </row>
    <row r="418">
      <c r="B418" s="7"/>
      <c r="C418" s="66"/>
      <c r="D418" s="66"/>
    </row>
    <row r="419">
      <c r="B419" s="7"/>
      <c r="C419" s="66"/>
      <c r="D419" s="66"/>
    </row>
    <row r="420">
      <c r="B420" s="7"/>
      <c r="C420" s="66"/>
      <c r="D420" s="66"/>
    </row>
    <row r="421">
      <c r="B421" s="7"/>
      <c r="C421" s="66"/>
      <c r="D421" s="66"/>
    </row>
    <row r="422">
      <c r="B422" s="7"/>
      <c r="C422" s="66"/>
      <c r="D422" s="66"/>
    </row>
    <row r="423">
      <c r="B423" s="7"/>
      <c r="C423" s="66"/>
      <c r="D423" s="66"/>
    </row>
    <row r="424">
      <c r="B424" s="7"/>
      <c r="C424" s="66"/>
      <c r="D424" s="66"/>
    </row>
    <row r="425">
      <c r="B425" s="7"/>
      <c r="C425" s="66"/>
      <c r="D425" s="66"/>
    </row>
    <row r="426">
      <c r="B426" s="7"/>
      <c r="C426" s="66"/>
      <c r="D426" s="66"/>
    </row>
    <row r="427">
      <c r="B427" s="7"/>
      <c r="C427" s="66"/>
      <c r="D427" s="66"/>
    </row>
    <row r="428">
      <c r="B428" s="7"/>
      <c r="C428" s="66"/>
      <c r="D428" s="66"/>
    </row>
    <row r="429">
      <c r="B429" s="7"/>
      <c r="C429" s="66"/>
      <c r="D429" s="66"/>
    </row>
    <row r="430">
      <c r="B430" s="7"/>
      <c r="C430" s="66"/>
      <c r="D430" s="66"/>
    </row>
    <row r="431">
      <c r="B431" s="7"/>
      <c r="C431" s="66"/>
      <c r="D431" s="66"/>
    </row>
    <row r="432">
      <c r="B432" s="7"/>
      <c r="C432" s="66"/>
      <c r="D432" s="66"/>
    </row>
    <row r="433">
      <c r="B433" s="7"/>
      <c r="C433" s="66"/>
      <c r="D433" s="66"/>
    </row>
    <row r="434">
      <c r="B434" s="7"/>
      <c r="C434" s="66"/>
      <c r="D434" s="66"/>
    </row>
    <row r="435">
      <c r="B435" s="7"/>
      <c r="C435" s="66"/>
      <c r="D435" s="66"/>
    </row>
    <row r="436">
      <c r="B436" s="7"/>
      <c r="C436" s="66"/>
      <c r="D436" s="66"/>
    </row>
    <row r="437">
      <c r="B437" s="7"/>
      <c r="C437" s="66"/>
      <c r="D437" s="66"/>
    </row>
    <row r="438">
      <c r="B438" s="7"/>
      <c r="C438" s="66"/>
      <c r="D438" s="66"/>
    </row>
    <row r="439">
      <c r="B439" s="7"/>
      <c r="C439" s="66"/>
      <c r="D439" s="66"/>
    </row>
    <row r="440">
      <c r="B440" s="7"/>
      <c r="C440" s="66"/>
      <c r="D440" s="66"/>
    </row>
    <row r="441">
      <c r="B441" s="7"/>
      <c r="C441" s="66"/>
      <c r="D441" s="66"/>
    </row>
    <row r="442">
      <c r="B442" s="7"/>
      <c r="C442" s="66"/>
      <c r="D442" s="66"/>
    </row>
    <row r="443">
      <c r="B443" s="7"/>
      <c r="C443" s="66"/>
      <c r="D443" s="66"/>
    </row>
    <row r="444">
      <c r="B444" s="7"/>
      <c r="C444" s="66"/>
      <c r="D444" s="66"/>
    </row>
    <row r="445">
      <c r="B445" s="7"/>
      <c r="C445" s="66"/>
      <c r="D445" s="66"/>
    </row>
    <row r="446">
      <c r="B446" s="7"/>
      <c r="C446" s="66"/>
      <c r="D446" s="66"/>
    </row>
    <row r="447">
      <c r="B447" s="7"/>
      <c r="C447" s="66"/>
      <c r="D447" s="66"/>
    </row>
    <row r="448">
      <c r="B448" s="7"/>
      <c r="C448" s="66"/>
      <c r="D448" s="66"/>
    </row>
    <row r="449">
      <c r="B449" s="7"/>
      <c r="C449" s="66"/>
      <c r="D449" s="66"/>
    </row>
    <row r="450">
      <c r="B450" s="7"/>
      <c r="C450" s="66"/>
      <c r="D450" s="66"/>
    </row>
    <row r="451">
      <c r="B451" s="7"/>
      <c r="C451" s="66"/>
      <c r="D451" s="66"/>
    </row>
    <row r="452">
      <c r="B452" s="7"/>
      <c r="C452" s="66"/>
      <c r="D452" s="66"/>
    </row>
    <row r="453">
      <c r="B453" s="7"/>
      <c r="C453" s="66"/>
      <c r="D453" s="66"/>
    </row>
    <row r="454">
      <c r="B454" s="7"/>
      <c r="C454" s="66"/>
      <c r="D454" s="66"/>
    </row>
    <row r="455">
      <c r="B455" s="7"/>
      <c r="C455" s="66"/>
      <c r="D455" s="66"/>
    </row>
    <row r="456">
      <c r="B456" s="7"/>
      <c r="C456" s="66"/>
      <c r="D456" s="66"/>
    </row>
    <row r="457">
      <c r="B457" s="7"/>
      <c r="C457" s="66"/>
      <c r="D457" s="66"/>
    </row>
    <row r="458">
      <c r="B458" s="7"/>
      <c r="C458" s="66"/>
      <c r="D458" s="66"/>
    </row>
    <row r="459">
      <c r="B459" s="7"/>
      <c r="C459" s="66"/>
      <c r="D459" s="66"/>
    </row>
    <row r="460">
      <c r="B460" s="7"/>
      <c r="C460" s="66"/>
      <c r="D460" s="66"/>
    </row>
    <row r="461">
      <c r="B461" s="7"/>
      <c r="C461" s="66"/>
      <c r="D461" s="66"/>
    </row>
    <row r="462">
      <c r="B462" s="7"/>
      <c r="C462" s="66"/>
      <c r="D462" s="66"/>
    </row>
    <row r="463">
      <c r="B463" s="7"/>
      <c r="C463" s="66"/>
      <c r="D463" s="66"/>
    </row>
    <row r="464">
      <c r="B464" s="7"/>
      <c r="C464" s="66"/>
      <c r="D464" s="66"/>
    </row>
    <row r="465">
      <c r="B465" s="7"/>
      <c r="C465" s="66"/>
      <c r="D465" s="66"/>
    </row>
    <row r="466">
      <c r="B466" s="7"/>
      <c r="C466" s="66"/>
      <c r="D466" s="66"/>
    </row>
    <row r="467">
      <c r="B467" s="7"/>
      <c r="C467" s="66"/>
      <c r="D467" s="66"/>
    </row>
    <row r="468">
      <c r="B468" s="7"/>
      <c r="C468" s="66"/>
      <c r="D468" s="66"/>
    </row>
    <row r="469">
      <c r="B469" s="7"/>
      <c r="C469" s="66"/>
      <c r="D469" s="66"/>
    </row>
    <row r="470">
      <c r="B470" s="7"/>
      <c r="C470" s="66"/>
      <c r="D470" s="66"/>
    </row>
    <row r="471">
      <c r="B471" s="7"/>
      <c r="C471" s="66"/>
      <c r="D471" s="66"/>
    </row>
    <row r="472">
      <c r="B472" s="7"/>
      <c r="C472" s="66"/>
      <c r="D472" s="66"/>
    </row>
    <row r="473">
      <c r="B473" s="7"/>
      <c r="C473" s="66"/>
      <c r="D473" s="66"/>
    </row>
    <row r="474">
      <c r="B474" s="7"/>
      <c r="C474" s="66"/>
      <c r="D474" s="66"/>
    </row>
    <row r="475">
      <c r="B475" s="7"/>
      <c r="C475" s="66"/>
      <c r="D475" s="66"/>
    </row>
    <row r="476">
      <c r="B476" s="7"/>
      <c r="C476" s="66"/>
      <c r="D476" s="66"/>
    </row>
    <row r="477">
      <c r="B477" s="7"/>
      <c r="C477" s="66"/>
      <c r="D477" s="66"/>
    </row>
    <row r="478">
      <c r="B478" s="7"/>
      <c r="C478" s="66"/>
      <c r="D478" s="66"/>
    </row>
    <row r="479">
      <c r="B479" s="7"/>
      <c r="C479" s="66"/>
      <c r="D479" s="66"/>
    </row>
    <row r="480">
      <c r="B480" s="7"/>
      <c r="C480" s="66"/>
      <c r="D480" s="66"/>
    </row>
    <row r="481">
      <c r="B481" s="7"/>
      <c r="C481" s="66"/>
      <c r="D481" s="66"/>
    </row>
    <row r="482">
      <c r="B482" s="7"/>
      <c r="C482" s="66"/>
      <c r="D482" s="66"/>
    </row>
    <row r="483">
      <c r="B483" s="7"/>
      <c r="C483" s="66"/>
      <c r="D483" s="66"/>
    </row>
    <row r="484">
      <c r="B484" s="7"/>
      <c r="C484" s="66"/>
      <c r="D484" s="66"/>
    </row>
    <row r="485">
      <c r="B485" s="7"/>
      <c r="C485" s="66"/>
      <c r="D485" s="66"/>
    </row>
    <row r="486">
      <c r="B486" s="7"/>
      <c r="C486" s="66"/>
      <c r="D486" s="66"/>
    </row>
    <row r="487">
      <c r="B487" s="7"/>
      <c r="C487" s="66"/>
      <c r="D487" s="66"/>
    </row>
    <row r="488">
      <c r="B488" s="7"/>
      <c r="C488" s="66"/>
      <c r="D488" s="66"/>
    </row>
    <row r="489">
      <c r="B489" s="7"/>
      <c r="C489" s="66"/>
      <c r="D489" s="66"/>
    </row>
    <row r="490">
      <c r="B490" s="7"/>
      <c r="C490" s="66"/>
      <c r="D490" s="66"/>
    </row>
    <row r="491">
      <c r="B491" s="7"/>
      <c r="C491" s="66"/>
      <c r="D491" s="66"/>
    </row>
    <row r="492">
      <c r="B492" s="7"/>
      <c r="C492" s="66"/>
      <c r="D492" s="66"/>
    </row>
    <row r="493">
      <c r="B493" s="7"/>
      <c r="C493" s="66"/>
      <c r="D493" s="66"/>
    </row>
    <row r="494">
      <c r="B494" s="7"/>
      <c r="C494" s="66"/>
      <c r="D494" s="66"/>
    </row>
    <row r="495">
      <c r="B495" s="7"/>
      <c r="C495" s="66"/>
      <c r="D495" s="66"/>
    </row>
    <row r="496">
      <c r="B496" s="7"/>
      <c r="C496" s="66"/>
      <c r="D496" s="66"/>
    </row>
    <row r="497">
      <c r="B497" s="7"/>
      <c r="C497" s="66"/>
      <c r="D497" s="66"/>
    </row>
    <row r="498">
      <c r="B498" s="7"/>
      <c r="C498" s="66"/>
      <c r="D498" s="66"/>
    </row>
    <row r="499">
      <c r="B499" s="7"/>
      <c r="C499" s="66"/>
      <c r="D499" s="66"/>
    </row>
    <row r="500">
      <c r="B500" s="7"/>
      <c r="C500" s="66"/>
      <c r="D500" s="66"/>
    </row>
    <row r="501">
      <c r="B501" s="7"/>
      <c r="C501" s="66"/>
      <c r="D501" s="66"/>
    </row>
    <row r="502">
      <c r="B502" s="7"/>
      <c r="C502" s="66"/>
      <c r="D502" s="66"/>
    </row>
    <row r="503">
      <c r="B503" s="7"/>
      <c r="C503" s="66"/>
      <c r="D503" s="66"/>
    </row>
    <row r="504">
      <c r="B504" s="7"/>
      <c r="C504" s="66"/>
      <c r="D504" s="66"/>
    </row>
    <row r="505">
      <c r="B505" s="7"/>
      <c r="C505" s="66"/>
      <c r="D505" s="66"/>
    </row>
    <row r="506">
      <c r="B506" s="7"/>
      <c r="C506" s="66"/>
      <c r="D506" s="66"/>
    </row>
    <row r="507">
      <c r="B507" s="7"/>
      <c r="C507" s="66"/>
      <c r="D507" s="66"/>
    </row>
    <row r="508">
      <c r="B508" s="7"/>
      <c r="C508" s="66"/>
      <c r="D508" s="66"/>
    </row>
    <row r="509">
      <c r="B509" s="7"/>
      <c r="C509" s="66"/>
      <c r="D509" s="66"/>
    </row>
    <row r="510">
      <c r="B510" s="7"/>
      <c r="C510" s="66"/>
      <c r="D510" s="66"/>
    </row>
    <row r="511">
      <c r="B511" s="7"/>
      <c r="C511" s="66"/>
      <c r="D511" s="66"/>
    </row>
    <row r="512">
      <c r="B512" s="7"/>
      <c r="C512" s="66"/>
      <c r="D512" s="66"/>
    </row>
    <row r="513">
      <c r="B513" s="7"/>
      <c r="C513" s="66"/>
      <c r="D513" s="66"/>
    </row>
    <row r="514">
      <c r="B514" s="7"/>
      <c r="C514" s="66"/>
      <c r="D514" s="66"/>
    </row>
    <row r="515">
      <c r="B515" s="7"/>
      <c r="C515" s="66"/>
      <c r="D515" s="66"/>
    </row>
    <row r="516">
      <c r="B516" s="7"/>
      <c r="C516" s="66"/>
      <c r="D516" s="66"/>
    </row>
    <row r="517">
      <c r="B517" s="7"/>
      <c r="C517" s="66"/>
      <c r="D517" s="66"/>
    </row>
    <row r="518">
      <c r="B518" s="7"/>
      <c r="C518" s="66"/>
      <c r="D518" s="66"/>
    </row>
    <row r="519">
      <c r="B519" s="7"/>
      <c r="C519" s="66"/>
      <c r="D519" s="66"/>
    </row>
    <row r="520">
      <c r="B520" s="7"/>
      <c r="C520" s="66"/>
      <c r="D520" s="66"/>
    </row>
    <row r="521">
      <c r="B521" s="7"/>
      <c r="C521" s="66"/>
      <c r="D521" s="66"/>
    </row>
    <row r="522">
      <c r="B522" s="7"/>
      <c r="C522" s="66"/>
      <c r="D522" s="66"/>
    </row>
    <row r="523">
      <c r="B523" s="7"/>
      <c r="C523" s="66"/>
      <c r="D523" s="66"/>
    </row>
    <row r="524">
      <c r="B524" s="7"/>
      <c r="C524" s="66"/>
      <c r="D524" s="66"/>
    </row>
    <row r="525">
      <c r="B525" s="7"/>
      <c r="C525" s="66"/>
      <c r="D525" s="66"/>
    </row>
    <row r="526">
      <c r="B526" s="7"/>
      <c r="C526" s="66"/>
      <c r="D526" s="66"/>
    </row>
    <row r="527">
      <c r="B527" s="7"/>
      <c r="C527" s="66"/>
      <c r="D527" s="66"/>
    </row>
    <row r="528">
      <c r="B528" s="7"/>
      <c r="C528" s="66"/>
      <c r="D528" s="66"/>
    </row>
    <row r="529">
      <c r="B529" s="7"/>
      <c r="C529" s="66"/>
      <c r="D529" s="66"/>
    </row>
    <row r="530">
      <c r="B530" s="7"/>
      <c r="C530" s="66"/>
      <c r="D530" s="66"/>
    </row>
    <row r="531">
      <c r="B531" s="7"/>
      <c r="C531" s="66"/>
      <c r="D531" s="66"/>
    </row>
    <row r="532">
      <c r="B532" s="7"/>
      <c r="C532" s="66"/>
      <c r="D532" s="66"/>
    </row>
    <row r="533">
      <c r="B533" s="7"/>
      <c r="C533" s="66"/>
      <c r="D533" s="66"/>
    </row>
    <row r="534">
      <c r="B534" s="7"/>
      <c r="C534" s="66"/>
      <c r="D534" s="66"/>
    </row>
    <row r="535">
      <c r="B535" s="7"/>
      <c r="C535" s="66"/>
      <c r="D535" s="66"/>
    </row>
    <row r="536">
      <c r="B536" s="7"/>
      <c r="C536" s="66"/>
      <c r="D536" s="66"/>
    </row>
    <row r="537">
      <c r="B537" s="7"/>
      <c r="C537" s="66"/>
      <c r="D537" s="66"/>
    </row>
    <row r="538">
      <c r="B538" s="7"/>
      <c r="C538" s="66"/>
      <c r="D538" s="66"/>
    </row>
    <row r="539">
      <c r="B539" s="7"/>
      <c r="C539" s="66"/>
      <c r="D539" s="66"/>
    </row>
    <row r="540">
      <c r="B540" s="7"/>
      <c r="C540" s="66"/>
      <c r="D540" s="66"/>
    </row>
    <row r="541">
      <c r="B541" s="7"/>
      <c r="C541" s="66"/>
      <c r="D541" s="66"/>
    </row>
    <row r="542">
      <c r="B542" s="7"/>
      <c r="C542" s="66"/>
      <c r="D542" s="66"/>
    </row>
    <row r="543">
      <c r="B543" s="7"/>
      <c r="C543" s="66"/>
      <c r="D543" s="66"/>
    </row>
    <row r="544">
      <c r="B544" s="7"/>
      <c r="C544" s="66"/>
      <c r="D544" s="66"/>
    </row>
    <row r="545">
      <c r="B545" s="7"/>
      <c r="C545" s="66"/>
      <c r="D545" s="66"/>
    </row>
    <row r="546">
      <c r="B546" s="7"/>
      <c r="C546" s="66"/>
      <c r="D546" s="66"/>
    </row>
    <row r="547">
      <c r="B547" s="7"/>
      <c r="C547" s="66"/>
      <c r="D547" s="66"/>
    </row>
    <row r="548">
      <c r="B548" s="7"/>
      <c r="C548" s="66"/>
      <c r="D548" s="66"/>
    </row>
    <row r="549">
      <c r="B549" s="7"/>
      <c r="C549" s="66"/>
      <c r="D549" s="66"/>
    </row>
    <row r="550">
      <c r="B550" s="7"/>
      <c r="C550" s="66"/>
      <c r="D550" s="66"/>
    </row>
    <row r="551">
      <c r="B551" s="7"/>
      <c r="C551" s="66"/>
      <c r="D551" s="66"/>
    </row>
    <row r="552">
      <c r="B552" s="7"/>
      <c r="C552" s="66"/>
      <c r="D552" s="66"/>
    </row>
    <row r="553">
      <c r="B553" s="7"/>
      <c r="C553" s="66"/>
      <c r="D553" s="66"/>
    </row>
    <row r="554">
      <c r="B554" s="7"/>
      <c r="C554" s="66"/>
      <c r="D554" s="66"/>
    </row>
    <row r="555">
      <c r="B555" s="7"/>
      <c r="C555" s="66"/>
      <c r="D555" s="66"/>
    </row>
    <row r="556">
      <c r="B556" s="7"/>
      <c r="C556" s="66"/>
      <c r="D556" s="66"/>
    </row>
    <row r="557">
      <c r="B557" s="7"/>
      <c r="C557" s="66"/>
      <c r="D557" s="66"/>
    </row>
    <row r="558">
      <c r="B558" s="7"/>
      <c r="C558" s="66"/>
      <c r="D558" s="66"/>
    </row>
    <row r="559">
      <c r="B559" s="7"/>
      <c r="C559" s="66"/>
      <c r="D559" s="66"/>
    </row>
    <row r="560">
      <c r="B560" s="7"/>
      <c r="C560" s="66"/>
      <c r="D560" s="66"/>
    </row>
    <row r="561">
      <c r="B561" s="7"/>
      <c r="C561" s="66"/>
      <c r="D561" s="66"/>
    </row>
    <row r="562">
      <c r="B562" s="7"/>
      <c r="C562" s="66"/>
      <c r="D562" s="66"/>
    </row>
    <row r="563">
      <c r="B563" s="7"/>
      <c r="C563" s="66"/>
      <c r="D563" s="66"/>
    </row>
    <row r="564">
      <c r="B564" s="7"/>
      <c r="C564" s="66"/>
      <c r="D564" s="66"/>
    </row>
    <row r="565">
      <c r="B565" s="7"/>
      <c r="C565" s="66"/>
      <c r="D565" s="66"/>
    </row>
    <row r="566">
      <c r="B566" s="7"/>
      <c r="C566" s="66"/>
      <c r="D566" s="66"/>
    </row>
    <row r="567">
      <c r="B567" s="7"/>
      <c r="C567" s="66"/>
      <c r="D567" s="66"/>
    </row>
    <row r="568">
      <c r="B568" s="7"/>
      <c r="C568" s="66"/>
      <c r="D568" s="66"/>
    </row>
    <row r="569">
      <c r="B569" s="7"/>
      <c r="C569" s="66"/>
      <c r="D569" s="66"/>
    </row>
    <row r="570">
      <c r="B570" s="7"/>
      <c r="C570" s="66"/>
      <c r="D570" s="66"/>
    </row>
    <row r="571">
      <c r="B571" s="7"/>
      <c r="C571" s="66"/>
      <c r="D571" s="66"/>
    </row>
    <row r="572">
      <c r="B572" s="7"/>
      <c r="C572" s="66"/>
      <c r="D572" s="66"/>
    </row>
    <row r="573">
      <c r="B573" s="7"/>
      <c r="C573" s="66"/>
      <c r="D573" s="66"/>
    </row>
    <row r="574">
      <c r="B574" s="7"/>
      <c r="C574" s="66"/>
      <c r="D574" s="66"/>
    </row>
    <row r="575">
      <c r="B575" s="7"/>
      <c r="C575" s="66"/>
      <c r="D575" s="66"/>
    </row>
    <row r="576">
      <c r="B576" s="7"/>
      <c r="C576" s="66"/>
      <c r="D576" s="66"/>
    </row>
    <row r="577">
      <c r="B577" s="7"/>
      <c r="C577" s="66"/>
      <c r="D577" s="66"/>
    </row>
    <row r="578">
      <c r="B578" s="7"/>
      <c r="C578" s="66"/>
      <c r="D578" s="66"/>
    </row>
    <row r="579">
      <c r="B579" s="7"/>
      <c r="C579" s="66"/>
      <c r="D579" s="66"/>
    </row>
    <row r="580">
      <c r="B580" s="7"/>
      <c r="C580" s="66"/>
      <c r="D580" s="66"/>
    </row>
    <row r="581">
      <c r="B581" s="7"/>
      <c r="C581" s="66"/>
      <c r="D581" s="66"/>
    </row>
    <row r="582">
      <c r="B582" s="7"/>
      <c r="C582" s="66"/>
      <c r="D582" s="66"/>
    </row>
    <row r="583">
      <c r="B583" s="7"/>
      <c r="C583" s="66"/>
      <c r="D583" s="66"/>
    </row>
    <row r="584">
      <c r="B584" s="7"/>
      <c r="C584" s="66"/>
      <c r="D584" s="66"/>
    </row>
    <row r="585">
      <c r="B585" s="7"/>
      <c r="C585" s="66"/>
      <c r="D585" s="66"/>
    </row>
    <row r="586">
      <c r="B586" s="7"/>
      <c r="C586" s="66"/>
      <c r="D586" s="66"/>
    </row>
    <row r="587">
      <c r="B587" s="7"/>
      <c r="C587" s="66"/>
      <c r="D587" s="66"/>
    </row>
    <row r="588">
      <c r="B588" s="7"/>
      <c r="C588" s="66"/>
      <c r="D588" s="66"/>
    </row>
    <row r="589">
      <c r="B589" s="7"/>
      <c r="C589" s="66"/>
      <c r="D589" s="66"/>
    </row>
    <row r="590">
      <c r="B590" s="7"/>
      <c r="C590" s="66"/>
      <c r="D590" s="66"/>
    </row>
    <row r="591">
      <c r="B591" s="7"/>
      <c r="C591" s="66"/>
      <c r="D591" s="66"/>
    </row>
    <row r="592">
      <c r="B592" s="7"/>
      <c r="C592" s="66"/>
      <c r="D592" s="66"/>
    </row>
    <row r="593">
      <c r="B593" s="7"/>
      <c r="C593" s="66"/>
      <c r="D593" s="66"/>
    </row>
    <row r="594">
      <c r="B594" s="7"/>
      <c r="C594" s="66"/>
      <c r="D594" s="66"/>
    </row>
    <row r="595">
      <c r="B595" s="7"/>
      <c r="C595" s="66"/>
      <c r="D595" s="66"/>
    </row>
    <row r="596">
      <c r="B596" s="7"/>
      <c r="C596" s="66"/>
      <c r="D596" s="66"/>
    </row>
    <row r="597">
      <c r="B597" s="7"/>
      <c r="C597" s="66"/>
      <c r="D597" s="66"/>
    </row>
    <row r="598">
      <c r="B598" s="7"/>
      <c r="C598" s="66"/>
      <c r="D598" s="66"/>
    </row>
    <row r="599">
      <c r="B599" s="7"/>
      <c r="C599" s="66"/>
      <c r="D599" s="66"/>
    </row>
    <row r="600">
      <c r="B600" s="7"/>
      <c r="C600" s="66"/>
      <c r="D600" s="66"/>
    </row>
    <row r="601">
      <c r="B601" s="7"/>
      <c r="C601" s="66"/>
      <c r="D601" s="66"/>
    </row>
    <row r="602">
      <c r="B602" s="7"/>
      <c r="C602" s="66"/>
      <c r="D602" s="66"/>
    </row>
    <row r="603">
      <c r="B603" s="7"/>
      <c r="C603" s="66"/>
      <c r="D603" s="66"/>
    </row>
    <row r="604">
      <c r="B604" s="7"/>
      <c r="C604" s="66"/>
      <c r="D604" s="66"/>
    </row>
    <row r="605">
      <c r="B605" s="7"/>
      <c r="C605" s="66"/>
      <c r="D605" s="66"/>
    </row>
    <row r="606">
      <c r="B606" s="7"/>
      <c r="C606" s="66"/>
      <c r="D606" s="66"/>
    </row>
    <row r="607">
      <c r="B607" s="7"/>
      <c r="C607" s="66"/>
      <c r="D607" s="66"/>
    </row>
    <row r="608">
      <c r="B608" s="7"/>
      <c r="C608" s="66"/>
      <c r="D608" s="66"/>
    </row>
    <row r="609">
      <c r="B609" s="7"/>
      <c r="C609" s="66"/>
      <c r="D609" s="66"/>
    </row>
    <row r="610">
      <c r="B610" s="7"/>
      <c r="C610" s="66"/>
      <c r="D610" s="66"/>
    </row>
    <row r="611">
      <c r="B611" s="7"/>
      <c r="C611" s="66"/>
      <c r="D611" s="66"/>
    </row>
    <row r="612">
      <c r="B612" s="7"/>
      <c r="C612" s="66"/>
      <c r="D612" s="66"/>
    </row>
    <row r="613">
      <c r="B613" s="7"/>
      <c r="C613" s="66"/>
      <c r="D613" s="66"/>
    </row>
    <row r="614">
      <c r="B614" s="7"/>
      <c r="C614" s="66"/>
      <c r="D614" s="66"/>
    </row>
    <row r="615">
      <c r="B615" s="7"/>
      <c r="C615" s="66"/>
      <c r="D615" s="66"/>
    </row>
    <row r="616">
      <c r="B616" s="7"/>
      <c r="C616" s="66"/>
      <c r="D616" s="66"/>
    </row>
    <row r="617">
      <c r="B617" s="7"/>
      <c r="C617" s="66"/>
      <c r="D617" s="66"/>
    </row>
    <row r="618">
      <c r="B618" s="7"/>
      <c r="C618" s="66"/>
      <c r="D618" s="66"/>
    </row>
    <row r="619">
      <c r="B619" s="7"/>
      <c r="C619" s="66"/>
      <c r="D619" s="66"/>
    </row>
    <row r="620">
      <c r="B620" s="7"/>
      <c r="C620" s="66"/>
      <c r="D620" s="66"/>
    </row>
    <row r="621">
      <c r="B621" s="7"/>
      <c r="C621" s="66"/>
      <c r="D621" s="66"/>
    </row>
    <row r="622">
      <c r="B622" s="7"/>
      <c r="C622" s="66"/>
      <c r="D622" s="66"/>
    </row>
    <row r="623">
      <c r="B623" s="7"/>
      <c r="C623" s="66"/>
      <c r="D623" s="66"/>
    </row>
    <row r="624">
      <c r="B624" s="7"/>
      <c r="C624" s="66"/>
      <c r="D624" s="66"/>
    </row>
    <row r="625">
      <c r="B625" s="7"/>
      <c r="C625" s="66"/>
      <c r="D625" s="66"/>
    </row>
    <row r="626">
      <c r="B626" s="7"/>
      <c r="C626" s="66"/>
      <c r="D626" s="66"/>
    </row>
    <row r="627">
      <c r="B627" s="7"/>
      <c r="C627" s="66"/>
      <c r="D627" s="66"/>
    </row>
    <row r="628">
      <c r="B628" s="7"/>
      <c r="C628" s="66"/>
      <c r="D628" s="66"/>
    </row>
    <row r="629">
      <c r="B629" s="7"/>
      <c r="C629" s="66"/>
      <c r="D629" s="66"/>
    </row>
    <row r="630">
      <c r="B630" s="7"/>
      <c r="C630" s="66"/>
      <c r="D630" s="66"/>
    </row>
    <row r="631">
      <c r="B631" s="7"/>
      <c r="C631" s="66"/>
      <c r="D631" s="66"/>
    </row>
    <row r="632">
      <c r="B632" s="7"/>
      <c r="C632" s="66"/>
      <c r="D632" s="66"/>
    </row>
    <row r="633">
      <c r="B633" s="7"/>
      <c r="C633" s="66"/>
      <c r="D633" s="66"/>
    </row>
    <row r="634">
      <c r="B634" s="7"/>
      <c r="C634" s="66"/>
      <c r="D634" s="66"/>
    </row>
    <row r="635">
      <c r="B635" s="7"/>
      <c r="C635" s="66"/>
      <c r="D635" s="66"/>
    </row>
    <row r="636">
      <c r="B636" s="7"/>
      <c r="C636" s="66"/>
      <c r="D636" s="66"/>
    </row>
    <row r="637">
      <c r="B637" s="7"/>
      <c r="C637" s="66"/>
      <c r="D637" s="66"/>
    </row>
    <row r="638">
      <c r="B638" s="7"/>
      <c r="C638" s="66"/>
      <c r="D638" s="66"/>
    </row>
    <row r="639">
      <c r="B639" s="7"/>
      <c r="C639" s="66"/>
      <c r="D639" s="66"/>
    </row>
    <row r="640">
      <c r="B640" s="7"/>
      <c r="C640" s="66"/>
      <c r="D640" s="66"/>
    </row>
    <row r="641">
      <c r="B641" s="7"/>
      <c r="C641" s="66"/>
      <c r="D641" s="66"/>
    </row>
    <row r="642">
      <c r="B642" s="7"/>
      <c r="C642" s="66"/>
      <c r="D642" s="66"/>
    </row>
    <row r="643">
      <c r="B643" s="7"/>
      <c r="C643" s="66"/>
      <c r="D643" s="66"/>
    </row>
    <row r="644">
      <c r="B644" s="7"/>
      <c r="C644" s="66"/>
      <c r="D644" s="66"/>
    </row>
    <row r="645">
      <c r="B645" s="7"/>
      <c r="C645" s="66"/>
      <c r="D645" s="66"/>
    </row>
    <row r="646">
      <c r="B646" s="7"/>
      <c r="C646" s="66"/>
      <c r="D646" s="66"/>
    </row>
    <row r="647">
      <c r="B647" s="7"/>
      <c r="C647" s="66"/>
      <c r="D647" s="66"/>
    </row>
    <row r="648">
      <c r="B648" s="7"/>
      <c r="C648" s="66"/>
      <c r="D648" s="66"/>
    </row>
    <row r="649">
      <c r="B649" s="7"/>
      <c r="C649" s="66"/>
      <c r="D649" s="66"/>
    </row>
    <row r="650">
      <c r="B650" s="7"/>
      <c r="C650" s="66"/>
      <c r="D650" s="66"/>
    </row>
    <row r="651">
      <c r="B651" s="7"/>
      <c r="C651" s="66"/>
      <c r="D651" s="66"/>
    </row>
    <row r="652">
      <c r="B652" s="7"/>
      <c r="C652" s="66"/>
      <c r="D652" s="66"/>
    </row>
    <row r="653">
      <c r="B653" s="7"/>
      <c r="C653" s="66"/>
      <c r="D653" s="66"/>
    </row>
    <row r="654">
      <c r="B654" s="7"/>
      <c r="C654" s="66"/>
      <c r="D654" s="66"/>
    </row>
    <row r="655">
      <c r="B655" s="7"/>
      <c r="C655" s="66"/>
      <c r="D655" s="66"/>
    </row>
    <row r="656">
      <c r="B656" s="7"/>
      <c r="C656" s="66"/>
      <c r="D656" s="66"/>
    </row>
    <row r="657">
      <c r="B657" s="7"/>
      <c r="C657" s="66"/>
      <c r="D657" s="66"/>
    </row>
    <row r="658">
      <c r="B658" s="7"/>
      <c r="C658" s="66"/>
      <c r="D658" s="66"/>
    </row>
    <row r="659">
      <c r="B659" s="7"/>
      <c r="C659" s="66"/>
      <c r="D659" s="66"/>
    </row>
    <row r="660">
      <c r="B660" s="7"/>
      <c r="C660" s="66"/>
      <c r="D660" s="66"/>
    </row>
    <row r="661">
      <c r="B661" s="7"/>
      <c r="C661" s="66"/>
      <c r="D661" s="66"/>
    </row>
    <row r="662">
      <c r="B662" s="7"/>
      <c r="C662" s="66"/>
      <c r="D662" s="66"/>
    </row>
    <row r="663">
      <c r="B663" s="7"/>
      <c r="C663" s="66"/>
      <c r="D663" s="66"/>
    </row>
    <row r="664">
      <c r="B664" s="7"/>
      <c r="C664" s="66"/>
      <c r="D664" s="66"/>
    </row>
    <row r="665">
      <c r="B665" s="7"/>
      <c r="C665" s="66"/>
      <c r="D665" s="66"/>
    </row>
    <row r="666">
      <c r="B666" s="7"/>
      <c r="C666" s="66"/>
      <c r="D666" s="66"/>
    </row>
    <row r="667">
      <c r="B667" s="7"/>
      <c r="C667" s="66"/>
      <c r="D667" s="66"/>
    </row>
    <row r="668">
      <c r="B668" s="7"/>
      <c r="C668" s="66"/>
      <c r="D668" s="66"/>
    </row>
    <row r="669">
      <c r="B669" s="7"/>
      <c r="C669" s="66"/>
      <c r="D669" s="66"/>
    </row>
    <row r="670">
      <c r="B670" s="7"/>
      <c r="C670" s="66"/>
      <c r="D670" s="66"/>
    </row>
    <row r="671">
      <c r="B671" s="7"/>
      <c r="C671" s="66"/>
      <c r="D671" s="66"/>
    </row>
    <row r="672">
      <c r="B672" s="7"/>
      <c r="C672" s="66"/>
      <c r="D672" s="66"/>
    </row>
    <row r="673">
      <c r="B673" s="7"/>
      <c r="C673" s="66"/>
      <c r="D673" s="66"/>
    </row>
    <row r="674">
      <c r="B674" s="7"/>
      <c r="C674" s="66"/>
      <c r="D674" s="66"/>
    </row>
    <row r="675">
      <c r="B675" s="7"/>
      <c r="C675" s="66"/>
      <c r="D675" s="66"/>
    </row>
    <row r="676">
      <c r="B676" s="7"/>
      <c r="C676" s="66"/>
      <c r="D676" s="66"/>
    </row>
    <row r="677">
      <c r="B677" s="7"/>
      <c r="C677" s="66"/>
      <c r="D677" s="66"/>
    </row>
    <row r="678">
      <c r="B678" s="7"/>
      <c r="C678" s="66"/>
      <c r="D678" s="66"/>
    </row>
    <row r="679">
      <c r="B679" s="7"/>
      <c r="C679" s="66"/>
      <c r="D679" s="66"/>
    </row>
    <row r="680">
      <c r="B680" s="7"/>
      <c r="C680" s="66"/>
      <c r="D680" s="66"/>
    </row>
    <row r="681">
      <c r="B681" s="7"/>
      <c r="C681" s="66"/>
      <c r="D681" s="66"/>
    </row>
    <row r="682">
      <c r="B682" s="7"/>
      <c r="C682" s="66"/>
      <c r="D682" s="66"/>
    </row>
    <row r="683">
      <c r="B683" s="7"/>
      <c r="C683" s="66"/>
      <c r="D683" s="66"/>
    </row>
    <row r="684">
      <c r="B684" s="7"/>
      <c r="C684" s="66"/>
      <c r="D684" s="66"/>
    </row>
    <row r="685">
      <c r="B685" s="7"/>
      <c r="C685" s="66"/>
      <c r="D685" s="66"/>
    </row>
    <row r="686">
      <c r="B686" s="7"/>
      <c r="C686" s="66"/>
      <c r="D686" s="66"/>
    </row>
    <row r="687">
      <c r="B687" s="7"/>
      <c r="C687" s="66"/>
      <c r="D687" s="66"/>
    </row>
    <row r="688">
      <c r="B688" s="7"/>
      <c r="C688" s="66"/>
      <c r="D688" s="66"/>
    </row>
    <row r="689">
      <c r="B689" s="7"/>
      <c r="C689" s="66"/>
      <c r="D689" s="66"/>
    </row>
    <row r="690">
      <c r="B690" s="7"/>
      <c r="C690" s="66"/>
      <c r="D690" s="66"/>
    </row>
    <row r="691">
      <c r="B691" s="7"/>
      <c r="C691" s="66"/>
      <c r="D691" s="66"/>
    </row>
    <row r="692">
      <c r="B692" s="7"/>
      <c r="C692" s="66"/>
      <c r="D692" s="66"/>
    </row>
    <row r="693">
      <c r="B693" s="7"/>
      <c r="C693" s="66"/>
      <c r="D693" s="66"/>
    </row>
    <row r="694">
      <c r="B694" s="7"/>
      <c r="C694" s="66"/>
      <c r="D694" s="66"/>
    </row>
    <row r="695">
      <c r="B695" s="7"/>
      <c r="C695" s="66"/>
      <c r="D695" s="66"/>
    </row>
    <row r="696">
      <c r="B696" s="7"/>
      <c r="C696" s="66"/>
      <c r="D696" s="66"/>
    </row>
    <row r="697">
      <c r="B697" s="7"/>
      <c r="C697" s="66"/>
      <c r="D697" s="66"/>
    </row>
    <row r="698">
      <c r="B698" s="7"/>
      <c r="C698" s="66"/>
      <c r="D698" s="66"/>
    </row>
    <row r="699">
      <c r="B699" s="7"/>
      <c r="C699" s="66"/>
      <c r="D699" s="66"/>
    </row>
    <row r="700">
      <c r="B700" s="7"/>
      <c r="C700" s="66"/>
      <c r="D700" s="66"/>
    </row>
    <row r="701">
      <c r="B701" s="7"/>
      <c r="C701" s="66"/>
      <c r="D701" s="66"/>
    </row>
    <row r="702">
      <c r="B702" s="7"/>
      <c r="C702" s="66"/>
      <c r="D702" s="66"/>
    </row>
    <row r="703">
      <c r="B703" s="7"/>
      <c r="C703" s="66"/>
      <c r="D703" s="66"/>
    </row>
    <row r="704">
      <c r="B704" s="7"/>
      <c r="C704" s="66"/>
      <c r="D704" s="66"/>
    </row>
    <row r="705">
      <c r="B705" s="7"/>
      <c r="C705" s="66"/>
      <c r="D705" s="66"/>
    </row>
    <row r="706">
      <c r="B706" s="7"/>
      <c r="C706" s="66"/>
      <c r="D706" s="66"/>
    </row>
    <row r="707">
      <c r="B707" s="7"/>
      <c r="C707" s="66"/>
      <c r="D707" s="66"/>
    </row>
    <row r="708">
      <c r="B708" s="7"/>
      <c r="C708" s="66"/>
      <c r="D708" s="66"/>
    </row>
    <row r="709">
      <c r="B709" s="7"/>
      <c r="C709" s="66"/>
      <c r="D709" s="66"/>
    </row>
    <row r="710">
      <c r="B710" s="7"/>
      <c r="C710" s="66"/>
      <c r="D710" s="66"/>
    </row>
    <row r="711">
      <c r="B711" s="7"/>
      <c r="C711" s="66"/>
      <c r="D711" s="66"/>
    </row>
    <row r="712">
      <c r="B712" s="7"/>
      <c r="C712" s="66"/>
      <c r="D712" s="66"/>
    </row>
    <row r="713">
      <c r="B713" s="7"/>
      <c r="C713" s="66"/>
      <c r="D713" s="66"/>
    </row>
    <row r="714">
      <c r="B714" s="7"/>
      <c r="C714" s="66"/>
      <c r="D714" s="66"/>
    </row>
    <row r="715">
      <c r="B715" s="7"/>
      <c r="C715" s="66"/>
      <c r="D715" s="66"/>
    </row>
    <row r="716">
      <c r="B716" s="7"/>
      <c r="C716" s="66"/>
      <c r="D716" s="66"/>
    </row>
    <row r="717">
      <c r="B717" s="7"/>
      <c r="C717" s="66"/>
      <c r="D717" s="66"/>
    </row>
    <row r="718">
      <c r="B718" s="7"/>
      <c r="C718" s="66"/>
      <c r="D718" s="66"/>
    </row>
    <row r="719">
      <c r="B719" s="7"/>
      <c r="C719" s="66"/>
      <c r="D719" s="66"/>
    </row>
    <row r="720">
      <c r="B720" s="7"/>
      <c r="C720" s="66"/>
      <c r="D720" s="66"/>
    </row>
    <row r="721">
      <c r="B721" s="7"/>
      <c r="C721" s="66"/>
      <c r="D721" s="66"/>
    </row>
    <row r="722">
      <c r="B722" s="7"/>
      <c r="C722" s="66"/>
      <c r="D722" s="66"/>
    </row>
    <row r="723">
      <c r="B723" s="7"/>
      <c r="C723" s="66"/>
      <c r="D723" s="66"/>
    </row>
    <row r="724">
      <c r="B724" s="7"/>
      <c r="C724" s="66"/>
      <c r="D724" s="66"/>
    </row>
    <row r="725">
      <c r="B725" s="7"/>
      <c r="C725" s="66"/>
      <c r="D725" s="66"/>
    </row>
    <row r="726">
      <c r="B726" s="7"/>
      <c r="C726" s="66"/>
      <c r="D726" s="66"/>
    </row>
    <row r="727">
      <c r="B727" s="7"/>
      <c r="C727" s="66"/>
      <c r="D727" s="66"/>
    </row>
    <row r="728">
      <c r="B728" s="7"/>
      <c r="C728" s="66"/>
      <c r="D728" s="66"/>
    </row>
    <row r="729">
      <c r="B729" s="7"/>
      <c r="C729" s="66"/>
      <c r="D729" s="66"/>
    </row>
    <row r="730">
      <c r="B730" s="7"/>
      <c r="C730" s="66"/>
      <c r="D730" s="66"/>
    </row>
    <row r="731">
      <c r="B731" s="7"/>
      <c r="C731" s="66"/>
      <c r="D731" s="66"/>
    </row>
    <row r="732">
      <c r="B732" s="7"/>
      <c r="C732" s="66"/>
      <c r="D732" s="66"/>
    </row>
    <row r="733">
      <c r="B733" s="7"/>
      <c r="C733" s="66"/>
      <c r="D733" s="66"/>
    </row>
    <row r="734">
      <c r="B734" s="7"/>
      <c r="C734" s="66"/>
      <c r="D734" s="66"/>
    </row>
    <row r="735">
      <c r="B735" s="7"/>
      <c r="C735" s="66"/>
      <c r="D735" s="66"/>
    </row>
    <row r="736">
      <c r="B736" s="7"/>
      <c r="C736" s="66"/>
      <c r="D736" s="66"/>
    </row>
    <row r="737">
      <c r="B737" s="7"/>
      <c r="C737" s="66"/>
      <c r="D737" s="66"/>
    </row>
    <row r="738">
      <c r="B738" s="7"/>
      <c r="C738" s="66"/>
      <c r="D738" s="66"/>
    </row>
    <row r="739">
      <c r="B739" s="7"/>
      <c r="C739" s="66"/>
      <c r="D739" s="66"/>
    </row>
    <row r="740">
      <c r="B740" s="7"/>
      <c r="C740" s="66"/>
      <c r="D740" s="66"/>
    </row>
    <row r="741">
      <c r="B741" s="7"/>
      <c r="C741" s="66"/>
      <c r="D741" s="66"/>
    </row>
    <row r="742">
      <c r="B742" s="7"/>
      <c r="C742" s="66"/>
      <c r="D742" s="66"/>
    </row>
    <row r="743">
      <c r="B743" s="7"/>
      <c r="C743" s="66"/>
      <c r="D743" s="66"/>
    </row>
    <row r="744">
      <c r="B744" s="7"/>
      <c r="C744" s="66"/>
      <c r="D744" s="66"/>
    </row>
    <row r="745">
      <c r="B745" s="7"/>
      <c r="C745" s="66"/>
      <c r="D745" s="66"/>
    </row>
    <row r="746">
      <c r="B746" s="7"/>
      <c r="C746" s="66"/>
      <c r="D746" s="66"/>
    </row>
    <row r="747">
      <c r="B747" s="7"/>
      <c r="C747" s="66"/>
      <c r="D747" s="66"/>
    </row>
    <row r="748">
      <c r="B748" s="7"/>
      <c r="C748" s="66"/>
      <c r="D748" s="66"/>
    </row>
    <row r="749">
      <c r="B749" s="7"/>
      <c r="C749" s="66"/>
      <c r="D749" s="66"/>
    </row>
    <row r="750">
      <c r="B750" s="7"/>
      <c r="C750" s="66"/>
      <c r="D750" s="66"/>
    </row>
    <row r="751">
      <c r="B751" s="7"/>
      <c r="C751" s="66"/>
      <c r="D751" s="66"/>
    </row>
    <row r="752">
      <c r="B752" s="7"/>
      <c r="C752" s="66"/>
      <c r="D752" s="66"/>
    </row>
    <row r="753">
      <c r="B753" s="7"/>
      <c r="C753" s="66"/>
      <c r="D753" s="66"/>
    </row>
    <row r="754">
      <c r="B754" s="7"/>
      <c r="C754" s="66"/>
      <c r="D754" s="66"/>
    </row>
    <row r="755">
      <c r="B755" s="7"/>
      <c r="C755" s="66"/>
      <c r="D755" s="66"/>
    </row>
    <row r="756">
      <c r="B756" s="7"/>
      <c r="C756" s="66"/>
      <c r="D756" s="66"/>
    </row>
    <row r="757">
      <c r="B757" s="7"/>
      <c r="C757" s="66"/>
      <c r="D757" s="66"/>
    </row>
    <row r="758">
      <c r="B758" s="7"/>
      <c r="C758" s="66"/>
      <c r="D758" s="66"/>
    </row>
    <row r="759">
      <c r="B759" s="7"/>
      <c r="C759" s="66"/>
      <c r="D759" s="66"/>
    </row>
    <row r="760">
      <c r="B760" s="7"/>
      <c r="C760" s="66"/>
      <c r="D760" s="66"/>
    </row>
    <row r="761">
      <c r="B761" s="7"/>
      <c r="C761" s="66"/>
      <c r="D761" s="66"/>
    </row>
    <row r="762">
      <c r="B762" s="7"/>
      <c r="C762" s="66"/>
      <c r="D762" s="66"/>
    </row>
    <row r="763">
      <c r="B763" s="7"/>
      <c r="C763" s="66"/>
      <c r="D763" s="66"/>
    </row>
    <row r="764">
      <c r="B764" s="7"/>
      <c r="C764" s="66"/>
      <c r="D764" s="66"/>
    </row>
    <row r="765">
      <c r="B765" s="7"/>
      <c r="C765" s="66"/>
      <c r="D765" s="66"/>
    </row>
    <row r="766">
      <c r="B766" s="7"/>
      <c r="C766" s="66"/>
      <c r="D766" s="66"/>
    </row>
    <row r="767">
      <c r="B767" s="7"/>
      <c r="C767" s="66"/>
      <c r="D767" s="66"/>
    </row>
    <row r="768">
      <c r="B768" s="7"/>
      <c r="C768" s="66"/>
      <c r="D768" s="66"/>
    </row>
    <row r="769">
      <c r="B769" s="7"/>
      <c r="C769" s="66"/>
      <c r="D769" s="66"/>
    </row>
    <row r="770">
      <c r="B770" s="7"/>
      <c r="C770" s="66"/>
      <c r="D770" s="66"/>
    </row>
    <row r="771">
      <c r="B771" s="7"/>
      <c r="C771" s="66"/>
      <c r="D771" s="66"/>
    </row>
    <row r="772">
      <c r="B772" s="7"/>
      <c r="C772" s="66"/>
      <c r="D772" s="66"/>
    </row>
    <row r="773">
      <c r="B773" s="7"/>
      <c r="C773" s="66"/>
      <c r="D773" s="66"/>
    </row>
    <row r="774">
      <c r="B774" s="7"/>
      <c r="C774" s="66"/>
      <c r="D774" s="66"/>
    </row>
    <row r="775">
      <c r="B775" s="7"/>
      <c r="C775" s="66"/>
      <c r="D775" s="66"/>
    </row>
    <row r="776">
      <c r="B776" s="7"/>
      <c r="C776" s="66"/>
      <c r="D776" s="66"/>
    </row>
    <row r="777">
      <c r="B777" s="7"/>
      <c r="C777" s="66"/>
      <c r="D777" s="66"/>
    </row>
    <row r="778">
      <c r="B778" s="7"/>
      <c r="C778" s="66"/>
      <c r="D778" s="66"/>
    </row>
    <row r="779">
      <c r="B779" s="7"/>
      <c r="C779" s="66"/>
      <c r="D779" s="66"/>
    </row>
    <row r="780">
      <c r="B780" s="7"/>
      <c r="C780" s="66"/>
      <c r="D780" s="66"/>
    </row>
    <row r="781">
      <c r="B781" s="7"/>
      <c r="C781" s="66"/>
      <c r="D781" s="66"/>
    </row>
    <row r="782">
      <c r="B782" s="7"/>
      <c r="C782" s="66"/>
      <c r="D782" s="66"/>
    </row>
    <row r="783">
      <c r="B783" s="7"/>
      <c r="C783" s="66"/>
      <c r="D783" s="66"/>
    </row>
    <row r="784">
      <c r="B784" s="7"/>
      <c r="C784" s="66"/>
      <c r="D784" s="66"/>
    </row>
    <row r="785">
      <c r="B785" s="7"/>
      <c r="C785" s="66"/>
      <c r="D785" s="66"/>
    </row>
    <row r="786">
      <c r="B786" s="7"/>
      <c r="C786" s="66"/>
      <c r="D786" s="66"/>
    </row>
    <row r="787">
      <c r="B787" s="7"/>
      <c r="C787" s="66"/>
      <c r="D787" s="66"/>
    </row>
    <row r="788">
      <c r="B788" s="7"/>
      <c r="C788" s="66"/>
      <c r="D788" s="66"/>
    </row>
    <row r="789">
      <c r="B789" s="7"/>
      <c r="C789" s="66"/>
      <c r="D789" s="66"/>
    </row>
    <row r="790">
      <c r="B790" s="7"/>
      <c r="C790" s="66"/>
      <c r="D790" s="66"/>
    </row>
    <row r="791">
      <c r="B791" s="7"/>
      <c r="C791" s="66"/>
      <c r="D791" s="66"/>
    </row>
    <row r="792">
      <c r="B792" s="7"/>
      <c r="C792" s="66"/>
      <c r="D792" s="66"/>
    </row>
    <row r="793">
      <c r="B793" s="7"/>
      <c r="C793" s="66"/>
      <c r="D793" s="66"/>
    </row>
    <row r="794">
      <c r="B794" s="7"/>
      <c r="C794" s="66"/>
      <c r="D794" s="66"/>
    </row>
    <row r="795">
      <c r="B795" s="7"/>
      <c r="C795" s="66"/>
      <c r="D795" s="66"/>
    </row>
    <row r="796">
      <c r="B796" s="7"/>
      <c r="C796" s="66"/>
      <c r="D796" s="66"/>
    </row>
    <row r="797">
      <c r="B797" s="7"/>
      <c r="C797" s="66"/>
      <c r="D797" s="66"/>
    </row>
    <row r="798">
      <c r="B798" s="7"/>
      <c r="C798" s="66"/>
      <c r="D798" s="66"/>
    </row>
    <row r="799">
      <c r="B799" s="7"/>
      <c r="C799" s="66"/>
      <c r="D799" s="66"/>
    </row>
    <row r="800">
      <c r="B800" s="7"/>
      <c r="C800" s="66"/>
      <c r="D800" s="66"/>
    </row>
    <row r="801">
      <c r="B801" s="7"/>
      <c r="C801" s="66"/>
      <c r="D801" s="66"/>
    </row>
    <row r="802">
      <c r="B802" s="7"/>
      <c r="C802" s="66"/>
      <c r="D802" s="66"/>
    </row>
    <row r="803">
      <c r="B803" s="7"/>
      <c r="C803" s="66"/>
      <c r="D803" s="66"/>
    </row>
    <row r="804">
      <c r="B804" s="7"/>
      <c r="C804" s="66"/>
      <c r="D804" s="66"/>
    </row>
    <row r="805">
      <c r="B805" s="7"/>
      <c r="C805" s="66"/>
      <c r="D805" s="66"/>
    </row>
    <row r="806">
      <c r="B806" s="7"/>
      <c r="C806" s="66"/>
      <c r="D806" s="66"/>
    </row>
    <row r="807">
      <c r="B807" s="7"/>
      <c r="C807" s="66"/>
      <c r="D807" s="66"/>
    </row>
    <row r="808">
      <c r="B808" s="7"/>
      <c r="C808" s="66"/>
      <c r="D808" s="66"/>
    </row>
    <row r="809">
      <c r="B809" s="7"/>
      <c r="C809" s="66"/>
      <c r="D809" s="66"/>
    </row>
    <row r="810">
      <c r="B810" s="7"/>
      <c r="C810" s="66"/>
      <c r="D810" s="66"/>
    </row>
    <row r="811">
      <c r="B811" s="7"/>
      <c r="C811" s="66"/>
      <c r="D811" s="66"/>
    </row>
    <row r="812">
      <c r="B812" s="7"/>
      <c r="C812" s="66"/>
      <c r="D812" s="66"/>
    </row>
    <row r="813">
      <c r="B813" s="7"/>
      <c r="C813" s="66"/>
      <c r="D813" s="66"/>
    </row>
    <row r="814">
      <c r="B814" s="7"/>
      <c r="C814" s="66"/>
      <c r="D814" s="66"/>
    </row>
    <row r="815">
      <c r="B815" s="7"/>
      <c r="C815" s="66"/>
      <c r="D815" s="66"/>
    </row>
    <row r="816">
      <c r="B816" s="7"/>
      <c r="C816" s="66"/>
      <c r="D816" s="66"/>
    </row>
    <row r="817">
      <c r="B817" s="7"/>
      <c r="C817" s="66"/>
      <c r="D817" s="66"/>
    </row>
    <row r="818">
      <c r="B818" s="7"/>
      <c r="C818" s="66"/>
      <c r="D818" s="66"/>
    </row>
    <row r="819">
      <c r="B819" s="7"/>
      <c r="C819" s="66"/>
      <c r="D819" s="66"/>
    </row>
    <row r="820">
      <c r="B820" s="7"/>
      <c r="C820" s="66"/>
      <c r="D820" s="66"/>
    </row>
    <row r="821">
      <c r="B821" s="7"/>
      <c r="C821" s="66"/>
      <c r="D821" s="66"/>
    </row>
    <row r="822">
      <c r="B822" s="7"/>
      <c r="C822" s="66"/>
      <c r="D822" s="66"/>
    </row>
    <row r="823">
      <c r="B823" s="7"/>
      <c r="C823" s="66"/>
      <c r="D823" s="66"/>
    </row>
    <row r="824">
      <c r="B824" s="7"/>
      <c r="C824" s="66"/>
      <c r="D824" s="66"/>
    </row>
    <row r="825">
      <c r="B825" s="7"/>
      <c r="C825" s="66"/>
      <c r="D825" s="66"/>
    </row>
    <row r="826">
      <c r="B826" s="7"/>
      <c r="C826" s="66"/>
      <c r="D826" s="66"/>
    </row>
    <row r="827">
      <c r="B827" s="7"/>
      <c r="C827" s="66"/>
      <c r="D827" s="66"/>
    </row>
    <row r="828">
      <c r="B828" s="7"/>
      <c r="C828" s="66"/>
      <c r="D828" s="66"/>
    </row>
    <row r="829">
      <c r="B829" s="7"/>
      <c r="C829" s="66"/>
      <c r="D829" s="66"/>
    </row>
    <row r="830">
      <c r="B830" s="7"/>
      <c r="C830" s="66"/>
      <c r="D830" s="66"/>
    </row>
    <row r="831">
      <c r="B831" s="7"/>
      <c r="C831" s="66"/>
      <c r="D831" s="66"/>
    </row>
    <row r="832">
      <c r="B832" s="7"/>
      <c r="C832" s="66"/>
      <c r="D832" s="66"/>
    </row>
    <row r="833">
      <c r="B833" s="7"/>
      <c r="C833" s="66"/>
      <c r="D833" s="66"/>
    </row>
    <row r="834">
      <c r="B834" s="7"/>
      <c r="C834" s="66"/>
      <c r="D834" s="66"/>
    </row>
    <row r="835">
      <c r="B835" s="7"/>
      <c r="C835" s="66"/>
      <c r="D835" s="66"/>
    </row>
    <row r="836">
      <c r="B836" s="7"/>
      <c r="C836" s="66"/>
      <c r="D836" s="66"/>
    </row>
    <row r="837">
      <c r="B837" s="7"/>
      <c r="C837" s="66"/>
      <c r="D837" s="66"/>
    </row>
    <row r="838">
      <c r="B838" s="7"/>
      <c r="C838" s="66"/>
      <c r="D838" s="66"/>
    </row>
    <row r="839">
      <c r="B839" s="7"/>
      <c r="C839" s="66"/>
      <c r="D839" s="66"/>
    </row>
    <row r="840">
      <c r="B840" s="7"/>
      <c r="C840" s="66"/>
      <c r="D840" s="66"/>
    </row>
    <row r="841">
      <c r="B841" s="7"/>
      <c r="C841" s="66"/>
      <c r="D841" s="66"/>
    </row>
    <row r="842">
      <c r="B842" s="7"/>
      <c r="C842" s="66"/>
      <c r="D842" s="66"/>
    </row>
    <row r="843">
      <c r="B843" s="7"/>
      <c r="C843" s="66"/>
      <c r="D843" s="66"/>
    </row>
    <row r="844">
      <c r="B844" s="7"/>
      <c r="C844" s="66"/>
      <c r="D844" s="66"/>
    </row>
    <row r="845">
      <c r="B845" s="7"/>
      <c r="C845" s="66"/>
      <c r="D845" s="66"/>
    </row>
    <row r="846">
      <c r="B846" s="7"/>
      <c r="C846" s="66"/>
      <c r="D846" s="66"/>
    </row>
    <row r="847">
      <c r="B847" s="7"/>
      <c r="C847" s="66"/>
      <c r="D847" s="66"/>
    </row>
    <row r="848">
      <c r="B848" s="7"/>
      <c r="C848" s="66"/>
      <c r="D848" s="66"/>
    </row>
    <row r="849">
      <c r="B849" s="7"/>
      <c r="C849" s="66"/>
      <c r="D849" s="66"/>
    </row>
    <row r="850">
      <c r="B850" s="7"/>
      <c r="C850" s="66"/>
      <c r="D850" s="66"/>
    </row>
    <row r="851">
      <c r="B851" s="7"/>
      <c r="C851" s="66"/>
      <c r="D851" s="66"/>
    </row>
    <row r="852">
      <c r="B852" s="7"/>
      <c r="C852" s="66"/>
      <c r="D852" s="66"/>
    </row>
    <row r="853">
      <c r="B853" s="7"/>
      <c r="C853" s="66"/>
      <c r="D853" s="66"/>
    </row>
    <row r="854">
      <c r="B854" s="7"/>
      <c r="C854" s="66"/>
      <c r="D854" s="66"/>
    </row>
    <row r="855">
      <c r="B855" s="7"/>
      <c r="C855" s="66"/>
      <c r="D855" s="66"/>
    </row>
    <row r="856">
      <c r="B856" s="7"/>
      <c r="C856" s="66"/>
      <c r="D856" s="66"/>
    </row>
    <row r="857">
      <c r="B857" s="7"/>
      <c r="C857" s="66"/>
      <c r="D857" s="66"/>
    </row>
    <row r="858">
      <c r="B858" s="7"/>
      <c r="C858" s="66"/>
      <c r="D858" s="66"/>
    </row>
    <row r="859">
      <c r="B859" s="7"/>
      <c r="C859" s="66"/>
      <c r="D859" s="66"/>
    </row>
    <row r="860">
      <c r="B860" s="7"/>
      <c r="C860" s="66"/>
      <c r="D860" s="66"/>
    </row>
    <row r="861">
      <c r="B861" s="7"/>
      <c r="C861" s="66"/>
      <c r="D861" s="66"/>
    </row>
    <row r="862">
      <c r="B862" s="7"/>
      <c r="C862" s="66"/>
      <c r="D862" s="66"/>
    </row>
    <row r="863">
      <c r="B863" s="7"/>
      <c r="C863" s="66"/>
      <c r="D863" s="66"/>
    </row>
    <row r="864">
      <c r="B864" s="7"/>
      <c r="C864" s="66"/>
      <c r="D864" s="66"/>
    </row>
    <row r="865">
      <c r="B865" s="7"/>
      <c r="C865" s="66"/>
      <c r="D865" s="66"/>
    </row>
    <row r="866">
      <c r="B866" s="7"/>
      <c r="C866" s="66"/>
      <c r="D866" s="66"/>
    </row>
    <row r="867">
      <c r="B867" s="7"/>
      <c r="C867" s="66"/>
      <c r="D867" s="66"/>
    </row>
    <row r="868">
      <c r="B868" s="7"/>
      <c r="C868" s="66"/>
      <c r="D868" s="66"/>
    </row>
    <row r="869">
      <c r="B869" s="7"/>
      <c r="C869" s="66"/>
      <c r="D869" s="66"/>
    </row>
    <row r="870">
      <c r="B870" s="7"/>
      <c r="C870" s="66"/>
      <c r="D870" s="66"/>
    </row>
    <row r="871">
      <c r="B871" s="7"/>
      <c r="C871" s="66"/>
      <c r="D871" s="66"/>
    </row>
    <row r="872">
      <c r="B872" s="7"/>
      <c r="C872" s="66"/>
      <c r="D872" s="66"/>
    </row>
    <row r="873">
      <c r="B873" s="7"/>
      <c r="C873" s="66"/>
      <c r="D873" s="66"/>
    </row>
    <row r="874">
      <c r="B874" s="7"/>
      <c r="C874" s="66"/>
      <c r="D874" s="66"/>
    </row>
    <row r="875">
      <c r="B875" s="7"/>
      <c r="C875" s="66"/>
      <c r="D875" s="66"/>
    </row>
    <row r="876">
      <c r="B876" s="7"/>
      <c r="C876" s="66"/>
      <c r="D876" s="66"/>
    </row>
    <row r="877">
      <c r="B877" s="7"/>
      <c r="C877" s="66"/>
      <c r="D877" s="66"/>
    </row>
    <row r="878">
      <c r="B878" s="7"/>
      <c r="C878" s="66"/>
      <c r="D878" s="66"/>
    </row>
    <row r="879">
      <c r="B879" s="7"/>
      <c r="C879" s="66"/>
      <c r="D879" s="66"/>
    </row>
    <row r="880">
      <c r="B880" s="7"/>
      <c r="C880" s="66"/>
      <c r="D880" s="66"/>
    </row>
    <row r="881">
      <c r="B881" s="7"/>
      <c r="C881" s="66"/>
      <c r="D881" s="66"/>
    </row>
    <row r="882">
      <c r="B882" s="7"/>
      <c r="C882" s="66"/>
      <c r="D882" s="66"/>
    </row>
    <row r="883">
      <c r="B883" s="7"/>
      <c r="C883" s="66"/>
      <c r="D883" s="66"/>
    </row>
    <row r="884">
      <c r="B884" s="7"/>
      <c r="C884" s="66"/>
      <c r="D884" s="66"/>
    </row>
    <row r="885">
      <c r="B885" s="7"/>
      <c r="C885" s="66"/>
      <c r="D885" s="66"/>
    </row>
    <row r="886">
      <c r="B886" s="7"/>
      <c r="C886" s="66"/>
      <c r="D886" s="66"/>
    </row>
    <row r="887">
      <c r="B887" s="7"/>
      <c r="C887" s="66"/>
      <c r="D887" s="66"/>
    </row>
    <row r="888">
      <c r="B888" s="7"/>
      <c r="C888" s="66"/>
      <c r="D888" s="66"/>
    </row>
    <row r="889">
      <c r="B889" s="7"/>
      <c r="C889" s="66"/>
      <c r="D889" s="66"/>
    </row>
    <row r="890">
      <c r="B890" s="7"/>
      <c r="C890" s="66"/>
      <c r="D890" s="66"/>
    </row>
    <row r="891">
      <c r="B891" s="7"/>
      <c r="C891" s="66"/>
      <c r="D891" s="66"/>
    </row>
    <row r="892">
      <c r="B892" s="7"/>
      <c r="C892" s="66"/>
      <c r="D892" s="66"/>
    </row>
    <row r="893">
      <c r="B893" s="7"/>
      <c r="C893" s="66"/>
      <c r="D893" s="66"/>
    </row>
    <row r="894">
      <c r="B894" s="7"/>
      <c r="C894" s="66"/>
      <c r="D894" s="66"/>
    </row>
    <row r="895">
      <c r="B895" s="7"/>
      <c r="C895" s="66"/>
      <c r="D895" s="66"/>
    </row>
    <row r="896">
      <c r="B896" s="7"/>
      <c r="C896" s="66"/>
      <c r="D896" s="66"/>
    </row>
    <row r="897">
      <c r="B897" s="7"/>
      <c r="C897" s="66"/>
      <c r="D897" s="66"/>
    </row>
    <row r="898">
      <c r="B898" s="7"/>
      <c r="C898" s="66"/>
      <c r="D898" s="66"/>
    </row>
    <row r="899">
      <c r="B899" s="7"/>
      <c r="C899" s="66"/>
      <c r="D899" s="66"/>
    </row>
    <row r="900">
      <c r="B900" s="7"/>
      <c r="C900" s="66"/>
      <c r="D900" s="66"/>
    </row>
    <row r="901">
      <c r="B901" s="7"/>
      <c r="C901" s="66"/>
      <c r="D901" s="66"/>
    </row>
    <row r="902">
      <c r="B902" s="7"/>
      <c r="C902" s="66"/>
      <c r="D902" s="66"/>
    </row>
    <row r="903">
      <c r="B903" s="7"/>
      <c r="C903" s="66"/>
      <c r="D903" s="66"/>
    </row>
    <row r="904">
      <c r="B904" s="7"/>
      <c r="C904" s="66"/>
      <c r="D904" s="66"/>
    </row>
    <row r="905">
      <c r="B905" s="7"/>
      <c r="C905" s="66"/>
      <c r="D905" s="66"/>
    </row>
    <row r="906">
      <c r="B906" s="7"/>
      <c r="C906" s="66"/>
      <c r="D906" s="66"/>
    </row>
    <row r="907">
      <c r="B907" s="7"/>
      <c r="C907" s="66"/>
      <c r="D907" s="66"/>
    </row>
    <row r="908">
      <c r="B908" s="7"/>
      <c r="C908" s="66"/>
      <c r="D908" s="66"/>
    </row>
    <row r="909">
      <c r="B909" s="7"/>
      <c r="C909" s="66"/>
      <c r="D909" s="66"/>
    </row>
    <row r="910">
      <c r="B910" s="7"/>
      <c r="C910" s="66"/>
      <c r="D910" s="66"/>
    </row>
    <row r="911">
      <c r="B911" s="7"/>
      <c r="C911" s="66"/>
      <c r="D911" s="66"/>
    </row>
    <row r="912">
      <c r="B912" s="7"/>
      <c r="C912" s="66"/>
      <c r="D912" s="66"/>
    </row>
    <row r="913">
      <c r="B913" s="7"/>
      <c r="C913" s="66"/>
      <c r="D913" s="66"/>
    </row>
    <row r="914">
      <c r="B914" s="7"/>
      <c r="C914" s="66"/>
      <c r="D914" s="66"/>
    </row>
    <row r="915">
      <c r="B915" s="7"/>
      <c r="C915" s="66"/>
      <c r="D915" s="66"/>
    </row>
    <row r="916">
      <c r="B916" s="7"/>
      <c r="C916" s="66"/>
      <c r="D916" s="66"/>
    </row>
    <row r="917">
      <c r="B917" s="7"/>
      <c r="C917" s="66"/>
      <c r="D917" s="66"/>
    </row>
    <row r="918">
      <c r="B918" s="7"/>
      <c r="C918" s="66"/>
      <c r="D918" s="66"/>
    </row>
    <row r="919">
      <c r="B919" s="7"/>
      <c r="C919" s="66"/>
      <c r="D919" s="66"/>
    </row>
    <row r="920">
      <c r="B920" s="7"/>
      <c r="C920" s="66"/>
      <c r="D920" s="66"/>
    </row>
    <row r="921">
      <c r="B921" s="7"/>
      <c r="C921" s="66"/>
      <c r="D921" s="66"/>
    </row>
    <row r="922">
      <c r="B922" s="7"/>
      <c r="C922" s="66"/>
      <c r="D922" s="66"/>
    </row>
    <row r="923">
      <c r="B923" s="7"/>
      <c r="C923" s="66"/>
      <c r="D923" s="66"/>
    </row>
    <row r="924">
      <c r="B924" s="7"/>
      <c r="C924" s="66"/>
      <c r="D924" s="66"/>
    </row>
    <row r="925">
      <c r="B925" s="7"/>
      <c r="C925" s="66"/>
      <c r="D925" s="66"/>
    </row>
    <row r="926">
      <c r="B926" s="7"/>
      <c r="C926" s="66"/>
      <c r="D926" s="66"/>
    </row>
    <row r="927">
      <c r="B927" s="7"/>
      <c r="C927" s="66"/>
      <c r="D927" s="66"/>
    </row>
    <row r="928">
      <c r="B928" s="7"/>
      <c r="C928" s="66"/>
      <c r="D928" s="66"/>
    </row>
    <row r="929">
      <c r="B929" s="7"/>
      <c r="C929" s="66"/>
      <c r="D929" s="66"/>
    </row>
    <row r="930">
      <c r="B930" s="7"/>
      <c r="C930" s="66"/>
      <c r="D930" s="66"/>
    </row>
    <row r="931">
      <c r="B931" s="7"/>
      <c r="C931" s="66"/>
      <c r="D931" s="66"/>
    </row>
    <row r="932">
      <c r="B932" s="7"/>
      <c r="C932" s="66"/>
      <c r="D932" s="66"/>
    </row>
    <row r="933">
      <c r="B933" s="7"/>
      <c r="C933" s="66"/>
      <c r="D933" s="66"/>
    </row>
    <row r="934">
      <c r="B934" s="7"/>
      <c r="C934" s="66"/>
      <c r="D934" s="66"/>
    </row>
    <row r="935">
      <c r="B935" s="7"/>
      <c r="C935" s="66"/>
      <c r="D935" s="66"/>
    </row>
    <row r="936">
      <c r="B936" s="7"/>
      <c r="C936" s="66"/>
      <c r="D936" s="66"/>
    </row>
    <row r="937">
      <c r="B937" s="7"/>
      <c r="C937" s="66"/>
      <c r="D937" s="66"/>
    </row>
    <row r="938">
      <c r="B938" s="7"/>
      <c r="C938" s="66"/>
      <c r="D938" s="66"/>
    </row>
    <row r="939">
      <c r="B939" s="7"/>
      <c r="C939" s="66"/>
      <c r="D939" s="66"/>
    </row>
    <row r="940">
      <c r="B940" s="7"/>
      <c r="C940" s="66"/>
      <c r="D940" s="66"/>
    </row>
    <row r="941">
      <c r="B941" s="7"/>
      <c r="C941" s="66"/>
      <c r="D941" s="66"/>
    </row>
    <row r="942">
      <c r="B942" s="7"/>
      <c r="C942" s="66"/>
      <c r="D942" s="66"/>
    </row>
    <row r="943">
      <c r="B943" s="7"/>
      <c r="C943" s="66"/>
      <c r="D943" s="66"/>
    </row>
    <row r="944">
      <c r="B944" s="7"/>
      <c r="C944" s="66"/>
      <c r="D944" s="66"/>
    </row>
    <row r="945">
      <c r="B945" s="7"/>
      <c r="C945" s="66"/>
      <c r="D945" s="66"/>
    </row>
    <row r="946">
      <c r="B946" s="7"/>
      <c r="C946" s="66"/>
      <c r="D946" s="66"/>
    </row>
    <row r="947">
      <c r="B947" s="7"/>
      <c r="C947" s="66"/>
      <c r="D947" s="66"/>
    </row>
    <row r="948">
      <c r="B948" s="7"/>
      <c r="C948" s="66"/>
      <c r="D948" s="66"/>
    </row>
    <row r="949">
      <c r="B949" s="7"/>
      <c r="C949" s="66"/>
      <c r="D949" s="66"/>
    </row>
    <row r="950">
      <c r="B950" s="7"/>
      <c r="C950" s="66"/>
      <c r="D950" s="66"/>
    </row>
    <row r="951">
      <c r="B951" s="7"/>
      <c r="C951" s="66"/>
      <c r="D951" s="66"/>
    </row>
    <row r="952">
      <c r="B952" s="7"/>
      <c r="C952" s="66"/>
      <c r="D952" s="66"/>
    </row>
    <row r="953">
      <c r="B953" s="7"/>
      <c r="C953" s="66"/>
      <c r="D953" s="66"/>
    </row>
    <row r="954">
      <c r="B954" s="7"/>
      <c r="C954" s="66"/>
      <c r="D954" s="66"/>
    </row>
    <row r="955">
      <c r="B955" s="7"/>
      <c r="C955" s="66"/>
      <c r="D955" s="66"/>
    </row>
    <row r="956">
      <c r="B956" s="7"/>
      <c r="C956" s="66"/>
      <c r="D956" s="66"/>
    </row>
    <row r="957">
      <c r="B957" s="7"/>
      <c r="C957" s="66"/>
      <c r="D957" s="66"/>
    </row>
    <row r="958">
      <c r="B958" s="7"/>
      <c r="C958" s="66"/>
      <c r="D958" s="66"/>
    </row>
    <row r="959">
      <c r="B959" s="7"/>
      <c r="C959" s="66"/>
      <c r="D959" s="66"/>
    </row>
    <row r="960">
      <c r="B960" s="7"/>
      <c r="C960" s="66"/>
      <c r="D960" s="66"/>
    </row>
    <row r="961">
      <c r="B961" s="7"/>
      <c r="C961" s="66"/>
      <c r="D961" s="66"/>
    </row>
    <row r="962">
      <c r="B962" s="7"/>
      <c r="C962" s="66"/>
      <c r="D962" s="66"/>
    </row>
    <row r="963">
      <c r="B963" s="7"/>
      <c r="C963" s="66"/>
      <c r="D963" s="66"/>
    </row>
    <row r="964">
      <c r="B964" s="7"/>
      <c r="C964" s="66"/>
      <c r="D964" s="66"/>
    </row>
    <row r="965">
      <c r="B965" s="7"/>
      <c r="C965" s="66"/>
      <c r="D965" s="66"/>
    </row>
    <row r="966">
      <c r="B966" s="7"/>
      <c r="C966" s="66"/>
      <c r="D966" s="66"/>
    </row>
    <row r="967">
      <c r="B967" s="7"/>
      <c r="C967" s="66"/>
      <c r="D967" s="66"/>
    </row>
    <row r="968">
      <c r="B968" s="7"/>
      <c r="C968" s="66"/>
      <c r="D968" s="66"/>
    </row>
    <row r="969">
      <c r="B969" s="7"/>
      <c r="C969" s="66"/>
      <c r="D969" s="66"/>
    </row>
    <row r="970">
      <c r="B970" s="7"/>
      <c r="C970" s="66"/>
      <c r="D970" s="66"/>
    </row>
    <row r="971">
      <c r="B971" s="7"/>
      <c r="C971" s="66"/>
      <c r="D971" s="66"/>
    </row>
    <row r="972">
      <c r="B972" s="7"/>
      <c r="C972" s="66"/>
      <c r="D972" s="66"/>
    </row>
    <row r="973">
      <c r="B973" s="7"/>
      <c r="C973" s="66"/>
      <c r="D973" s="66"/>
    </row>
    <row r="974">
      <c r="B974" s="7"/>
      <c r="C974" s="66"/>
      <c r="D974" s="66"/>
    </row>
    <row r="975">
      <c r="B975" s="7"/>
      <c r="C975" s="66"/>
      <c r="D975" s="66"/>
    </row>
    <row r="976">
      <c r="B976" s="7"/>
      <c r="C976" s="66"/>
      <c r="D976" s="66"/>
    </row>
    <row r="977">
      <c r="B977" s="7"/>
      <c r="C977" s="66"/>
      <c r="D977" s="66"/>
    </row>
    <row r="978">
      <c r="B978" s="7"/>
      <c r="C978" s="66"/>
      <c r="D978" s="66"/>
    </row>
    <row r="979">
      <c r="B979" s="7"/>
      <c r="C979" s="66"/>
      <c r="D979" s="66"/>
    </row>
    <row r="980">
      <c r="B980" s="7"/>
      <c r="C980" s="66"/>
      <c r="D980" s="66"/>
    </row>
    <row r="981">
      <c r="B981" s="7"/>
      <c r="C981" s="66"/>
      <c r="D981" s="66"/>
    </row>
    <row r="982">
      <c r="B982" s="7"/>
      <c r="C982" s="66"/>
      <c r="D982" s="66"/>
    </row>
    <row r="983">
      <c r="B983" s="7"/>
      <c r="C983" s="66"/>
      <c r="D983" s="66"/>
    </row>
    <row r="984">
      <c r="B984" s="7"/>
      <c r="C984" s="66"/>
      <c r="D984" s="66"/>
    </row>
    <row r="985">
      <c r="B985" s="7"/>
      <c r="C985" s="66"/>
      <c r="D985" s="66"/>
    </row>
    <row r="986">
      <c r="B986" s="7"/>
      <c r="C986" s="66"/>
      <c r="D986" s="66"/>
    </row>
    <row r="987">
      <c r="B987" s="7"/>
      <c r="C987" s="66"/>
      <c r="D987" s="66"/>
    </row>
    <row r="988">
      <c r="B988" s="7"/>
      <c r="C988" s="66"/>
      <c r="D988" s="66"/>
    </row>
    <row r="989">
      <c r="B989" s="7"/>
      <c r="C989" s="66"/>
      <c r="D989" s="66"/>
    </row>
    <row r="990">
      <c r="B990" s="7"/>
      <c r="C990" s="66"/>
      <c r="D990" s="66"/>
    </row>
    <row r="991">
      <c r="B991" s="7"/>
      <c r="C991" s="66"/>
      <c r="D991" s="66"/>
    </row>
    <row r="992">
      <c r="B992" s="7"/>
      <c r="C992" s="66"/>
      <c r="D992" s="66"/>
    </row>
    <row r="993">
      <c r="B993" s="7"/>
      <c r="C993" s="66"/>
      <c r="D993" s="66"/>
    </row>
    <row r="994">
      <c r="B994" s="7"/>
      <c r="C994" s="66"/>
      <c r="D994" s="66"/>
    </row>
    <row r="995">
      <c r="B995" s="7"/>
      <c r="C995" s="66"/>
      <c r="D995" s="66"/>
    </row>
    <row r="996">
      <c r="B996" s="7"/>
      <c r="C996" s="66"/>
      <c r="D996" s="66"/>
    </row>
    <row r="997">
      <c r="B997" s="7"/>
      <c r="C997" s="66"/>
      <c r="D997" s="66"/>
    </row>
    <row r="998">
      <c r="B998" s="7"/>
      <c r="C998" s="66"/>
      <c r="D998" s="66"/>
    </row>
    <row r="999">
      <c r="B999" s="7"/>
      <c r="C999" s="66"/>
      <c r="D999" s="66"/>
    </row>
    <row r="1000">
      <c r="B1000" s="7"/>
      <c r="C1000" s="66"/>
      <c r="D1000" s="66"/>
    </row>
    <row r="1001">
      <c r="B1001" s="7"/>
      <c r="C1001" s="66"/>
      <c r="D1001" s="66"/>
    </row>
    <row r="1002">
      <c r="B1002" s="7"/>
      <c r="C1002" s="66"/>
      <c r="D1002" s="66"/>
    </row>
    <row r="1003">
      <c r="B1003" s="7"/>
      <c r="C1003" s="66"/>
      <c r="D1003" s="66"/>
    </row>
    <row r="1004">
      <c r="B1004" s="7"/>
      <c r="C1004" s="66"/>
      <c r="D1004" s="66"/>
    </row>
    <row r="1005">
      <c r="B1005" s="7"/>
      <c r="C1005" s="66"/>
      <c r="D1005" s="66"/>
    </row>
    <row r="1006">
      <c r="B1006" s="7"/>
      <c r="C1006" s="66"/>
      <c r="D1006" s="66"/>
    </row>
    <row r="1007">
      <c r="B1007" s="7"/>
      <c r="C1007" s="66"/>
      <c r="D1007" s="66"/>
    </row>
    <row r="1008">
      <c r="B1008" s="7"/>
      <c r="C1008" s="66"/>
      <c r="D1008" s="66"/>
    </row>
    <row r="1009">
      <c r="B1009" s="7"/>
      <c r="C1009" s="66"/>
      <c r="D1009" s="66"/>
    </row>
    <row r="1010">
      <c r="B1010" s="7"/>
      <c r="C1010" s="66"/>
      <c r="D1010" s="66"/>
    </row>
    <row r="1011">
      <c r="B1011" s="7"/>
      <c r="C1011" s="66"/>
      <c r="D1011" s="66"/>
    </row>
    <row r="1012">
      <c r="B1012" s="7"/>
      <c r="C1012" s="66"/>
      <c r="D1012" s="66"/>
    </row>
    <row r="1013">
      <c r="B1013" s="7"/>
      <c r="C1013" s="66"/>
      <c r="D1013" s="66"/>
    </row>
    <row r="1014">
      <c r="B1014" s="7"/>
      <c r="C1014" s="66"/>
      <c r="D1014" s="66"/>
    </row>
    <row r="1015">
      <c r="B1015" s="7"/>
      <c r="C1015" s="66"/>
      <c r="D1015" s="66"/>
    </row>
    <row r="1016">
      <c r="B1016" s="7"/>
      <c r="C1016" s="66"/>
      <c r="D1016" s="66"/>
    </row>
    <row r="1017">
      <c r="B1017" s="7"/>
      <c r="C1017" s="66"/>
      <c r="D1017" s="66"/>
    </row>
    <row r="1018">
      <c r="B1018" s="7"/>
      <c r="C1018" s="66"/>
      <c r="D1018" s="66"/>
    </row>
    <row r="1019">
      <c r="B1019" s="7"/>
      <c r="C1019" s="66"/>
      <c r="D1019" s="66"/>
    </row>
    <row r="1020">
      <c r="B1020" s="7"/>
      <c r="C1020" s="66"/>
      <c r="D1020" s="66"/>
    </row>
    <row r="1021">
      <c r="B1021" s="7"/>
      <c r="C1021" s="66"/>
      <c r="D1021" s="66"/>
    </row>
    <row r="1022">
      <c r="B1022" s="7"/>
      <c r="C1022" s="66"/>
      <c r="D1022" s="66"/>
    </row>
    <row r="1023">
      <c r="B1023" s="7"/>
      <c r="C1023" s="66"/>
      <c r="D1023" s="66"/>
    </row>
    <row r="1024">
      <c r="B1024" s="7"/>
      <c r="C1024" s="66"/>
      <c r="D1024" s="66"/>
    </row>
    <row r="1025">
      <c r="B1025" s="7"/>
      <c r="C1025" s="66"/>
      <c r="D1025" s="66"/>
    </row>
    <row r="1026">
      <c r="B1026" s="7"/>
      <c r="C1026" s="66"/>
      <c r="D1026" s="66"/>
    </row>
    <row r="1027">
      <c r="B1027" s="7"/>
      <c r="C1027" s="66"/>
      <c r="D1027" s="66"/>
    </row>
    <row r="1028">
      <c r="B1028" s="7"/>
      <c r="C1028" s="66"/>
      <c r="D1028" s="66"/>
    </row>
    <row r="1029">
      <c r="B1029" s="7"/>
      <c r="C1029" s="66"/>
      <c r="D1029" s="66"/>
    </row>
    <row r="1030">
      <c r="B1030" s="7"/>
      <c r="C1030" s="66"/>
      <c r="D1030" s="66"/>
    </row>
    <row r="1031">
      <c r="B1031" s="7"/>
      <c r="C1031" s="66"/>
      <c r="D1031" s="66"/>
    </row>
    <row r="1032">
      <c r="B1032" s="7"/>
      <c r="C1032" s="66"/>
      <c r="D1032" s="66"/>
    </row>
    <row r="1033">
      <c r="B1033" s="7"/>
      <c r="C1033" s="66"/>
      <c r="D1033" s="66"/>
    </row>
    <row r="1034">
      <c r="B1034" s="7"/>
      <c r="C1034" s="66"/>
      <c r="D1034" s="66"/>
    </row>
    <row r="1035">
      <c r="B1035" s="7"/>
      <c r="C1035" s="66"/>
      <c r="D1035" s="66"/>
    </row>
    <row r="1036">
      <c r="B1036" s="7"/>
      <c r="C1036" s="66"/>
      <c r="D1036" s="66"/>
    </row>
    <row r="1037">
      <c r="B1037" s="7"/>
      <c r="C1037" s="66"/>
      <c r="D1037" s="66"/>
    </row>
    <row r="1038">
      <c r="B1038" s="7"/>
      <c r="C1038" s="66"/>
      <c r="D1038" s="66"/>
    </row>
    <row r="1039">
      <c r="B1039" s="7"/>
      <c r="C1039" s="66"/>
      <c r="D1039" s="66"/>
    </row>
    <row r="1040">
      <c r="B1040" s="7"/>
      <c r="C1040" s="66"/>
      <c r="D1040" s="66"/>
    </row>
    <row r="1041">
      <c r="B1041" s="7"/>
      <c r="C1041" s="66"/>
      <c r="D1041" s="66"/>
    </row>
    <row r="1042">
      <c r="B1042" s="7"/>
      <c r="C1042" s="66"/>
      <c r="D1042" s="66"/>
    </row>
    <row r="1043">
      <c r="B1043" s="7"/>
      <c r="C1043" s="66"/>
      <c r="D1043" s="66"/>
    </row>
    <row r="1044">
      <c r="B1044" s="7"/>
      <c r="C1044" s="66"/>
      <c r="D1044" s="66"/>
    </row>
    <row r="1045">
      <c r="B1045" s="7"/>
      <c r="C1045" s="66"/>
      <c r="D1045" s="66"/>
    </row>
    <row r="1046">
      <c r="B1046" s="7"/>
      <c r="C1046" s="66"/>
      <c r="D1046" s="66"/>
    </row>
    <row r="1047">
      <c r="B1047" s="7"/>
      <c r="C1047" s="66"/>
      <c r="D1047" s="66"/>
    </row>
    <row r="1048">
      <c r="B1048" s="7"/>
      <c r="C1048" s="66"/>
      <c r="D1048" s="66"/>
    </row>
    <row r="1049">
      <c r="B1049" s="7"/>
      <c r="C1049" s="66"/>
      <c r="D1049" s="66"/>
    </row>
  </sheetData>
  <mergeCells count="15">
    <mergeCell ref="B31:B35"/>
    <mergeCell ref="B40:B41"/>
    <mergeCell ref="B42:B44"/>
    <mergeCell ref="B45:B48"/>
    <mergeCell ref="B49:B50"/>
    <mergeCell ref="B52:B61"/>
    <mergeCell ref="B63:B74"/>
    <mergeCell ref="B78:B79"/>
    <mergeCell ref="B2:B11"/>
    <mergeCell ref="B13:B15"/>
    <mergeCell ref="B16:B17"/>
    <mergeCell ref="B19:B20"/>
    <mergeCell ref="B23:B25"/>
    <mergeCell ref="B26:B27"/>
    <mergeCell ref="B29:B30"/>
  </mergeCells>
  <hyperlinks>
    <hyperlink r:id="rId2" ref="B2"/>
    <hyperlink r:id="rId3" ref="B12"/>
    <hyperlink r:id="rId4" ref="B13"/>
    <hyperlink r:id="rId5" ref="B16"/>
    <hyperlink r:id="rId6" ref="B18"/>
    <hyperlink r:id="rId7" ref="B19"/>
    <hyperlink r:id="rId8" ref="B21"/>
    <hyperlink r:id="rId9" ref="B22"/>
    <hyperlink r:id="rId10" ref="B23"/>
    <hyperlink r:id="rId11" ref="B26"/>
    <hyperlink r:id="rId12" ref="B28"/>
    <hyperlink r:id="rId13" ref="B29"/>
    <hyperlink r:id="rId14" ref="B31"/>
    <hyperlink r:id="rId15" ref="B36"/>
    <hyperlink r:id="rId16" ref="B37"/>
    <hyperlink r:id="rId17" ref="B38"/>
    <hyperlink r:id="rId18" ref="B39"/>
    <hyperlink r:id="rId19" ref="B40"/>
    <hyperlink r:id="rId20" ref="B42"/>
    <hyperlink r:id="rId21" ref="B45"/>
    <hyperlink r:id="rId22" ref="B49"/>
    <hyperlink r:id="rId23" ref="B51"/>
    <hyperlink r:id="rId24" ref="B52"/>
    <hyperlink r:id="rId25" ref="B62"/>
    <hyperlink r:id="rId26" ref="B63"/>
    <hyperlink r:id="rId27" ref="B75"/>
    <hyperlink r:id="rId28" ref="B76"/>
    <hyperlink r:id="rId29" ref="B77"/>
    <hyperlink r:id="rId30" ref="B78"/>
    <hyperlink r:id="rId31" ref="B80"/>
  </hyperlinks>
  <drawing r:id="rId32"/>
  <legacyDrawing r:id="rId3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71"/>
    <col customWidth="1" min="2" max="2" width="41.0"/>
    <col customWidth="1" min="3" max="3" width="29.14"/>
    <col customWidth="1" min="4" max="4" width="33.86"/>
  </cols>
  <sheetData>
    <row r="1">
      <c r="A1" s="51" t="s">
        <v>1208</v>
      </c>
      <c r="B1" s="5" t="s">
        <v>6</v>
      </c>
      <c r="C1" s="5" t="s">
        <v>7</v>
      </c>
      <c r="D1" s="5" t="s">
        <v>8</v>
      </c>
      <c r="E1" s="78" t="s">
        <v>1355</v>
      </c>
    </row>
    <row r="2">
      <c r="A2" s="63" t="s">
        <v>4009</v>
      </c>
      <c r="B2" s="166" t="s">
        <v>4010</v>
      </c>
      <c r="C2" s="118" t="s">
        <v>2059</v>
      </c>
      <c r="D2" s="118" t="s">
        <v>2060</v>
      </c>
      <c r="E2" s="163" t="str">
        <f>IFERROR(__xludf.DUMMYFUNCTION("IFERROR(VLOOKUP(C2,IMPORTRANGE(""https://docs.google.com/spreadsheets/d/1SQRLoxD_LXfQNfB7NOxI5jlxbkDlcNPwla_2gSTySP8/edit#gid=274515254"",""Project Management!$C$2:$D$100""),2,0),0)"),"Project Management / プロジェクト管理")</f>
        <v>Project Management / プロジェクト管理</v>
      </c>
    </row>
    <row r="3">
      <c r="A3" s="63" t="s">
        <v>3695</v>
      </c>
      <c r="C3" s="26" t="s">
        <v>3486</v>
      </c>
      <c r="D3" s="26" t="s">
        <v>3487</v>
      </c>
      <c r="E3" s="163" t="str">
        <f>IFERROR(__xludf.DUMMYFUNCTION("IFERROR(VLOOKUP(C3,IMPORTRANGE(""https://docs.google.com/spreadsheets/d/1SQRLoxD_LXfQNfB7NOxI5jlxbkDlcNPwla_2gSTySP8/edit#gid=274515254"",""Project Management!$C$2:$D$100""),2,0),0)"),"アセット")</f>
        <v>アセット</v>
      </c>
    </row>
    <row r="4">
      <c r="A4" s="63" t="s">
        <v>4011</v>
      </c>
      <c r="C4" s="26" t="s">
        <v>4012</v>
      </c>
      <c r="D4" s="26" t="s">
        <v>4013</v>
      </c>
      <c r="E4" s="163" t="str">
        <f>IFERROR(__xludf.DUMMYFUNCTION("IFERROR(VLOOKUP(C4,IMPORTRANGE(""https://docs.google.com/spreadsheets/d/1SQRLoxD_LXfQNfB7NOxI5jlxbkDlcNPwla_2gSTySP8/edit#gid=274515254"",""Project Management!$C$2:$D$100""),2,0),0)"),"コンテナ")</f>
        <v>コンテナ</v>
      </c>
    </row>
    <row r="5">
      <c r="A5" s="63" t="s">
        <v>4014</v>
      </c>
      <c r="C5" s="26" t="s">
        <v>1009</v>
      </c>
      <c r="D5" s="26" t="s">
        <v>2488</v>
      </c>
      <c r="E5" s="163" t="str">
        <f>IFERROR(__xludf.DUMMYFUNCTION("IFERROR(VLOOKUP(C5,IMPORTRANGE(""https://docs.google.com/spreadsheets/d/1SQRLoxD_LXfQNfB7NOxI5jlxbkDlcNPwla_2gSTySP8/edit#gid=274515254"",""Project Management!$C$2:$D$100""),2,0),0)"),"グループ")</f>
        <v>グループ</v>
      </c>
    </row>
    <row r="6">
      <c r="A6" s="63" t="s">
        <v>4015</v>
      </c>
      <c r="C6" s="26" t="s">
        <v>2515</v>
      </c>
      <c r="D6" s="26" t="s">
        <v>2516</v>
      </c>
      <c r="E6" s="163" t="str">
        <f>IFERROR(__xludf.DUMMYFUNCTION("IFERROR(VLOOKUP(C6,IMPORTRANGE(""https://docs.google.com/spreadsheets/d/1SQRLoxD_LXfQNfB7NOxI5jlxbkDlcNPwla_2gSTySP8/edit#gid=274515254"",""Project Management!$C$2:$D$100""),2,0),0)"),"所有者")</f>
        <v>所有者</v>
      </c>
    </row>
    <row r="7">
      <c r="A7" s="63" t="s">
        <v>517</v>
      </c>
      <c r="C7" s="26" t="s">
        <v>519</v>
      </c>
      <c r="D7" s="26" t="s">
        <v>520</v>
      </c>
      <c r="E7" s="163" t="str">
        <f>IFERROR(__xludf.DUMMYFUNCTION("IFERROR(VLOOKUP(C7,IMPORTRANGE(""https://docs.google.com/spreadsheets/d/1SQRLoxD_LXfQNfB7NOxI5jlxbkDlcNPwla_2gSTySP8/edit#gid=274515254"",""Project Management!$C$2:$D$100""),2,0),0)"),"チーム")</f>
        <v>チーム</v>
      </c>
    </row>
    <row r="8">
      <c r="A8" s="63" t="s">
        <v>345</v>
      </c>
      <c r="C8" s="26" t="s">
        <v>346</v>
      </c>
      <c r="D8" s="26" t="s">
        <v>347</v>
      </c>
      <c r="E8" s="163" t="str">
        <f>IFERROR(__xludf.DUMMYFUNCTION("IFERROR(VLOOKUP(C8,IMPORTRANGE(""https://docs.google.com/spreadsheets/d/1SQRLoxD_LXfQNfB7NOxI5jlxbkDlcNPwla_2gSTySP8/edit#gid=274515254"",""Project Management!$C$2:$D$100""),2,0),0)"),"タグ")</f>
        <v>タグ</v>
      </c>
    </row>
    <row r="9">
      <c r="A9" s="63" t="s">
        <v>2177</v>
      </c>
      <c r="C9" s="26" t="s">
        <v>2081</v>
      </c>
      <c r="D9" s="26" t="s">
        <v>2082</v>
      </c>
      <c r="E9" s="163" t="str">
        <f>IFERROR(__xludf.DUMMYFUNCTION("IFERROR(VLOOKUP(C9,IMPORTRANGE(""https://docs.google.com/spreadsheets/d/1SQRLoxD_LXfQNfB7NOxI5jlxbkDlcNPwla_2gSTySP8/edit#gid=274515254"",""Project Management!$C$2:$D$100""),2,0),0)"),"新規アセット")</f>
        <v>新規アセット</v>
      </c>
    </row>
    <row r="10">
      <c r="A10" s="63" t="s">
        <v>2332</v>
      </c>
      <c r="C10" s="26" t="s">
        <v>2333</v>
      </c>
      <c r="D10" s="26" t="s">
        <v>2334</v>
      </c>
      <c r="E10" s="163" t="str">
        <f>IFERROR(__xludf.DUMMYFUNCTION("IFERROR(VLOOKUP(C10,IMPORTRANGE(""https://docs.google.com/spreadsheets/d/1SQRLoxD_LXfQNfB7NOxI5jlxbkDlcNPwla_2gSTySP8/edit#gid=274515254"",""Project Management!$C$2:$D$100""),2,0),0)"),"割り当てチームなし")</f>
        <v>割り当てチームなし</v>
      </c>
    </row>
    <row r="11">
      <c r="A11" s="63" t="s">
        <v>297</v>
      </c>
      <c r="B11" s="156" t="s">
        <v>4016</v>
      </c>
      <c r="C11" s="118" t="s">
        <v>298</v>
      </c>
      <c r="D11" s="118" t="s">
        <v>299</v>
      </c>
      <c r="E11" s="163" t="str">
        <f>IFERROR(__xludf.DUMMYFUNCTION("IFERROR(VLOOKUP(C11,IMPORTRANGE(""https://docs.google.com/spreadsheets/d/1SQRLoxD_LXfQNfB7NOxI5jlxbkDlcNPwla_2gSTySP8/edit#gid=274515254"",""Project Management!$C$2:$D$100""),2,0),0)"),"編集")</f>
        <v>編集</v>
      </c>
    </row>
    <row r="12">
      <c r="A12" s="63" t="s">
        <v>2392</v>
      </c>
      <c r="C12" s="118" t="s">
        <v>2393</v>
      </c>
      <c r="D12" s="118" t="s">
        <v>2394</v>
      </c>
      <c r="E12" s="163" t="str">
        <f>IFERROR(__xludf.DUMMYFUNCTION("IFERROR(VLOOKUP(C12,IMPORTRANGE(""https://docs.google.com/spreadsheets/d/1SQRLoxD_LXfQNfB7NOxI5jlxbkDlcNPwla_2gSTySP8/edit#gid=274515254"",""Project Management!$C$2:$D$100""),2,0),0)"),"所有権移転")</f>
        <v>所有権移転</v>
      </c>
    </row>
    <row r="13">
      <c r="A13" s="63" t="s">
        <v>2395</v>
      </c>
      <c r="C13" s="118" t="s">
        <v>2396</v>
      </c>
      <c r="D13" s="118" t="s">
        <v>2397</v>
      </c>
      <c r="E13" s="163" t="str">
        <f>IFERROR(__xludf.DUMMYFUNCTION("IFERROR(VLOOKUP(C13,IMPORTRANGE(""https://docs.google.com/spreadsheets/d/1SQRLoxD_LXfQNfB7NOxI5jlxbkDlcNPwla_2gSTySP8/edit#gid=274515254"",""Project Management!$C$2:$D$100""),2,0),0)"),"アセット削除")</f>
        <v>アセット削除</v>
      </c>
    </row>
    <row r="14">
      <c r="A14" s="108" t="str">
        <f>IFERROR(__xludf.DUMMYFUNCTION("JOIN(""-"",""app"",SPLIT(LOWER( C14),"" ""))"),"app-enter-tags")</f>
        <v>app-enter-tags</v>
      </c>
      <c r="B14" s="167" t="s">
        <v>4017</v>
      </c>
      <c r="C14" s="106" t="s">
        <v>2105</v>
      </c>
      <c r="D14" s="106" t="s">
        <v>2106</v>
      </c>
      <c r="E14" s="163">
        <f>IFERROR(__xludf.DUMMYFUNCTION("IFERROR(VLOOKUP(C14,IMPORTRANGE(""https://docs.google.com/spreadsheets/d/1SQRLoxD_LXfQNfB7NOxI5jlxbkDlcNPwla_2gSTySP8/edit#gid=274515254"",""Project Management!$C$2:$D$100""),2,0),0)"),0.0)</f>
        <v>0</v>
      </c>
    </row>
    <row r="15">
      <c r="A15" s="108" t="str">
        <f>IFERROR(__xludf.DUMMYFUNCTION("JOIN(""-"",""app"",SPLIT(LOWER( C15),"" ""))"),"app-are-you-sure-you-want-to-delete-the-asset?")</f>
        <v>app-are-you-sure-you-want-to-delete-the-asset?</v>
      </c>
      <c r="B15" s="167" t="s">
        <v>4018</v>
      </c>
      <c r="C15" s="106" t="s">
        <v>4019</v>
      </c>
      <c r="D15" s="106" t="s">
        <v>4020</v>
      </c>
      <c r="E15" s="163">
        <f>IFERROR(__xludf.DUMMYFUNCTION("IFERROR(VLOOKUP(C15,IMPORTRANGE(""https://docs.google.com/spreadsheets/d/1SQRLoxD_LXfQNfB7NOxI5jlxbkDlcNPwla_2gSTySP8/edit#gid=274515254"",""Project Management!$C$2:$D$100""),2,0),0)"),0.0)</f>
        <v>0</v>
      </c>
    </row>
    <row r="16">
      <c r="A16" s="63" t="s">
        <v>1915</v>
      </c>
      <c r="B16" s="166" t="s">
        <v>4021</v>
      </c>
      <c r="C16" s="118" t="s">
        <v>1916</v>
      </c>
      <c r="D16" s="118" t="s">
        <v>1917</v>
      </c>
      <c r="E16" s="163" t="str">
        <f>IFERROR(__xludf.DUMMYFUNCTION("IFERROR(VLOOKUP(C16,IMPORTRANGE(""https://docs.google.com/spreadsheets/d/1SQRLoxD_LXfQNfB7NOxI5jlxbkDlcNPwla_2gSTySP8/edit#gid=274515254"",""Project Management!$C$2:$D$100""),2,0),0)"),"ユーザー名を検索")</f>
        <v>ユーザー名を検索</v>
      </c>
    </row>
    <row r="17" ht="30.75" customHeight="1">
      <c r="A17" s="63" t="s">
        <v>4022</v>
      </c>
      <c r="B17" s="166" t="s">
        <v>4023</v>
      </c>
      <c r="C17" s="118" t="s">
        <v>4024</v>
      </c>
      <c r="D17" s="118" t="s">
        <v>4025</v>
      </c>
      <c r="E17" s="163" t="str">
        <f>IFERROR(__xludf.DUMMYFUNCTION("IFERROR(VLOOKUP(C17,IMPORTRANGE(""https://docs.google.com/spreadsheets/d/1SQRLoxD_LXfQNfB7NOxI5jlxbkDlcNPwla_2gSTySP8/edit#gid=274515254"",""Project Management!$C$2:$D$100""),2,0),0)"),"アプリケーション")</f>
        <v>アプリケーション</v>
      </c>
    </row>
    <row r="18" ht="24.0" customHeight="1">
      <c r="A18" s="63" t="s">
        <v>4026</v>
      </c>
      <c r="C18" s="26" t="s">
        <v>4027</v>
      </c>
      <c r="D18" s="26" t="s">
        <v>4028</v>
      </c>
      <c r="E18" s="163" t="str">
        <f>IFERROR(__xludf.DUMMYFUNCTION("IFERROR(VLOOKUP(C18,IMPORTRANGE(""https://docs.google.com/spreadsheets/d/1SQRLoxD_LXfQNfB7NOxI5jlxbkDlcNPwla_2gSTySP8/edit#gid=274515254"",""Project Management!$C$2:$D$100""),2,0),0)"),"割り当てタグなし")</f>
        <v>割り当てタグなし</v>
      </c>
    </row>
    <row r="19">
      <c r="A19" s="63" t="s">
        <v>2185</v>
      </c>
      <c r="C19" s="26" t="s">
        <v>4029</v>
      </c>
      <c r="D19" s="26" t="s">
        <v>2187</v>
      </c>
      <c r="E19" s="163" t="str">
        <f>IFERROR(__xludf.DUMMYFUNCTION("IFERROR(VLOOKUP(C19,IMPORTRANGE(""https://docs.google.com/spreadsheets/d/1SQRLoxD_LXfQNfB7NOxI5jlxbkDlcNPwla_2gSTySP8/edit#gid=274515254"",""Project Management!$C$2:$D$100""),2,0),0)"),"新規コンテナ")</f>
        <v>新規コンテナ</v>
      </c>
    </row>
    <row r="20">
      <c r="A20" s="108" t="str">
        <f>IFERROR(__xludf.DUMMYFUNCTION("JOIN(""-"",""app"",SPLIT(LOWER( C20),"" ""))"),"app-create-container-for")</f>
        <v>app-create-container-for</v>
      </c>
      <c r="B20" s="153" t="s">
        <v>4030</v>
      </c>
      <c r="C20" s="122" t="s">
        <v>2216</v>
      </c>
      <c r="D20" s="122" t="s">
        <v>2217</v>
      </c>
      <c r="E20" s="163">
        <f>IFERROR(__xludf.DUMMYFUNCTION("IFERROR(VLOOKUP(C20,IMPORTRANGE(""https://docs.google.com/spreadsheets/d/1SQRLoxD_LXfQNfB7NOxI5jlxbkDlcNPwla_2gSTySP8/edit#gid=274515254"",""Project Management!$C$2:$D$100""),2,0),0)"),0.0)</f>
        <v>0</v>
      </c>
    </row>
    <row r="21">
      <c r="A21" s="108" t="str">
        <f>IFERROR(__xludf.DUMMYFUNCTION("JOIN(""-"",""app"",SPLIT(LOWER( C21),"" ""))"),"app-select-owner")</f>
        <v>app-select-owner</v>
      </c>
      <c r="C21" s="122" t="s">
        <v>2102</v>
      </c>
      <c r="D21" s="122" t="s">
        <v>2103</v>
      </c>
      <c r="E21" s="163">
        <f>IFERROR(__xludf.DUMMYFUNCTION("IFERROR(VLOOKUP(C21,IMPORTRANGE(""https://docs.google.com/spreadsheets/d/1SQRLoxD_LXfQNfB7NOxI5jlxbkDlcNPwla_2gSTySP8/edit#gid=274515254"",""Project Management!$C$2:$D$100""),2,0),0)"),0.0)</f>
        <v>0</v>
      </c>
    </row>
    <row r="22">
      <c r="A22" s="108" t="str">
        <f>IFERROR(__xludf.DUMMYFUNCTION("JOIN(""-"",""app"",SPLIT(LOWER( C22),"" ""))"),"app-enter-tags")</f>
        <v>app-enter-tags</v>
      </c>
      <c r="C22" s="122" t="s">
        <v>2105</v>
      </c>
      <c r="D22" s="122" t="s">
        <v>2106</v>
      </c>
      <c r="E22" s="163">
        <f>IFERROR(__xludf.DUMMYFUNCTION("IFERROR(VLOOKUP(C22,IMPORTRANGE(""https://docs.google.com/spreadsheets/d/1SQRLoxD_LXfQNfB7NOxI5jlxbkDlcNPwla_2gSTySP8/edit#gid=274515254"",""Project Management!$C$2:$D$100""),2,0),0)"),0.0)</f>
        <v>0</v>
      </c>
    </row>
    <row r="23" ht="23.25" customHeight="1">
      <c r="A23" s="63" t="s">
        <v>4031</v>
      </c>
      <c r="B23" s="143" t="s">
        <v>4032</v>
      </c>
      <c r="C23" s="26" t="s">
        <v>4033</v>
      </c>
      <c r="D23" s="26" t="s">
        <v>4034</v>
      </c>
      <c r="E23" s="163" t="str">
        <f>IFERROR(__xludf.DUMMYFUNCTION("IFERROR(VLOOKUP(C23,IMPORTRANGE(""https://docs.google.com/spreadsheets/d/1SQRLoxD_LXfQNfB7NOxI5jlxbkDlcNPwla_2gSTySP8/edit#gid=274515254"",""Project Management!$C$2:$D$100""),2,0),0)"),"コンテナを編集")</f>
        <v>コンテナを編集</v>
      </c>
    </row>
    <row r="24" ht="19.5" customHeight="1">
      <c r="A24" s="63" t="s">
        <v>4035</v>
      </c>
      <c r="C24" s="26" t="s">
        <v>4036</v>
      </c>
      <c r="D24" s="26" t="s">
        <v>4037</v>
      </c>
      <c r="E24" s="163" t="str">
        <f>IFERROR(__xludf.DUMMYFUNCTION("IFERROR(VLOOKUP(C24,IMPORTRANGE(""https://docs.google.com/spreadsheets/d/1SQRLoxD_LXfQNfB7NOxI5jlxbkDlcNPwla_2gSTySP8/edit#gid=274515254"",""Project Management!$C$2:$D$100""),2,0),0)"),"コンテナを削除")</f>
        <v>コンテナを削除</v>
      </c>
    </row>
    <row r="25">
      <c r="A25" s="108" t="str">
        <f>IFERROR(__xludf.DUMMYFUNCTION("JOIN(""-"",""app"",SPLIT(LOWER( C25),"" ""))"),"app-enter-tags")</f>
        <v>app-enter-tags</v>
      </c>
      <c r="B25" s="105" t="s">
        <v>4038</v>
      </c>
      <c r="C25" s="106" t="s">
        <v>2105</v>
      </c>
      <c r="D25" s="106" t="s">
        <v>2106</v>
      </c>
      <c r="E25" s="163">
        <f>IFERROR(__xludf.DUMMYFUNCTION("IFERROR(VLOOKUP(C25,IMPORTRANGE(""https://docs.google.com/spreadsheets/d/1SQRLoxD_LXfQNfB7NOxI5jlxbkDlcNPwla_2gSTySP8/edit#gid=274515254"",""Project Management!$C$2:$D$100""),2,0),0)"),0.0)</f>
        <v>0</v>
      </c>
    </row>
    <row r="26">
      <c r="A26" s="108" t="str">
        <f>IFERROR(__xludf.DUMMYFUNCTION("JOIN(""-"",""app"",SPLIT(LOWER( C26),"" ""))"),"app-are-you-sure-you-want-to-delete-the-container?")</f>
        <v>app-are-you-sure-you-want-to-delete-the-container?</v>
      </c>
      <c r="B26" s="105" t="s">
        <v>4039</v>
      </c>
      <c r="C26" s="106" t="s">
        <v>4040</v>
      </c>
      <c r="D26" s="106" t="s">
        <v>4041</v>
      </c>
      <c r="E26" s="163">
        <f>IFERROR(__xludf.DUMMYFUNCTION("IFERROR(VLOOKUP(C26,IMPORTRANGE(""https://docs.google.com/spreadsheets/d/1SQRLoxD_LXfQNfB7NOxI5jlxbkDlcNPwla_2gSTySP8/edit#gid=274515254"",""Project Management!$C$2:$D$100""),2,0),0)"),0.0)</f>
        <v>0</v>
      </c>
    </row>
    <row r="27">
      <c r="A27" s="63" t="s">
        <v>4042</v>
      </c>
      <c r="B27" s="156" t="s">
        <v>4043</v>
      </c>
      <c r="C27" s="118" t="s">
        <v>4044</v>
      </c>
      <c r="D27" s="118" t="s">
        <v>4045</v>
      </c>
      <c r="E27" s="163" t="str">
        <f>IFERROR(__xludf.DUMMYFUNCTION("IFERROR(VLOOKUP(C27,IMPORTRANGE(""https://docs.google.com/spreadsheets/d/1SQRLoxD_LXfQNfB7NOxI5jlxbkDlcNPwla_2gSTySP8/edit#gid=274515254"",""Project Management!$C$2:$D$100""),2,0),0)"),"全選択")</f>
        <v>全選択</v>
      </c>
    </row>
    <row r="28">
      <c r="A28" s="63" t="s">
        <v>4046</v>
      </c>
      <c r="C28" s="118" t="s">
        <v>2713</v>
      </c>
      <c r="D28" s="118" t="s">
        <v>4047</v>
      </c>
      <c r="E28" s="163" t="str">
        <f>IFERROR(__xludf.DUMMYFUNCTION("IFERROR(VLOOKUP(C28,IMPORTRANGE(""https://docs.google.com/spreadsheets/d/1SQRLoxD_LXfQNfB7NOxI5jlxbkDlcNPwla_2gSTySP8/edit#gid=274515254"",""Project Management!$C$2:$D$100""),2,0),0)"),"プロジェクト名")</f>
        <v>プロジェクト名</v>
      </c>
    </row>
    <row r="29">
      <c r="A29" s="63" t="s">
        <v>4048</v>
      </c>
      <c r="C29" s="118" t="s">
        <v>4049</v>
      </c>
      <c r="D29" s="26" t="s">
        <v>4050</v>
      </c>
      <c r="E29" s="163" t="str">
        <f>IFERROR(__xludf.DUMMYFUNCTION("IFERROR(VLOOKUP(C29,IMPORTRANGE(""https://docs.google.com/spreadsheets/d/1SQRLoxD_LXfQNfB7NOxI5jlxbkDlcNPwla_2gSTySP8/edit#gid=274515254"",""Project Management!$C$2:$D$100""),2,0),0)"),"画像０")</f>
        <v>画像０</v>
      </c>
    </row>
    <row r="30">
      <c r="A30" s="63" t="s">
        <v>4051</v>
      </c>
      <c r="C30" s="118" t="s">
        <v>4052</v>
      </c>
      <c r="D30" s="118" t="s">
        <v>4053</v>
      </c>
      <c r="E30" s="163" t="str">
        <f>IFERROR(__xludf.DUMMYFUNCTION("IFERROR(VLOOKUP(C30,IMPORTRANGE(""https://docs.google.com/spreadsheets/d/1SQRLoxD_LXfQNfB7NOxI5jlxbkDlcNPwla_2gSTySP8/edit#gid=274515254"",""Project Management!$C$2:$D$100""),2,0),0)"),"日付")</f>
        <v>日付</v>
      </c>
    </row>
    <row r="31">
      <c r="A31" s="63" t="s">
        <v>4054</v>
      </c>
      <c r="C31" s="118" t="s">
        <v>4055</v>
      </c>
      <c r="D31" s="118" t="s">
        <v>4056</v>
      </c>
      <c r="E31" s="163" t="str">
        <f>IFERROR(__xludf.DUMMYFUNCTION("IFERROR(VLOOKUP(C31,IMPORTRANGE(""https://docs.google.com/spreadsheets/d/1SQRLoxD_LXfQNfB7NOxI5jlxbkDlcNPwla_2gSTySP8/edit#gid=274515254"",""Project Management!$C$2:$D$100""),2,0),0)"),"日付設定")</f>
        <v>日付設定</v>
      </c>
    </row>
    <row r="32">
      <c r="A32" s="63" t="s">
        <v>4057</v>
      </c>
      <c r="C32" s="118" t="s">
        <v>4058</v>
      </c>
      <c r="D32" s="118" t="s">
        <v>4059</v>
      </c>
      <c r="E32" s="163" t="str">
        <f>IFERROR(__xludf.DUMMYFUNCTION("IFERROR(VLOOKUP(C32,IMPORTRANGE(""https://docs.google.com/spreadsheets/d/1SQRLoxD_LXfQNfB7NOxI5jlxbkDlcNPwla_2gSTySP8/edit#gid=274515254"",""Project Management!$C$2:$D$100""),2,0),0)"),"ミッション")</f>
        <v>ミッション</v>
      </c>
    </row>
    <row r="33">
      <c r="A33" s="63" t="s">
        <v>4060</v>
      </c>
      <c r="C33" s="118" t="s">
        <v>4061</v>
      </c>
      <c r="D33" s="26" t="s">
        <v>4062</v>
      </c>
      <c r="E33" s="163" t="str">
        <f>IFERROR(__xludf.DUMMYFUNCTION("IFERROR(VLOOKUP(C33,IMPORTRANGE(""https://docs.google.com/spreadsheets/d/1SQRLoxD_LXfQNfB7NOxI5jlxbkDlcNPwla_2gSTySP8/edit#gid=274515254"",""Project Management!$C$2:$D$100""),2,0),0)"),"関連付けられたミッションなし")</f>
        <v>関連付けられたミッションなし</v>
      </c>
    </row>
    <row r="34">
      <c r="A34" s="63" t="s">
        <v>2131</v>
      </c>
      <c r="C34" s="118" t="s">
        <v>2132</v>
      </c>
      <c r="D34" s="118" t="s">
        <v>4063</v>
      </c>
      <c r="E34" s="163" t="str">
        <f>IFERROR(__xludf.DUMMYFUNCTION("IFERROR(VLOOKUP(C34,IMPORTRANGE(""https://docs.google.com/spreadsheets/d/1SQRLoxD_LXfQNfB7NOxI5jlxbkDlcNPwla_2gSTySP8/edit#gid=274515254"",""Project Management!$C$2:$D$100""),2,0),0)"),"処理中")</f>
        <v>処理中</v>
      </c>
    </row>
    <row r="35">
      <c r="A35" s="63" t="s">
        <v>4064</v>
      </c>
      <c r="C35" s="118" t="s">
        <v>4065</v>
      </c>
      <c r="D35" s="118" t="s">
        <v>4066</v>
      </c>
      <c r="E35" s="163" t="str">
        <f>IFERROR(__xludf.DUMMYFUNCTION("IFERROR(VLOOKUP(C35,IMPORTRANGE(""https://docs.google.com/spreadsheets/d/1SQRLoxD_LXfQNfB7NOxI5jlxbkDlcNPwla_2gSTySP8/edit#gid=274515254"",""Project Management!$C$2:$D$100""),2,0),0)"),"開始")</f>
        <v>開始</v>
      </c>
    </row>
    <row r="36" ht="22.5" customHeight="1">
      <c r="A36" s="63" t="s">
        <v>4067</v>
      </c>
      <c r="B36" s="143" t="s">
        <v>4068</v>
      </c>
      <c r="C36" s="26" t="s">
        <v>4069</v>
      </c>
      <c r="D36" s="26" t="s">
        <v>4070</v>
      </c>
      <c r="E36" s="163" t="str">
        <f>IFERROR(__xludf.DUMMYFUNCTION("IFERROR(VLOOKUP(C36,IMPORTRANGE(""https://docs.google.com/spreadsheets/d/1SQRLoxD_LXfQNfB7NOxI5jlxbkDlcNPwla_2gSTySP8/edit#gid=274515254"",""Project Management!$C$2:$D$100""),2,0),0)"),"グループを編集")</f>
        <v>グループを編集</v>
      </c>
    </row>
    <row r="37" ht="21.75" customHeight="1">
      <c r="A37" s="63" t="s">
        <v>4071</v>
      </c>
      <c r="C37" s="26" t="s">
        <v>4072</v>
      </c>
      <c r="D37" s="26" t="s">
        <v>4073</v>
      </c>
      <c r="E37" s="163" t="str">
        <f>IFERROR(__xludf.DUMMYFUNCTION("IFERROR(VLOOKUP(C37,IMPORTRANGE(""https://docs.google.com/spreadsheets/d/1SQRLoxD_LXfQNfB7NOxI5jlxbkDlcNPwla_2gSTySP8/edit#gid=274515254"",""Project Management!$C$2:$D$100""),2,0),0)"),"グループを削除")</f>
        <v>グループを削除</v>
      </c>
    </row>
    <row r="38">
      <c r="A38" s="108" t="str">
        <f>IFERROR(__xludf.DUMMYFUNCTION("JOIN(""-"",""app"",SPLIT(LOWER( C38),"" ""))"),"app-are-you-sure-you-want-to-delete-the-group?")</f>
        <v>app-are-you-sure-you-want-to-delete-the-group?</v>
      </c>
      <c r="B38" s="168" t="s">
        <v>4074</v>
      </c>
      <c r="C38" s="122" t="s">
        <v>4075</v>
      </c>
      <c r="D38" s="122" t="s">
        <v>4076</v>
      </c>
      <c r="E38" s="163">
        <f>IFERROR(__xludf.DUMMYFUNCTION("IFERROR(VLOOKUP(C38,IMPORTRANGE(""https://docs.google.com/spreadsheets/d/1SQRLoxD_LXfQNfB7NOxI5jlxbkDlcNPwla_2gSTySP8/edit#gid=274515254"",""Project Management!$C$2:$D$100""),2,0),0)"),0.0)</f>
        <v>0</v>
      </c>
    </row>
    <row r="39">
      <c r="A39" s="108" t="str">
        <f>IFERROR(__xludf.DUMMYFUNCTION("JOIN(""-"",""app"",SPLIT(LOWER( C39),"" ""))"),"app-select-owner")</f>
        <v>app-select-owner</v>
      </c>
      <c r="B39" s="168" t="s">
        <v>4077</v>
      </c>
      <c r="C39" s="122" t="s">
        <v>2102</v>
      </c>
      <c r="D39" s="122" t="s">
        <v>2103</v>
      </c>
      <c r="E39" s="163">
        <f>IFERROR(__xludf.DUMMYFUNCTION("IFERROR(VLOOKUP(C39,IMPORTRANGE(""https://docs.google.com/spreadsheets/d/1SQRLoxD_LXfQNfB7NOxI5jlxbkDlcNPwla_2gSTySP8/edit#gid=274515254"",""Project Management!$C$2:$D$100""),2,0),0)"),0.0)</f>
        <v>0</v>
      </c>
    </row>
    <row r="40">
      <c r="A40" s="108" t="str">
        <f>IFERROR(__xludf.DUMMYFUNCTION("JOIN(""-"",""app"",SPLIT(LOWER( C40),"" ""))"),"app-enter-tags")</f>
        <v>app-enter-tags</v>
      </c>
      <c r="C40" s="122" t="s">
        <v>2105</v>
      </c>
      <c r="D40" s="122" t="s">
        <v>2106</v>
      </c>
      <c r="E40" s="163">
        <f>IFERROR(__xludf.DUMMYFUNCTION("IFERROR(VLOOKUP(C40,IMPORTRANGE(""https://docs.google.com/spreadsheets/d/1SQRLoxD_LXfQNfB7NOxI5jlxbkDlcNPwla_2gSTySP8/edit#gid=274515254"",""Project Management!$C$2:$D$100""),2,0),0)"),0.0)</f>
        <v>0</v>
      </c>
    </row>
    <row r="41">
      <c r="A41" s="108" t="str">
        <f>IFERROR(__xludf.DUMMYFUNCTION("JOIN(""-"",""app"",SPLIT(LOWER( C41),"" ""))"),"app-edit-group-for")</f>
        <v>app-edit-group-for</v>
      </c>
      <c r="B41" s="168" t="s">
        <v>4078</v>
      </c>
      <c r="C41" s="122" t="s">
        <v>4079</v>
      </c>
      <c r="D41" s="122" t="s">
        <v>4080</v>
      </c>
      <c r="E41" s="163">
        <f>IFERROR(__xludf.DUMMYFUNCTION("IFERROR(VLOOKUP(C41,IMPORTRANGE(""https://docs.google.com/spreadsheets/d/1SQRLoxD_LXfQNfB7NOxI5jlxbkDlcNPwla_2gSTySP8/edit#gid=274515254"",""Project Management!$C$2:$D$100""),2,0),0)"),0.0)</f>
        <v>0</v>
      </c>
    </row>
    <row r="42">
      <c r="A42" s="108" t="str">
        <f>IFERROR(__xludf.DUMMYFUNCTION("JOIN(""-"",""app"",SPLIT(LOWER( C42),"" ""))"),"app-enter-tags")</f>
        <v>app-enter-tags</v>
      </c>
      <c r="C42" s="122" t="s">
        <v>2105</v>
      </c>
      <c r="D42" s="122" t="s">
        <v>2106</v>
      </c>
      <c r="E42" s="163">
        <f>IFERROR(__xludf.DUMMYFUNCTION("IFERROR(VLOOKUP(C42,IMPORTRANGE(""https://docs.google.com/spreadsheets/d/1SQRLoxD_LXfQNfB7NOxI5jlxbkDlcNPwla_2gSTySP8/edit#gid=274515254"",""Project Management!$C$2:$D$100""),2,0),0)"),0.0)</f>
        <v>0</v>
      </c>
    </row>
    <row r="43">
      <c r="A43" s="108" t="str">
        <f>IFERROR(__xludf.DUMMYFUNCTION("JOIN(""-"",""app"",SPLIT(LOWER( C43),"" ""))"),"app-add-groups")</f>
        <v>app-add-groups</v>
      </c>
      <c r="B43" s="105" t="s">
        <v>4081</v>
      </c>
      <c r="C43" s="122" t="s">
        <v>2439</v>
      </c>
      <c r="D43" s="122" t="s">
        <v>2440</v>
      </c>
      <c r="E43" s="163">
        <f>IFERROR(__xludf.DUMMYFUNCTION("IFERROR(VLOOKUP(C43,IMPORTRANGE(""https://docs.google.com/spreadsheets/d/1SQRLoxD_LXfQNfB7NOxI5jlxbkDlcNPwla_2gSTySP8/edit#gid=274515254"",""Project Management!$C$2:$D$100""),2,0),0)"),0.0)</f>
        <v>0</v>
      </c>
    </row>
    <row r="44">
      <c r="A44" s="108" t="str">
        <f>IFERROR(__xludf.DUMMYFUNCTION("JOIN(""-"",""app"",SPLIT(LOWER( C44),"" ""))"),"app-add-application")</f>
        <v>app-add-application</v>
      </c>
      <c r="B44" s="169" t="s">
        <v>4082</v>
      </c>
      <c r="C44" s="122" t="s">
        <v>4083</v>
      </c>
      <c r="D44" s="122" t="s">
        <v>4084</v>
      </c>
      <c r="E44" s="163">
        <f>IFERROR(__xludf.DUMMYFUNCTION("IFERROR(VLOOKUP(C44,IMPORTRANGE(""https://docs.google.com/spreadsheets/d/1SQRLoxD_LXfQNfB7NOxI5jlxbkDlcNPwla_2gSTySP8/edit#gid=274515254"",""Project Management!$C$2:$D$100""),2,0),0)"),0.0)</f>
        <v>0</v>
      </c>
    </row>
    <row r="45">
      <c r="A45" s="108" t="str">
        <f>IFERROR(__xludf.DUMMYFUNCTION("JOIN(""-"",""app"",SPLIT(LOWER( C45),"" ""))"),"app-search-application")</f>
        <v>app-search-application</v>
      </c>
      <c r="C45" s="122" t="s">
        <v>4085</v>
      </c>
      <c r="D45" s="122" t="s">
        <v>4086</v>
      </c>
      <c r="E45" s="163">
        <f>IFERROR(__xludf.DUMMYFUNCTION("IFERROR(VLOOKUP(C45,IMPORTRANGE(""https://docs.google.com/spreadsheets/d/1SQRLoxD_LXfQNfB7NOxI5jlxbkDlcNPwla_2gSTySP8/edit#gid=274515254"",""Project Management!$C$2:$D$100""),2,0),0)"),0.0)</f>
        <v>0</v>
      </c>
    </row>
    <row r="46">
      <c r="A46" s="108" t="str">
        <f>IFERROR(__xludf.DUMMYFUNCTION("JOIN(""-"",""app"",SPLIT(LOWER( C46),"" ""))"),"app-apps")</f>
        <v>app-apps</v>
      </c>
      <c r="C46" s="122" t="s">
        <v>4087</v>
      </c>
      <c r="D46" s="122" t="s">
        <v>4025</v>
      </c>
      <c r="E46" s="163">
        <f>IFERROR(__xludf.DUMMYFUNCTION("IFERROR(VLOOKUP(C46,IMPORTRANGE(""https://docs.google.com/spreadsheets/d/1SQRLoxD_LXfQNfB7NOxI5jlxbkDlcNPwla_2gSTySP8/edit#gid=274515254"",""Project Management!$C$2:$D$100""),2,0),0)"),0.0)</f>
        <v>0</v>
      </c>
    </row>
    <row r="47">
      <c r="A47" s="108" t="str">
        <f>IFERROR(__xludf.DUMMYFUNCTION("JOIN(""-"",""app"",SPLIT(LOWER( C47),"" ""))"),"app-edit-assets")</f>
        <v>app-edit-assets</v>
      </c>
      <c r="B47" s="169" t="s">
        <v>4088</v>
      </c>
      <c r="C47" s="122" t="s">
        <v>4089</v>
      </c>
      <c r="D47" s="122" t="s">
        <v>4090</v>
      </c>
      <c r="E47" s="163">
        <f>IFERROR(__xludf.DUMMYFUNCTION("IFERROR(VLOOKUP(C47,IMPORTRANGE(""https://docs.google.com/spreadsheets/d/1SQRLoxD_LXfQNfB7NOxI5jlxbkDlcNPwla_2gSTySP8/edit#gid=274515254"",""Project Management!$C$2:$D$100""),2,0),0)"),0.0)</f>
        <v>0</v>
      </c>
    </row>
    <row r="48">
      <c r="A48" s="108" t="str">
        <f>IFERROR(__xludf.DUMMYFUNCTION("JOIN(""-"",""app"",SPLIT(LOWER( C48),"" ""))"),"app-add-location")</f>
        <v>app-add-location</v>
      </c>
      <c r="C48" s="122" t="s">
        <v>4091</v>
      </c>
      <c r="D48" s="122" t="s">
        <v>4092</v>
      </c>
      <c r="E48" s="163">
        <f>IFERROR(__xludf.DUMMYFUNCTION("IFERROR(VLOOKUP(C48,IMPORTRANGE(""https://docs.google.com/spreadsheets/d/1SQRLoxD_LXfQNfB7NOxI5jlxbkDlcNPwla_2gSTySP8/edit#gid=274515254"",""Project Management!$C$2:$D$100""),2,0),0)"),0.0)</f>
        <v>0</v>
      </c>
    </row>
    <row r="49">
      <c r="A49" s="108" t="str">
        <f>IFERROR(__xludf.DUMMYFUNCTION("JOIN(""-"",""app"",SPLIT(LOWER( C49),"" ""))"),"app-no-teams-assigned")</f>
        <v>app-no-teams-assigned</v>
      </c>
      <c r="C49" s="122" t="s">
        <v>2333</v>
      </c>
      <c r="D49" s="122" t="s">
        <v>2334</v>
      </c>
      <c r="E49" s="163" t="str">
        <f>IFERROR(__xludf.DUMMYFUNCTION("IFERROR(VLOOKUP(C49,IMPORTRANGE(""https://docs.google.com/spreadsheets/d/1SQRLoxD_LXfQNfB7NOxI5jlxbkDlcNPwla_2gSTySP8/edit#gid=274515254"",""Project Management!$C$2:$D$100""),2,0),0)"),"割り当てチームなし")</f>
        <v>割り当てチームなし</v>
      </c>
    </row>
    <row r="50">
      <c r="A50" s="108" t="str">
        <f>IFERROR(__xludf.DUMMYFUNCTION("JOIN(""-"",""app"",SPLIT(LOWER( C50),"" ""))"),"app-move")</f>
        <v>app-move</v>
      </c>
      <c r="B50" s="169" t="s">
        <v>4093</v>
      </c>
      <c r="C50" s="122" t="s">
        <v>4094</v>
      </c>
      <c r="D50" s="122" t="s">
        <v>4095</v>
      </c>
      <c r="E50" s="163">
        <f>IFERROR(__xludf.DUMMYFUNCTION("IFERROR(VLOOKUP(C50,IMPORTRANGE(""https://docs.google.com/spreadsheets/d/1SQRLoxD_LXfQNfB7NOxI5jlxbkDlcNPwla_2gSTySP8/edit#gid=274515254"",""Project Management!$C$2:$D$100""),2,0),0)"),0.0)</f>
        <v>0</v>
      </c>
    </row>
    <row r="51">
      <c r="A51" s="108" t="str">
        <f>IFERROR(__xludf.DUMMYFUNCTION("JOIN(""-"",""app"",SPLIT(LOWER( C51),"" ""))"),"app-properties")</f>
        <v>app-properties</v>
      </c>
      <c r="C51" s="122" t="s">
        <v>2558</v>
      </c>
      <c r="D51" s="122" t="s">
        <v>2559</v>
      </c>
      <c r="E51" s="163">
        <f>IFERROR(__xludf.DUMMYFUNCTION("IFERROR(VLOOKUP(C51,IMPORTRANGE(""https://docs.google.com/spreadsheets/d/1SQRLoxD_LXfQNfB7NOxI5jlxbkDlcNPwla_2gSTySP8/edit#gid=274515254"",""Project Management!$C$2:$D$100""),2,0),0)"),0.0)</f>
        <v>0</v>
      </c>
    </row>
    <row r="52">
      <c r="A52" s="108" t="str">
        <f>IFERROR(__xludf.DUMMYFUNCTION("JOIN(""-"",""app"",SPLIT(LOWER( C52),"" ""))"),"app-start")</f>
        <v>app-start</v>
      </c>
      <c r="C52" s="122" t="s">
        <v>4065</v>
      </c>
      <c r="D52" s="122" t="s">
        <v>4096</v>
      </c>
      <c r="E52" s="163" t="str">
        <f>IFERROR(__xludf.DUMMYFUNCTION("IFERROR(VLOOKUP(C52,IMPORTRANGE(""https://docs.google.com/spreadsheets/d/1SQRLoxD_LXfQNfB7NOxI5jlxbkDlcNPwla_2gSTySP8/edit#gid=274515254"",""Project Management!$C$2:$D$100""),2,0),0)"),"開始")</f>
        <v>開始</v>
      </c>
    </row>
    <row r="53">
      <c r="A53" s="108" t="str">
        <f>IFERROR(__xludf.DUMMYFUNCTION("JOIN(""-"",""app"",SPLIT(LOWER( C53),"" ""))"),"app-image-details")</f>
        <v>app-image-details</v>
      </c>
      <c r="B53" s="169" t="s">
        <v>4097</v>
      </c>
      <c r="C53" s="122" t="s">
        <v>4098</v>
      </c>
      <c r="D53" s="122" t="s">
        <v>4099</v>
      </c>
      <c r="E53" s="163">
        <f>IFERROR(__xludf.DUMMYFUNCTION("IFERROR(VLOOKUP(C53,IMPORTRANGE(""https://docs.google.com/spreadsheets/d/1SQRLoxD_LXfQNfB7NOxI5jlxbkDlcNPwla_2gSTySP8/edit#gid=274515254"",""Project Management!$C$2:$D$100""),2,0),0)"),0.0)</f>
        <v>0</v>
      </c>
    </row>
    <row r="54">
      <c r="A54" s="108" t="str">
        <f>IFERROR(__xludf.DUMMYFUNCTION("JOIN(""-"",""app"",SPLIT(LOWER( C54),"" ""))"),"app-start-processing")</f>
        <v>app-start-processing</v>
      </c>
      <c r="C54" s="122" t="s">
        <v>4100</v>
      </c>
      <c r="D54" s="122" t="s">
        <v>4101</v>
      </c>
      <c r="E54" s="163">
        <f>IFERROR(__xludf.DUMMYFUNCTION("IFERROR(VLOOKUP(C54,IMPORTRANGE(""https://docs.google.com/spreadsheets/d/1SQRLoxD_LXfQNfB7NOxI5jlxbkDlcNPwla_2gSTySP8/edit#gid=274515254"",""Project Management!$C$2:$D$100""),2,0),0)"),0.0)</f>
        <v>0</v>
      </c>
    </row>
    <row r="55">
      <c r="A55" s="108" t="str">
        <f>IFERROR(__xludf.DUMMYFUNCTION("JOIN(""-"",""app"",SPLIT(LOWER( C55),"" ""))"),"app-no-missions-found")</f>
        <v>app-no-missions-found</v>
      </c>
      <c r="C55" s="122" t="s">
        <v>4102</v>
      </c>
      <c r="D55" s="122" t="s">
        <v>4103</v>
      </c>
      <c r="E55" s="163">
        <f>IFERROR(__xludf.DUMMYFUNCTION("IFERROR(VLOOKUP(C55,IMPORTRANGE(""https://docs.google.com/spreadsheets/d/1SQRLoxD_LXfQNfB7NOxI5jlxbkDlcNPwla_2gSTySP8/edit#gid=274515254"",""Project Management!$C$2:$D$100""),2,0),0)"),0.0)</f>
        <v>0</v>
      </c>
    </row>
    <row r="56">
      <c r="A56" s="108" t="str">
        <f>IFERROR(__xludf.DUMMYFUNCTION("JOIN(""-"",""app"",SPLIT(LOWER( C56),"" ""))"),"app-data-captured-time")</f>
        <v>app-data-captured-time</v>
      </c>
      <c r="C56" s="122" t="s">
        <v>4104</v>
      </c>
      <c r="D56" s="122" t="s">
        <v>4105</v>
      </c>
      <c r="E56" s="163">
        <f>IFERROR(__xludf.DUMMYFUNCTION("IFERROR(VLOOKUP(C56,IMPORTRANGE(""https://docs.google.com/spreadsheets/d/1SQRLoxD_LXfQNfB7NOxI5jlxbkDlcNPwla_2gSTySP8/edit#gid=274515254"",""Project Management!$C$2:$D$100""),2,0),0)"),0.0)</f>
        <v>0</v>
      </c>
    </row>
    <row r="57">
      <c r="A57" s="108" t="str">
        <f>IFERROR(__xludf.DUMMYFUNCTION("JOIN(""-"",""app"",SPLIT(LOWER( C57),"" ""))"),"app-data-upload-time")</f>
        <v>app-data-upload-time</v>
      </c>
      <c r="C57" s="122" t="s">
        <v>4106</v>
      </c>
      <c r="D57" s="122" t="s">
        <v>4107</v>
      </c>
      <c r="E57" s="163">
        <f>IFERROR(__xludf.DUMMYFUNCTION("IFERROR(VLOOKUP(C57,IMPORTRANGE(""https://docs.google.com/spreadsheets/d/1SQRLoxD_LXfQNfB7NOxI5jlxbkDlcNPwla_2gSTySP8/edit#gid=274515254"",""Project Management!$C$2:$D$100""),2,0),0)"),0.0)</f>
        <v>0</v>
      </c>
    </row>
    <row r="58">
      <c r="A58" s="108" t="str">
        <f>IFERROR(__xludf.DUMMYFUNCTION("JOIN(""-"",""app"",SPLIT(LOWER( C58),"" ""))"),"app-area-covered")</f>
        <v>app-area-covered</v>
      </c>
      <c r="C58" s="122" t="s">
        <v>4108</v>
      </c>
      <c r="D58" s="122" t="s">
        <v>4109</v>
      </c>
      <c r="E58" s="163">
        <f>IFERROR(__xludf.DUMMYFUNCTION("IFERROR(VLOOKUP(C58,IMPORTRANGE(""https://docs.google.com/spreadsheets/d/1SQRLoxD_LXfQNfB7NOxI5jlxbkDlcNPwla_2gSTySP8/edit#gid=274515254"",""Project Management!$C$2:$D$100""),2,0),0)"),0.0)</f>
        <v>0</v>
      </c>
    </row>
    <row r="59">
      <c r="A59" s="108" t="str">
        <f>IFERROR(__xludf.DUMMYFUNCTION("JOIN(""-"",""app"",SPLIT(LOWER( C59),"" ""))"),"app-camera-model")</f>
        <v>app-camera-model</v>
      </c>
      <c r="C59" s="122" t="s">
        <v>4110</v>
      </c>
      <c r="D59" s="122" t="s">
        <v>4111</v>
      </c>
      <c r="E59" s="163">
        <f>IFERROR(__xludf.DUMMYFUNCTION("IFERROR(VLOOKUP(C59,IMPORTRANGE(""https://docs.google.com/spreadsheets/d/1SQRLoxD_LXfQNfB7NOxI5jlxbkDlcNPwla_2gSTySP8/edit#gid=274515254"",""Project Management!$C$2:$D$100""),2,0),0)"),0.0)</f>
        <v>0</v>
      </c>
    </row>
    <row r="60">
      <c r="A60" s="108" t="str">
        <f>IFERROR(__xludf.DUMMYFUNCTION("JOIN(""-"",""app"",SPLIT(LOWER( C60),"" ""))"),"app-raw-images")</f>
        <v>app-raw-images</v>
      </c>
      <c r="C60" s="122" t="s">
        <v>4112</v>
      </c>
      <c r="D60" s="122" t="s">
        <v>4113</v>
      </c>
      <c r="E60" s="163">
        <f>IFERROR(__xludf.DUMMYFUNCTION("IFERROR(VLOOKUP(C60,IMPORTRANGE(""https://docs.google.com/spreadsheets/d/1SQRLoxD_LXfQNfB7NOxI5jlxbkDlcNPwla_2gSTySP8/edit#gid=274515254"",""Project Management!$C$2:$D$100""),2,0),0)"),0.0)</f>
        <v>0</v>
      </c>
    </row>
    <row r="61">
      <c r="A61" s="108" t="str">
        <f>IFERROR(__xludf.DUMMYFUNCTION("JOIN(""-"",""app"",SPLIT(LOWER( C61),"" ""))"),"app-upload")</f>
        <v>app-upload</v>
      </c>
      <c r="C61" s="122" t="s">
        <v>4114</v>
      </c>
      <c r="D61" s="122" t="s">
        <v>4115</v>
      </c>
      <c r="E61" s="163">
        <f>IFERROR(__xludf.DUMMYFUNCTION("IFERROR(VLOOKUP(C61,IMPORTRANGE(""https://docs.google.com/spreadsheets/d/1SQRLoxD_LXfQNfB7NOxI5jlxbkDlcNPwla_2gSTySP8/edit#gid=274515254"",""Project Management!$C$2:$D$100""),2,0),0)"),0.0)</f>
        <v>0</v>
      </c>
    </row>
    <row r="62">
      <c r="A62" s="108" t="str">
        <f>IFERROR(__xludf.DUMMYFUNCTION("JOIN(""-"",""app"",SPLIT(LOWER( C62),"" ""))"),"app-upload-more")</f>
        <v>app-upload-more</v>
      </c>
      <c r="C62" s="122" t="s">
        <v>4116</v>
      </c>
      <c r="D62" s="122" t="s">
        <v>3962</v>
      </c>
      <c r="E62" s="163">
        <f>IFERROR(__xludf.DUMMYFUNCTION("IFERROR(VLOOKUP(C62,IMPORTRANGE(""https://docs.google.com/spreadsheets/d/1SQRLoxD_LXfQNfB7NOxI5jlxbkDlcNPwla_2gSTySP8/edit#gid=274515254"",""Project Management!$C$2:$D$100""),2,0),0)"),0.0)</f>
        <v>0</v>
      </c>
    </row>
    <row r="63">
      <c r="A63" s="108" t="str">
        <f>IFERROR(__xludf.DUMMYFUNCTION("JOIN(""-"",""app"",SPLIT(LOWER( C63),"" ""))"),"app-download")</f>
        <v>app-download</v>
      </c>
      <c r="C63" s="122" t="s">
        <v>3505</v>
      </c>
      <c r="D63" s="122" t="s">
        <v>3506</v>
      </c>
      <c r="E63" s="163">
        <f>IFERROR(__xludf.DUMMYFUNCTION("IFERROR(VLOOKUP(C63,IMPORTRANGE(""https://docs.google.com/spreadsheets/d/1SQRLoxD_LXfQNfB7NOxI5jlxbkDlcNPwla_2gSTySP8/edit#gid=274515254"",""Project Management!$C$2:$D$100""),2,0),0)"),0.0)</f>
        <v>0</v>
      </c>
    </row>
    <row r="64">
      <c r="A64" s="108" t="str">
        <f>IFERROR(__xludf.DUMMYFUNCTION("JOIN(""-"",""app"",SPLIT(LOWER( C64),"" ""))"),"app-average-ground-sampling-distance")</f>
        <v>app-average-ground-sampling-distance</v>
      </c>
      <c r="B64" s="169" t="s">
        <v>4117</v>
      </c>
      <c r="C64" s="122" t="s">
        <v>4118</v>
      </c>
      <c r="D64" s="122" t="s">
        <v>4119</v>
      </c>
      <c r="E64" s="163">
        <f>IFERROR(__xludf.DUMMYFUNCTION("IFERROR(VLOOKUP(C64,IMPORTRANGE(""https://docs.google.com/spreadsheets/d/1SQRLoxD_LXfQNfB7NOxI5jlxbkDlcNPwla_2gSTySP8/edit#gid=274515254"",""Project Management!$C$2:$D$100""),2,0),0)"),0.0)</f>
        <v>0</v>
      </c>
    </row>
    <row r="65">
      <c r="A65" s="108" t="str">
        <f>IFERROR(__xludf.DUMMYFUNCTION("JOIN(""-"",""app"",SPLIT(LOWER( C65),"" ""))"),"app-image-altitude")</f>
        <v>app-image-altitude</v>
      </c>
      <c r="C65" s="122" t="s">
        <v>4120</v>
      </c>
      <c r="D65" s="122" t="s">
        <v>4121</v>
      </c>
      <c r="E65" s="163">
        <f>IFERROR(__xludf.DUMMYFUNCTION("IFERROR(VLOOKUP(C65,IMPORTRANGE(""https://docs.google.com/spreadsheets/d/1SQRLoxD_LXfQNfB7NOxI5jlxbkDlcNPwla_2gSTySP8/edit#gid=274515254"",""Project Management!$C$2:$D$100""),2,0),0)"),0.0)</f>
        <v>0</v>
      </c>
    </row>
    <row r="66">
      <c r="A66" s="108" t="str">
        <f>IFERROR(__xludf.DUMMYFUNCTION("JOIN(""-"",""app"",SPLIT(LOWER( C66),"" ""))"),"app-action")</f>
        <v>app-action</v>
      </c>
      <c r="C66" s="122" t="s">
        <v>4122</v>
      </c>
      <c r="D66" s="122" t="s">
        <v>4123</v>
      </c>
      <c r="E66" s="163">
        <f>IFERROR(__xludf.DUMMYFUNCTION("IFERROR(VLOOKUP(C66,IMPORTRANGE(""https://docs.google.com/spreadsheets/d/1SQRLoxD_LXfQNfB7NOxI5jlxbkDlcNPwla_2gSTySP8/edit#gid=274515254"",""Project Management!$C$2:$D$100""),2,0),0)"),0.0)</f>
        <v>0</v>
      </c>
    </row>
    <row r="67">
      <c r="A67" s="108" t="str">
        <f>IFERROR(__xludf.DUMMYFUNCTION("JOIN(""-"",""app"",SPLIT(LOWER( C67),"" ""))"),"app-move")</f>
        <v>app-move</v>
      </c>
      <c r="B67" s="169" t="s">
        <v>4124</v>
      </c>
      <c r="C67" s="122" t="s">
        <v>4094</v>
      </c>
      <c r="D67" s="122" t="s">
        <v>4095</v>
      </c>
      <c r="E67" s="163">
        <f>IFERROR(__xludf.DUMMYFUNCTION("IFERROR(VLOOKUP(C67,IMPORTRANGE(""https://docs.google.com/spreadsheets/d/1SQRLoxD_LXfQNfB7NOxI5jlxbkDlcNPwla_2gSTySP8/edit#gid=274515254"",""Project Management!$C$2:$D$100""),2,0),0)"),0.0)</f>
        <v>0</v>
      </c>
    </row>
    <row r="68">
      <c r="A68" s="108" t="str">
        <f>IFERROR(__xludf.DUMMYFUNCTION("JOIN(""-"",""app"",SPLIT(LOWER( C68),"" ""))"),"app-group")</f>
        <v>app-group</v>
      </c>
      <c r="C68" s="122" t="s">
        <v>4125</v>
      </c>
      <c r="D68" s="122" t="s">
        <v>4126</v>
      </c>
      <c r="E68" s="163">
        <f>IFERROR(__xludf.DUMMYFUNCTION("IFERROR(VLOOKUP(C68,IMPORTRANGE(""https://docs.google.com/spreadsheets/d/1SQRLoxD_LXfQNfB7NOxI5jlxbkDlcNPwla_2gSTySP8/edit#gid=274515254"",""Project Management!$C$2:$D$100""),2,0),0)"),0.0)</f>
        <v>0</v>
      </c>
    </row>
    <row r="69">
      <c r="A69" s="108" t="str">
        <f>IFERROR(__xludf.DUMMYFUNCTION("JOIN(""-"",""app"",SPLIT(LOWER( C69),"" ""))"),"app-select-a-group")</f>
        <v>app-select-a-group</v>
      </c>
      <c r="C69" s="122" t="s">
        <v>4127</v>
      </c>
      <c r="D69" s="122" t="s">
        <v>4128</v>
      </c>
      <c r="E69" s="163">
        <f>IFERROR(__xludf.DUMMYFUNCTION("IFERROR(VLOOKUP(C69,IMPORTRANGE(""https://docs.google.com/spreadsheets/d/1SQRLoxD_LXfQNfB7NOxI5jlxbkDlcNPwla_2gSTySP8/edit#gid=274515254"",""Project Management!$C$2:$D$100""),2,0),0)"),0.0)</f>
        <v>0</v>
      </c>
    </row>
    <row r="70">
      <c r="A70" s="108" t="str">
        <f>IFERROR(__xludf.DUMMYFUNCTION("JOIN(""-"",""app"",SPLIT(LOWER( C70),"" ""))"),"app-properties")</f>
        <v>app-properties</v>
      </c>
      <c r="B70" s="169" t="s">
        <v>4129</v>
      </c>
      <c r="C70" s="122" t="s">
        <v>2558</v>
      </c>
      <c r="D70" s="122" t="s">
        <v>2559</v>
      </c>
      <c r="E70" s="163">
        <f>IFERROR(__xludf.DUMMYFUNCTION("IFERROR(VLOOKUP(C70,IMPORTRANGE(""https://docs.google.com/spreadsheets/d/1SQRLoxD_LXfQNfB7NOxI5jlxbkDlcNPwla_2gSTySP8/edit#gid=274515254"",""Project Management!$C$2:$D$100""),2,0),0)"),0.0)</f>
        <v>0</v>
      </c>
    </row>
    <row r="71">
      <c r="A71" s="108" t="str">
        <f>IFERROR(__xludf.DUMMYFUNCTION("JOIN(""-"",""app"",SPLIT(LOWER( C71),"" ""))"),"app-key")</f>
        <v>app-key</v>
      </c>
      <c r="C71" s="122" t="s">
        <v>3</v>
      </c>
      <c r="D71" s="122" t="s">
        <v>4130</v>
      </c>
      <c r="E71" s="163">
        <f>IFERROR(__xludf.DUMMYFUNCTION("IFERROR(VLOOKUP(C71,IMPORTRANGE(""https://docs.google.com/spreadsheets/d/1SQRLoxD_LXfQNfB7NOxI5jlxbkDlcNPwla_2gSTySP8/edit#gid=274515254"",""Project Management!$C$2:$D$100""),2,0),0)"),0.0)</f>
        <v>0</v>
      </c>
    </row>
    <row r="72">
      <c r="A72" s="108" t="str">
        <f>IFERROR(__xludf.DUMMYFUNCTION("JOIN(""-"",""app"",SPLIT(LOWER( C72),"" ""))"),"app-value")</f>
        <v>app-value</v>
      </c>
      <c r="C72" s="122" t="s">
        <v>395</v>
      </c>
      <c r="D72" s="122" t="s">
        <v>396</v>
      </c>
      <c r="E72" s="163">
        <f>IFERROR(__xludf.DUMMYFUNCTION("IFERROR(VLOOKUP(C72,IMPORTRANGE(""https://docs.google.com/spreadsheets/d/1SQRLoxD_LXfQNfB7NOxI5jlxbkDlcNPwla_2gSTySP8/edit#gid=274515254"",""Project Management!$C$2:$D$100""),2,0),0)"),0.0)</f>
        <v>0</v>
      </c>
    </row>
    <row r="73">
      <c r="A73" s="108" t="str">
        <f>IFERROR(__xludf.DUMMYFUNCTION("JOIN(""-"",""app"",SPLIT(LOWER( C73),"" ""))"),"app-disable?")</f>
        <v>app-disable?</v>
      </c>
      <c r="C73" s="122" t="s">
        <v>4131</v>
      </c>
      <c r="D73" s="122" t="s">
        <v>4132</v>
      </c>
      <c r="E73" s="163">
        <f>IFERROR(__xludf.DUMMYFUNCTION("IFERROR(VLOOKUP(C73,IMPORTRANGE(""https://docs.google.com/spreadsheets/d/1SQRLoxD_LXfQNfB7NOxI5jlxbkDlcNPwla_2gSTySP8/edit#gid=274515254"",""Project Management!$C$2:$D$100""),2,0),0)"),0.0)</f>
        <v>0</v>
      </c>
    </row>
    <row r="74">
      <c r="A74" s="108" t="str">
        <f>IFERROR(__xludf.DUMMYFUNCTION("JOIN(""-"",""app"",SPLIT(LOWER( C74),"" ""))"),"app-update-properties")</f>
        <v>app-update-properties</v>
      </c>
      <c r="C74" s="122" t="s">
        <v>4133</v>
      </c>
      <c r="D74" s="122" t="s">
        <v>4134</v>
      </c>
      <c r="E74" s="163">
        <f>IFERROR(__xludf.DUMMYFUNCTION("IFERROR(VLOOKUP(C74,IMPORTRANGE(""https://docs.google.com/spreadsheets/d/1SQRLoxD_LXfQNfB7NOxI5jlxbkDlcNPwla_2gSTySP8/edit#gid=274515254"",""Project Management!$C$2:$D$100""),2,0),0)"),0.0)</f>
        <v>0</v>
      </c>
    </row>
    <row r="75">
      <c r="A75" s="108" t="str">
        <f>IFERROR(__xludf.DUMMYFUNCTION("JOIN(""-"",""app"",SPLIT(LOWER( C75),"" ""))"),"app-visual")</f>
        <v>app-visual</v>
      </c>
      <c r="B75" s="169" t="s">
        <v>4135</v>
      </c>
      <c r="C75" s="122" t="s">
        <v>4136</v>
      </c>
      <c r="D75" s="122" t="s">
        <v>4136</v>
      </c>
      <c r="E75" s="163">
        <f>IFERROR(__xludf.DUMMYFUNCTION("IFERROR(VLOOKUP(C75,IMPORTRANGE(""https://docs.google.com/spreadsheets/d/1SQRLoxD_LXfQNfB7NOxI5jlxbkDlcNPwla_2gSTySP8/edit#gid=274515254"",""Project Management!$C$2:$D$100""),2,0),0)"),0.0)</f>
        <v>0</v>
      </c>
    </row>
    <row r="76">
      <c r="A76" s="108" t="str">
        <f>IFERROR(__xludf.DUMMYFUNCTION("JOIN(""-"",""app"",SPLIT(LOWER( C76),"" ""))"),"app-plant_design")</f>
        <v>app-plant_design</v>
      </c>
      <c r="C76" s="122" t="s">
        <v>4137</v>
      </c>
      <c r="D76" s="122" t="s">
        <v>4138</v>
      </c>
      <c r="E76" s="163">
        <f>IFERROR(__xludf.DUMMYFUNCTION("IFERROR(VLOOKUP(C76,IMPORTRANGE(""https://docs.google.com/spreadsheets/d/1SQRLoxD_LXfQNfB7NOxI5jlxbkDlcNPwla_2gSTySP8/edit#gid=274515254"",""Project Management!$C$2:$D$100""),2,0),0)"),0.0)</f>
        <v>0</v>
      </c>
    </row>
    <row r="77">
      <c r="A77" s="108" t="str">
        <f>IFERROR(__xludf.DUMMYFUNCTION("JOIN(""-"",""app"",SPLIT(LOWER( C77),"" ""))"),"app-grayscale")</f>
        <v>app-grayscale</v>
      </c>
      <c r="C77" s="122" t="s">
        <v>4139</v>
      </c>
      <c r="D77" s="122" t="s">
        <v>4140</v>
      </c>
      <c r="E77" s="163">
        <f>IFERROR(__xludf.DUMMYFUNCTION("IFERROR(VLOOKUP(C77,IMPORTRANGE(""https://docs.google.com/spreadsheets/d/1SQRLoxD_LXfQNfB7NOxI5jlxbkDlcNPwla_2gSTySP8/edit#gid=274515254"",""Project Management!$C$2:$D$100""),2,0),0)"),0.0)</f>
        <v>0</v>
      </c>
    </row>
    <row r="78">
      <c r="A78" s="108" t="str">
        <f>IFERROR(__xludf.DUMMYFUNCTION("JOIN(""-"",""app"",SPLIT(LOWER( C78),"" ""))"),"app-others")</f>
        <v>app-others</v>
      </c>
      <c r="C78" s="122" t="s">
        <v>2524</v>
      </c>
      <c r="D78" s="122" t="s">
        <v>2525</v>
      </c>
      <c r="E78" s="163">
        <f>IFERROR(__xludf.DUMMYFUNCTION("IFERROR(VLOOKUP(C78,IMPORTRANGE(""https://docs.google.com/spreadsheets/d/1SQRLoxD_LXfQNfB7NOxI5jlxbkDlcNPwla_2gSTySP8/edit#gid=274515254"",""Project Management!$C$2:$D$100""),2,0),0)"),0.0)</f>
        <v>0</v>
      </c>
    </row>
    <row r="79" ht="22.5" customHeight="1">
      <c r="A79" s="63" t="s">
        <v>4014</v>
      </c>
      <c r="B79" s="170" t="s">
        <v>4141</v>
      </c>
      <c r="C79" s="26" t="s">
        <v>1009</v>
      </c>
      <c r="D79" s="26" t="s">
        <v>2488</v>
      </c>
      <c r="E79" s="163" t="str">
        <f>IFERROR(__xludf.DUMMYFUNCTION("IFERROR(VLOOKUP(C79,IMPORTRANGE(""https://docs.google.com/spreadsheets/d/1SQRLoxD_LXfQNfB7NOxI5jlxbkDlcNPwla_2gSTySP8/edit#gid=274515254"",""Project Management!$C$2:$D$100""),2,0),0)"),"グループ")</f>
        <v>グループ</v>
      </c>
    </row>
    <row r="80" ht="22.5" customHeight="1">
      <c r="A80" s="63" t="s">
        <v>4142</v>
      </c>
      <c r="C80" s="26" t="s">
        <v>4143</v>
      </c>
      <c r="D80" s="26" t="s">
        <v>4144</v>
      </c>
      <c r="E80" s="163" t="str">
        <f>IFERROR(__xludf.DUMMYFUNCTION("IFERROR(VLOOKUP(C80,IMPORTRANGE(""https://docs.google.com/spreadsheets/d/1SQRLoxD_LXfQNfB7NOxI5jlxbkDlcNPwla_2gSTySP8/edit#gid=274515254"",""Project Management!$C$2:$D$100""),2,0),0)"),"コンテナ")</f>
        <v>コンテナ</v>
      </c>
    </row>
    <row r="81">
      <c r="A81" s="63" t="s">
        <v>2182</v>
      </c>
      <c r="C81" s="26" t="s">
        <v>2183</v>
      </c>
      <c r="D81" s="26" t="s">
        <v>2184</v>
      </c>
      <c r="E81" s="163" t="str">
        <f>IFERROR(__xludf.DUMMYFUNCTION("IFERROR(VLOOKUP(C81,IMPORTRANGE(""https://docs.google.com/spreadsheets/d/1SQRLoxD_LXfQNfB7NOxI5jlxbkDlcNPwla_2gSTySP8/edit#gid=274515254"",""Project Management!$C$2:$D$100""),2,0),0)"),"新規グループ")</f>
        <v>新規グループ</v>
      </c>
    </row>
    <row r="82">
      <c r="A82" s="63" t="s">
        <v>2188</v>
      </c>
      <c r="B82" s="170" t="s">
        <v>4145</v>
      </c>
      <c r="C82" s="26" t="s">
        <v>2190</v>
      </c>
      <c r="D82" s="26" t="s">
        <v>2191</v>
      </c>
      <c r="E82" s="163" t="str">
        <f>IFERROR(__xludf.DUMMYFUNCTION("IFERROR(VLOOKUP(C82,IMPORTRANGE(""https://docs.google.com/spreadsheets/d/1SQRLoxD_LXfQNfB7NOxI5jlxbkDlcNPwla_2gSTySP8/edit#gid=274515254"",""Project Management!$C$2:$D$100""),2,0),0)"),"次のグループを作成")</f>
        <v>次のグループを作成</v>
      </c>
    </row>
    <row r="83">
      <c r="A83" s="63" t="s">
        <v>4146</v>
      </c>
      <c r="C83" s="26" t="s">
        <v>2201</v>
      </c>
      <c r="D83" s="26" t="s">
        <v>2202</v>
      </c>
      <c r="E83" s="163" t="str">
        <f>IFERROR(__xludf.DUMMYFUNCTION("IFERROR(VLOOKUP(C83,IMPORTRANGE(""https://docs.google.com/spreadsheets/d/1SQRLoxD_LXfQNfB7NOxI5jlxbkDlcNPwla_2gSTySP8/edit#gid=274515254"",""Project Management!$C$2:$D$100""),2,0),0)"),"詳細設定")</f>
        <v>詳細設定</v>
      </c>
    </row>
    <row r="84">
      <c r="A84" s="63" t="s">
        <v>2206</v>
      </c>
      <c r="C84" s="26" t="s">
        <v>4147</v>
      </c>
      <c r="D84" s="26" t="s">
        <v>2208</v>
      </c>
      <c r="E84" s="163" t="str">
        <f>IFERROR(__xludf.DUMMYFUNCTION("IFERROR(VLOOKUP(C84,IMPORTRANGE(""https://docs.google.com/spreadsheets/d/1SQRLoxD_LXfQNfB7NOxI5jlxbkDlcNPwla_2gSTySP8/edit#gid=274515254"",""Project Management!$C$2:$D$100""),2,0),0)"),"グループの色／アイコン")</f>
        <v>グループの色／アイコン</v>
      </c>
    </row>
    <row r="85">
      <c r="A85" s="63" t="s">
        <v>2209</v>
      </c>
      <c r="C85" s="26" t="s">
        <v>2210</v>
      </c>
      <c r="D85" s="26" t="s">
        <v>2211</v>
      </c>
      <c r="E85" s="163" t="str">
        <f>IFERROR(__xludf.DUMMYFUNCTION("IFERROR(VLOOKUP(C85,IMPORTRANGE(""https://docs.google.com/spreadsheets/d/1SQRLoxD_LXfQNfB7NOxI5jlxbkDlcNPwla_2gSTySP8/edit#gid=274515254"",""Project Management!$C$2:$D$100""),2,0),0)"),"または")</f>
        <v>または</v>
      </c>
    </row>
    <row r="86">
      <c r="A86" s="63" t="s">
        <v>2212</v>
      </c>
      <c r="C86" s="26" t="s">
        <v>2213</v>
      </c>
      <c r="D86" s="26" t="s">
        <v>2214</v>
      </c>
      <c r="E86" s="163" t="str">
        <f>IFERROR(__xludf.DUMMYFUNCTION("IFERROR(VLOOKUP(C86,IMPORTRANGE(""https://docs.google.com/spreadsheets/d/1SQRLoxD_LXfQNfB7NOxI5jlxbkDlcNPwla_2gSTySP8/edit#gid=274515254"",""Project Management!$C$2:$D$100""),2,0),0)"),"アイコンをアップロード")</f>
        <v>アイコンをアップロード</v>
      </c>
    </row>
    <row r="87">
      <c r="A87" s="63" t="s">
        <v>2203</v>
      </c>
      <c r="C87" s="26" t="s">
        <v>4148</v>
      </c>
      <c r="D87" s="26" t="s">
        <v>2205</v>
      </c>
      <c r="E87" s="163" t="str">
        <f>IFERROR(__xludf.DUMMYFUNCTION("IFERROR(VLOOKUP(C87,IMPORTRANGE(""https://docs.google.com/spreadsheets/d/1SQRLoxD_LXfQNfB7NOxI5jlxbkDlcNPwla_2gSTySP8/edit#gid=274515254"",""Project Management!$C$2:$D$100""),2,0),0)"),"変更を保存")</f>
        <v>変更を保存</v>
      </c>
    </row>
    <row r="88">
      <c r="A88" s="63" t="s">
        <v>740</v>
      </c>
      <c r="B88" s="166" t="s">
        <v>4149</v>
      </c>
      <c r="C88" s="118" t="s">
        <v>742</v>
      </c>
      <c r="D88" s="118" t="s">
        <v>743</v>
      </c>
      <c r="E88" s="163" t="str">
        <f>IFERROR(__xludf.DUMMYFUNCTION("IFERROR(VLOOKUP(C88,IMPORTRANGE(""https://docs.google.com/spreadsheets/d/1SQRLoxD_LXfQNfB7NOxI5jlxbkDlcNPwla_2gSTySP8/edit#gid=274515254"",""Project Management!$C$2:$D$100""),2,0),0)"),"レポート")</f>
        <v>レポート</v>
      </c>
    </row>
    <row r="89">
      <c r="A89" s="63" t="s">
        <v>2192</v>
      </c>
      <c r="B89" s="166"/>
      <c r="C89" s="26" t="s">
        <v>2193</v>
      </c>
      <c r="D89" s="26" t="s">
        <v>2194</v>
      </c>
      <c r="E89" s="163" t="str">
        <f>IFERROR(__xludf.DUMMYFUNCTION("IFERROR(VLOOKUP(C89,IMPORTRANGE(""https://docs.google.com/spreadsheets/d/1SQRLoxD_LXfQNfB7NOxI5jlxbkDlcNPwla_2gSTySP8/edit#gid=274515254"",""Project Management!$C$2:$D$100""),2,0),0)"),"説明")</f>
        <v>説明</v>
      </c>
    </row>
    <row r="90">
      <c r="A90" s="63" t="s">
        <v>4150</v>
      </c>
      <c r="B90" s="166"/>
      <c r="C90" s="26" t="s">
        <v>4151</v>
      </c>
      <c r="D90" s="26" t="s">
        <v>4152</v>
      </c>
      <c r="E90" s="163" t="str">
        <f>IFERROR(__xludf.DUMMYFUNCTION("IFERROR(VLOOKUP(C90,IMPORTRANGE(""https://docs.google.com/spreadsheets/d/1SQRLoxD_LXfQNfB7NOxI5jlxbkDlcNPwla_2gSTySP8/edit#gid=274515254"",""Project Management!$C$2:$D$100""),2,0),0)"),"説明が見つかりません")</f>
        <v>説明が見つかりません</v>
      </c>
    </row>
    <row r="91">
      <c r="A91" s="63" t="s">
        <v>3818</v>
      </c>
      <c r="B91" s="166"/>
      <c r="C91" s="26" t="s">
        <v>3819</v>
      </c>
      <c r="D91" s="26" t="s">
        <v>3350</v>
      </c>
      <c r="E91" s="163" t="str">
        <f>IFERROR(__xludf.DUMMYFUNCTION("IFERROR(VLOOKUP(C91,IMPORTRANGE(""https://docs.google.com/spreadsheets/d/1SQRLoxD_LXfQNfB7NOxI5jlxbkDlcNPwla_2gSTySP8/edit#gid=274515254"",""Project Management!$C$2:$D$100""),2,0),0)"),"作成日")</f>
        <v>作成日</v>
      </c>
    </row>
    <row r="92">
      <c r="A92" s="63" t="s">
        <v>2073</v>
      </c>
      <c r="B92" s="166"/>
      <c r="C92" s="26" t="s">
        <v>2074</v>
      </c>
      <c r="D92" s="26" t="s">
        <v>2075</v>
      </c>
      <c r="E92" s="163" t="str">
        <f>IFERROR(__xludf.DUMMYFUNCTION("IFERROR(VLOOKUP(C92,IMPORTRANGE(""https://docs.google.com/spreadsheets/d/1SQRLoxD_LXfQNfB7NOxI5jlxbkDlcNPwla_2gSTySP8/edit#gid=274515254"",""Project Management!$C$2:$D$100""),2,0),0)"),"エンティティ")</f>
        <v>エンティティ</v>
      </c>
    </row>
    <row r="93">
      <c r="A93" s="63" t="s">
        <v>4153</v>
      </c>
      <c r="B93" s="166" t="s">
        <v>4149</v>
      </c>
      <c r="C93" s="118" t="s">
        <v>2241</v>
      </c>
      <c r="D93" s="118" t="s">
        <v>1072</v>
      </c>
      <c r="E93" s="163" t="str">
        <f>IFERROR(__xludf.DUMMYFUNCTION("IFERROR(VLOOKUP(C93,IMPORTRANGE(""https://docs.google.com/spreadsheets/d/1SQRLoxD_LXfQNfB7NOxI5jlxbkDlcNPwla_2gSTySP8/edit#gid=274515254"",""Project Management!$C$2:$D$100""),2,0),0)"),"構成")</f>
        <v>構成</v>
      </c>
    </row>
    <row r="94">
      <c r="A94" s="63" t="s">
        <v>4154</v>
      </c>
      <c r="B94" s="166" t="s">
        <v>4155</v>
      </c>
      <c r="C94" s="118" t="s">
        <v>2834</v>
      </c>
      <c r="D94" s="118" t="s">
        <v>2835</v>
      </c>
      <c r="E94" s="163" t="str">
        <f>IFERROR(__xludf.DUMMYFUNCTION("IFERROR(VLOOKUP(C94,IMPORTRANGE(""https://docs.google.com/spreadsheets/d/1SQRLoxD_LXfQNfB7NOxI5jlxbkDlcNPwla_2gSTySP8/edit#gid=274515254"",""Project Management!$C$2:$D$100""),2,0),0)"),"結果が見つかりません")</f>
        <v>結果が見つかりません</v>
      </c>
    </row>
    <row r="95">
      <c r="A95" s="171" t="s">
        <v>4156</v>
      </c>
      <c r="B95" s="170" t="s">
        <v>4157</v>
      </c>
      <c r="C95" s="26" t="s">
        <v>4158</v>
      </c>
      <c r="D95" s="26" t="s">
        <v>4158</v>
      </c>
      <c r="E95" s="163" t="str">
        <f>IFERROR(__xludf.DUMMYFUNCTION("IFERROR(VLOOKUP(C95,IMPORTRANGE(""https://docs.google.com/spreadsheets/d/1SQRLoxD_LXfQNfB7NOxI5jlxbkDlcNPwla_2gSTySP8/edit#gid=274515254"",""Project Management!$C$2:$D$100""),2,0),0)"),"オートキャド")</f>
        <v>オートキャド</v>
      </c>
    </row>
    <row r="96">
      <c r="A96" s="171" t="s">
        <v>4159</v>
      </c>
      <c r="C96" s="26" t="s">
        <v>4160</v>
      </c>
      <c r="D96" s="26" t="s">
        <v>4160</v>
      </c>
      <c r="E96" s="163" t="str">
        <f>IFERROR(__xludf.DUMMYFUNCTION("IFERROR(VLOOKUP(C96,IMPORTRANGE(""https://docs.google.com/spreadsheets/d/1SQRLoxD_LXfQNfB7NOxI5jlxbkDlcNPwla_2gSTySP8/edit#gid=274515254"",""Project Management!$C$2:$D$100""),2,0),0)"),"DSM")</f>
        <v>DSM</v>
      </c>
    </row>
    <row r="97">
      <c r="A97" s="171" t="s">
        <v>4161</v>
      </c>
      <c r="C97" s="26" t="s">
        <v>4162</v>
      </c>
      <c r="D97" s="26" t="s">
        <v>4162</v>
      </c>
      <c r="E97" s="163" t="str">
        <f>IFERROR(__xludf.DUMMYFUNCTION("IFERROR(VLOOKUP(C97,IMPORTRANGE(""https://docs.google.com/spreadsheets/d/1SQRLoxD_LXfQNfB7NOxI5jlxbkDlcNPwla_2gSTySP8/edit#gid=274515254"",""Project Management!$C$2:$D$100""),2,0),0)"),"DTM")</f>
        <v>DTM</v>
      </c>
    </row>
    <row r="98">
      <c r="A98" s="171" t="s">
        <v>4163</v>
      </c>
      <c r="C98" s="26" t="s">
        <v>4164</v>
      </c>
      <c r="D98" s="26" t="s">
        <v>4165</v>
      </c>
      <c r="E98" s="163" t="str">
        <f>IFERROR(__xludf.DUMMYFUNCTION("IFERROR(VLOOKUP(C98,IMPORTRANGE(""https://docs.google.com/spreadsheets/d/1SQRLoxD_LXfQNfB7NOxI5jlxbkDlcNPwla_2gSTySP8/edit#gid=274515254"",""Project Management!$C$2:$D$100""),2,0),0)"),"反射地図")</f>
        <v>反射地図</v>
      </c>
    </row>
    <row r="99">
      <c r="A99" s="171" t="s">
        <v>4166</v>
      </c>
      <c r="C99" s="26" t="s">
        <v>4167</v>
      </c>
      <c r="D99" s="26" t="s">
        <v>4168</v>
      </c>
      <c r="E99" s="163" t="str">
        <f>IFERROR(__xludf.DUMMYFUNCTION("IFERROR(VLOOKUP(C99,IMPORTRANGE(""https://docs.google.com/spreadsheets/d/1SQRLoxD_LXfQNfB7NOxI5jlxbkDlcNPwla_2gSTySP8/edit#gid=274515254"",""Project Management!$C$2:$D$100""),2,0),0)"),"処理済み画像")</f>
        <v>処理済み画像</v>
      </c>
    </row>
    <row r="100">
      <c r="A100" s="171" t="s">
        <v>4169</v>
      </c>
      <c r="C100" s="26" t="s">
        <v>4170</v>
      </c>
      <c r="D100" s="26" t="s">
        <v>4171</v>
      </c>
      <c r="E100" s="163" t="str">
        <f>IFERROR(__xludf.DUMMYFUNCTION("IFERROR(VLOOKUP(C100,IMPORTRANGE(""https://docs.google.com/spreadsheets/d/1SQRLoxD_LXfQNfB7NOxI5jlxbkDlcNPwla_2gSTySP8/edit#gid=274515254"",""Project Management!$C$2:$D$100""),2,0),0)"),"3Dモデル")</f>
        <v>3Dモデル</v>
      </c>
    </row>
    <row r="101">
      <c r="A101" s="171" t="s">
        <v>4172</v>
      </c>
      <c r="C101" s="26" t="s">
        <v>4173</v>
      </c>
      <c r="D101" s="26" t="s">
        <v>4174</v>
      </c>
      <c r="E101" s="163" t="str">
        <f>IFERROR(__xludf.DUMMYFUNCTION("IFERROR(VLOOKUP(C101,IMPORTRANGE(""https://docs.google.com/spreadsheets/d/1SQRLoxD_LXfQNfB7NOxI5jlxbkDlcNPwla_2gSTySP8/edit#gid=274515254"",""Project Management!$C$2:$D$100""),2,0),0)"),"オルソ画像タイトル")</f>
        <v>オルソ画像タイトル</v>
      </c>
    </row>
    <row r="102">
      <c r="A102" s="171" t="s">
        <v>4175</v>
      </c>
      <c r="C102" s="26" t="s">
        <v>4176</v>
      </c>
      <c r="D102" s="26" t="s">
        <v>4177</v>
      </c>
      <c r="E102" s="163" t="str">
        <f>IFERROR(__xludf.DUMMYFUNCTION("IFERROR(VLOOKUP(C102,IMPORTRANGE(""https://docs.google.com/spreadsheets/d/1SQRLoxD_LXfQNfB7NOxI5jlxbkDlcNPwla_2gSTySP8/edit#gid=274515254"",""Project Management!$C$2:$D$100""),2,0),0)"),"圧縮ZIP")</f>
        <v>圧縮ZIP</v>
      </c>
    </row>
    <row r="103">
      <c r="A103" s="171" t="s">
        <v>4178</v>
      </c>
      <c r="C103" s="26" t="s">
        <v>4179</v>
      </c>
      <c r="D103" s="26" t="s">
        <v>4179</v>
      </c>
      <c r="E103" s="163" t="str">
        <f>IFERROR(__xludf.DUMMYFUNCTION("IFERROR(VLOOKUP(C103,IMPORTRANGE(""https://docs.google.com/spreadsheets/d/1SQRLoxD_LXfQNfB7NOxI5jlxbkDlcNPwla_2gSTySP8/edit#gid=274515254"",""Project Management!$C$2:$D$100""),2,0),0)"),"HTML")</f>
        <v>HTML</v>
      </c>
    </row>
    <row r="104">
      <c r="A104" s="171" t="s">
        <v>4180</v>
      </c>
      <c r="C104" s="26" t="s">
        <v>4181</v>
      </c>
      <c r="D104" s="26" t="s">
        <v>4182</v>
      </c>
      <c r="E104" s="163" t="str">
        <f>IFERROR(__xludf.DUMMYFUNCTION("IFERROR(VLOOKUP(C104,IMPORTRANGE(""https://docs.google.com/spreadsheets/d/1SQRLoxD_LXfQNfB7NOxI5jlxbkDlcNPwla_2gSTySP8/edit#gid=274515254"",""Project Management!$C$2:$D$100""),2,0),0)"),"ポイントクラウド")</f>
        <v>ポイントクラウド</v>
      </c>
    </row>
    <row r="105">
      <c r="A105" s="171" t="s">
        <v>4183</v>
      </c>
      <c r="C105" s="26" t="s">
        <v>4184</v>
      </c>
      <c r="D105" s="26" t="s">
        <v>4185</v>
      </c>
      <c r="E105" s="163" t="str">
        <f>IFERROR(__xludf.DUMMYFUNCTION("IFERROR(VLOOKUP(C105,IMPORTRANGE(""https://docs.google.com/spreadsheets/d/1SQRLoxD_LXfQNfB7NOxI5jlxbkDlcNPwla_2gSTySP8/edit#gid=274515254"",""Project Management!$C$2:$D$100""),2,0),0)"),"画像ZIP")</f>
        <v>画像ZIP</v>
      </c>
    </row>
    <row r="106">
      <c r="A106" s="171" t="s">
        <v>4186</v>
      </c>
      <c r="C106" s="26" t="s">
        <v>4187</v>
      </c>
      <c r="D106" s="26" t="s">
        <v>4188</v>
      </c>
      <c r="E106" s="163" t="str">
        <f>IFERROR(__xludf.DUMMYFUNCTION("IFERROR(VLOOKUP(C106,IMPORTRANGE(""https://docs.google.com/spreadsheets/d/1SQRLoxD_LXfQNfB7NOxI5jlxbkDlcNPwla_2gSTySP8/edit#gid=274515254"",""Project Management!$C$2:$D$100""),2,0),0)"),"カメラパラメータ")</f>
        <v>カメラパラメータ</v>
      </c>
    </row>
    <row r="107">
      <c r="A107" s="171" t="s">
        <v>4189</v>
      </c>
      <c r="C107" s="26" t="s">
        <v>4190</v>
      </c>
      <c r="D107" s="26" t="s">
        <v>4190</v>
      </c>
      <c r="E107" s="163" t="str">
        <f>IFERROR(__xludf.DUMMYFUNCTION("IFERROR(VLOOKUP(C107,IMPORTRANGE(""https://docs.google.com/spreadsheets/d/1SQRLoxD_LXfQNfB7NOxI5jlxbkDlcNPwla_2gSTySP8/edit#gid=274515254"",""Project Management!$C$2:$D$100""),2,0),0)"),"オルソ画像")</f>
        <v>オルソ画像</v>
      </c>
    </row>
    <row r="108">
      <c r="A108" s="171" t="s">
        <v>4191</v>
      </c>
      <c r="C108" s="26" t="s">
        <v>4192</v>
      </c>
      <c r="D108" s="26" t="s">
        <v>4192</v>
      </c>
      <c r="E108" s="163" t="str">
        <f>IFERROR(__xludf.DUMMYFUNCTION("IFERROR(VLOOKUP(C108,IMPORTRANGE(""https://docs.google.com/spreadsheets/d/1SQRLoxD_LXfQNfB7NOxI5jlxbkDlcNPwla_2gSTySP8/edit#gid=274515254"",""Project Management!$C$2:$D$100""),2,0),0)"),"SHP")</f>
        <v>SHP</v>
      </c>
    </row>
    <row r="109">
      <c r="A109" s="171" t="s">
        <v>4193</v>
      </c>
      <c r="C109" s="26" t="s">
        <v>4194</v>
      </c>
      <c r="D109" s="26" t="s">
        <v>4195</v>
      </c>
      <c r="E109" s="163" t="str">
        <f>IFERROR(__xludf.DUMMYFUNCTION("IFERROR(VLOOKUP(C109,IMPORTRANGE(""https://docs.google.com/spreadsheets/d/1SQRLoxD_LXfQNfB7NOxI5jlxbkDlcNPwla_2gSTySP8/edit#gid=274515254"",""Project Management!$C$2:$D$100""),2,0),0)"),"レポート")</f>
        <v>レポート</v>
      </c>
    </row>
    <row r="110">
      <c r="A110" s="171" t="s">
        <v>4196</v>
      </c>
      <c r="C110" s="26" t="s">
        <v>4197</v>
      </c>
      <c r="D110" s="26" t="s">
        <v>4198</v>
      </c>
      <c r="E110" s="163" t="str">
        <f>IFERROR(__xludf.DUMMYFUNCTION("IFERROR(VLOOKUP(C110,IMPORTRANGE(""https://docs.google.com/spreadsheets/d/1SQRLoxD_LXfQNfB7NOxI5jlxbkDlcNPwla_2gSTySP8/edit#gid=274515254"",""Project Management!$C$2:$D$100""),2,0),0)"),"カメラ外部パラメータ")</f>
        <v>カメラ外部パラメータ</v>
      </c>
    </row>
    <row r="111">
      <c r="A111" s="108" t="str">
        <f>IFERROR(__xludf.DUMMYFUNCTION("JOIN(""-"",""app"",SPLIT(LOWER( C111),"" ""))"),"app-group")</f>
        <v>app-group</v>
      </c>
      <c r="B111" s="169" t="s">
        <v>4199</v>
      </c>
      <c r="C111" s="122" t="s">
        <v>4125</v>
      </c>
      <c r="D111" s="122" t="s">
        <v>4126</v>
      </c>
      <c r="E111" s="163">
        <f>IFERROR(__xludf.DUMMYFUNCTION("IFERROR(VLOOKUP(C111,IMPORTRANGE(""https://docs.google.com/spreadsheets/d/1SQRLoxD_LXfQNfB7NOxI5jlxbkDlcNPwla_2gSTySP8/edit#gid=274515254"",""Project Management!$C$2:$D$100""),2,0),0)"),0.0)</f>
        <v>0</v>
      </c>
    </row>
    <row r="112">
      <c r="A112" s="108" t="str">
        <f>IFERROR(__xludf.DUMMYFUNCTION("JOIN(""-"",""app"",SPLIT(LOWER( C112),"" ""))"),"app-showing-1-to-10-of-13-entries")</f>
        <v>app-showing-1-to-10-of-13-entries</v>
      </c>
      <c r="B112" s="172" t="s">
        <v>4200</v>
      </c>
      <c r="C112" s="122" t="s">
        <v>4201</v>
      </c>
      <c r="D112" s="122" t="s">
        <v>4202</v>
      </c>
      <c r="E112" s="163">
        <f>IFERROR(__xludf.DUMMYFUNCTION("IFERROR(VLOOKUP(C112,IMPORTRANGE(""https://docs.google.com/spreadsheets/d/1SQRLoxD_LXfQNfB7NOxI5jlxbkDlcNPwla_2gSTySP8/edit#gid=274515254"",""Project Management!$C$2:$D$100""),2,0),0)"),0.0)</f>
        <v>0</v>
      </c>
    </row>
    <row r="113">
      <c r="A113" s="108" t="str">
        <f>IFERROR(__xludf.DUMMYFUNCTION("JOIN(""-"",""app"",SPLIT(LOWER( C113),"" ""))"),"app-note")</f>
        <v>app-note</v>
      </c>
      <c r="B113" s="169" t="s">
        <v>4203</v>
      </c>
      <c r="C113" s="122" t="s">
        <v>2167</v>
      </c>
      <c r="D113" s="122" t="s">
        <v>2168</v>
      </c>
      <c r="E113" s="163">
        <f>IFERROR(__xludf.DUMMYFUNCTION("IFERROR(VLOOKUP(C113,IMPORTRANGE(""https://docs.google.com/spreadsheets/d/1SQRLoxD_LXfQNfB7NOxI5jlxbkDlcNPwla_2gSTySP8/edit#gid=274515254"",""Project Management!$C$2:$D$100""),2,0),0)"),0.0)</f>
        <v>0</v>
      </c>
    </row>
    <row r="114">
      <c r="A114" s="108" t="str">
        <f>IFERROR(__xludf.DUMMYFUNCTION("JOIN(""-"",""app"",SPLIT(LOWER( C114),"" ""))"),"app-configure-the-default-values-for-the-items-created-under-the-asset-here.-by-default,-any-ticket/vault-item-created-for-the-asset-will-use-the-pre-defined-values-set-unless-overridden.-please-note-that-the-changes-are-applied-only-to-the-new-items-crea"&amp;"ted.")</f>
        <v>app-configure-the-default-values-for-the-items-created-under-the-asset-here.-by-default,-any-ticket/vault-item-created-for-the-asset-will-use-the-pre-defined-values-set-unless-overridden.-please-note-that-the-changes-are-applied-only-to-the-new-items-created.</v>
      </c>
      <c r="C114" s="122" t="s">
        <v>4204</v>
      </c>
      <c r="D114" s="122" t="s">
        <v>4205</v>
      </c>
      <c r="E114" s="163">
        <f>IFERROR(__xludf.DUMMYFUNCTION("IFERROR(VLOOKUP(C114,IMPORTRANGE(""https://docs.google.com/spreadsheets/d/1SQRLoxD_LXfQNfB7NOxI5jlxbkDlcNPwla_2gSTySP8/edit#gid=274515254"",""Project Management!$C$2:$D$100""),2,0),0)"),0.0)</f>
        <v>0</v>
      </c>
    </row>
    <row r="115">
      <c r="A115" s="108" t="s">
        <v>1143</v>
      </c>
      <c r="C115" s="122" t="s">
        <v>1144</v>
      </c>
      <c r="D115" s="122" t="s">
        <v>1145</v>
      </c>
      <c r="E115" s="163">
        <f>IFERROR(__xludf.DUMMYFUNCTION("IFERROR(VLOOKUP(C115,IMPORTRANGE(""https://docs.google.com/spreadsheets/d/1SQRLoxD_LXfQNfB7NOxI5jlxbkDlcNPwla_2gSTySP8/edit#gid=274515254"",""Project Management!$C$2:$D$100""),2,0),0)"),0.0)</f>
        <v>0</v>
      </c>
    </row>
    <row r="116">
      <c r="A116" s="108" t="str">
        <f>IFERROR(__xludf.DUMMYFUNCTION("JOIN(""-"",""app"",SPLIT(LOWER( C116),"" ""))"),"app-assign-followers")</f>
        <v>app-assign-followers</v>
      </c>
      <c r="C116" s="122" t="s">
        <v>1976</v>
      </c>
      <c r="D116" s="122" t="s">
        <v>1977</v>
      </c>
      <c r="E116" s="163">
        <f>IFERROR(__xludf.DUMMYFUNCTION("IFERROR(VLOOKUP(C116,IMPORTRANGE(""https://docs.google.com/spreadsheets/d/1SQRLoxD_LXfQNfB7NOxI5jlxbkDlcNPwla_2gSTySP8/edit#gid=274515254"",""Project Management!$C$2:$D$100""),2,0),0)"),0.0)</f>
        <v>0</v>
      </c>
    </row>
    <row r="117">
      <c r="A117" s="108" t="str">
        <f>IFERROR(__xludf.DUMMYFUNCTION("JOIN(""-"",""app"",SPLIT(LOWER( C117),"" ""))"),"app-search/-create-tags")</f>
        <v>app-search/-create-tags</v>
      </c>
      <c r="B117" s="172" t="s">
        <v>4206</v>
      </c>
      <c r="C117" s="122" t="s">
        <v>1905</v>
      </c>
      <c r="D117" s="122" t="s">
        <v>1906</v>
      </c>
      <c r="E117" s="163">
        <f>IFERROR(__xludf.DUMMYFUNCTION("IFERROR(VLOOKUP(C117,IMPORTRANGE(""https://docs.google.com/spreadsheets/d/1SQRLoxD_LXfQNfB7NOxI5jlxbkDlcNPwla_2gSTySP8/edit#gid=274515254"",""Project Management!$C$2:$D$100""),2,0),0)"),0.0)</f>
        <v>0</v>
      </c>
    </row>
    <row r="118">
      <c r="A118" s="108" t="str">
        <f>IFERROR(__xludf.DUMMYFUNCTION("JOIN(""-"",""app"",SPLIT(LOWER( C118),"" ""))"),"app-search-teams")</f>
        <v>app-search-teams</v>
      </c>
      <c r="B118" s="169" t="s">
        <v>4207</v>
      </c>
      <c r="C118" s="122" t="s">
        <v>4208</v>
      </c>
      <c r="D118" s="122" t="s">
        <v>4209</v>
      </c>
      <c r="E118" s="163">
        <f>IFERROR(__xludf.DUMMYFUNCTION("IFERROR(VLOOKUP(C118,IMPORTRANGE(""https://docs.google.com/spreadsheets/d/1SQRLoxD_LXfQNfB7NOxI5jlxbkDlcNPwla_2gSTySP8/edit#gid=274515254"",""Project Management!$C$2:$D$100""),2,0),0)"),0.0)</f>
        <v>0</v>
      </c>
    </row>
    <row r="119">
      <c r="A119" s="108" t="str">
        <f>IFERROR(__xludf.DUMMYFUNCTION("JOIN(""-"",""app"",SPLIT(LOWER( C119),"" ""))"),"app-show-all")</f>
        <v>app-show-all</v>
      </c>
      <c r="C119" s="122" t="s">
        <v>1674</v>
      </c>
      <c r="D119" s="122" t="s">
        <v>1937</v>
      </c>
      <c r="E119" s="163">
        <f>IFERROR(__xludf.DUMMYFUNCTION("IFERROR(VLOOKUP(C119,IMPORTRANGE(""https://docs.google.com/spreadsheets/d/1SQRLoxD_LXfQNfB7NOxI5jlxbkDlcNPwla_2gSTySP8/edit#gid=274515254"",""Project Management!$C$2:$D$100""),2,0),0)"),0.0)</f>
        <v>0</v>
      </c>
    </row>
    <row r="120">
      <c r="A120" s="108" t="str">
        <f>IFERROR(__xludf.DUMMYFUNCTION("JOIN(""-"",""app"",SPLIT(LOWER( C120),"" ""))"),"app-show-less")</f>
        <v>app-show-less</v>
      </c>
      <c r="B120" s="172" t="s">
        <v>4210</v>
      </c>
      <c r="C120" s="122" t="s">
        <v>1672</v>
      </c>
      <c r="D120" s="122" t="s">
        <v>155</v>
      </c>
      <c r="E120" s="163">
        <f>IFERROR(__xludf.DUMMYFUNCTION("IFERROR(VLOOKUP(C120,IMPORTRANGE(""https://docs.google.com/spreadsheets/d/1SQRLoxD_LXfQNfB7NOxI5jlxbkDlcNPwla_2gSTySP8/edit#gid=274515254"",""Project Management!$C$2:$D$100""),2,0),0)"),0.0)</f>
        <v>0</v>
      </c>
    </row>
    <row r="121">
      <c r="A121" s="63" t="s">
        <v>3573</v>
      </c>
      <c r="B121" s="170" t="s">
        <v>4211</v>
      </c>
      <c r="C121" s="26" t="s">
        <v>3580</v>
      </c>
      <c r="D121" s="26" t="s">
        <v>3575</v>
      </c>
      <c r="E121" s="163" t="str">
        <f>IFERROR(__xludf.DUMMYFUNCTION("IFERROR(VLOOKUP(C121,IMPORTRANGE(""https://docs.google.com/spreadsheets/d/1SQRLoxD_LXfQNfB7NOxI5jlxbkDlcNPwla_2gSTySP8/edit#gid=274515254"",""Project Management!$C$2:$D$100""),2,0),0)"),"利用不可")</f>
        <v>利用不可</v>
      </c>
    </row>
    <row r="122">
      <c r="A122" s="63" t="s">
        <v>4212</v>
      </c>
      <c r="C122" s="26" t="s">
        <v>4213</v>
      </c>
      <c r="D122" s="26" t="s">
        <v>4214</v>
      </c>
      <c r="E122" s="163" t="str">
        <f>IFERROR(__xludf.DUMMYFUNCTION("IFERROR(VLOOKUP(C122,IMPORTRANGE(""https://docs.google.com/spreadsheets/d/1SQRLoxD_LXfQNfB7NOxI5jlxbkDlcNPwla_2gSTySP8/edit#gid=274515254"",""Project Management!$C$2:$D$100""),2,0),0)"),"レポートタイプ")</f>
        <v>レポートタイプ</v>
      </c>
    </row>
    <row r="123">
      <c r="A123" s="63" t="s">
        <v>3389</v>
      </c>
      <c r="C123" s="26" t="s">
        <v>3390</v>
      </c>
      <c r="D123" s="26" t="s">
        <v>3391</v>
      </c>
      <c r="E123" s="163" t="str">
        <f>IFERROR(__xludf.DUMMYFUNCTION("IFERROR(VLOOKUP(C123,IMPORTRANGE(""https://docs.google.com/spreadsheets/d/1SQRLoxD_LXfQNfB7NOxI5jlxbkDlcNPwla_2gSTySP8/edit#gid=274515254"",""Project Management!$C$2:$D$100""),2,0),0)"),"プロジェクト")</f>
        <v>プロジェクト</v>
      </c>
    </row>
    <row r="124">
      <c r="A124" s="63" t="s">
        <v>4215</v>
      </c>
      <c r="C124" s="26" t="s">
        <v>4216</v>
      </c>
      <c r="D124" s="26" t="s">
        <v>4217</v>
      </c>
      <c r="E124" s="163" t="str">
        <f>IFERROR(__xludf.DUMMYFUNCTION("IFERROR(VLOOKUP(C124,IMPORTRANGE(""https://docs.google.com/spreadsheets/d/1SQRLoxD_LXfQNfB7NOxI5jlxbkDlcNPwla_2gSTySP8/edit#gid=274515254"",""Project Management!$C$2:$D$100""),2,0),0)"),"レポートを編集")</f>
        <v>レポートを編集</v>
      </c>
    </row>
    <row r="125">
      <c r="A125" s="63" t="s">
        <v>4218</v>
      </c>
      <c r="C125" s="26" t="s">
        <v>4219</v>
      </c>
      <c r="D125" s="26" t="s">
        <v>4220</v>
      </c>
      <c r="E125" s="163" t="str">
        <f>IFERROR(__xludf.DUMMYFUNCTION("IFERROR(VLOOKUP(C125,IMPORTRANGE(""https://docs.google.com/spreadsheets/d/1SQRLoxD_LXfQNfB7NOxI5jlxbkDlcNPwla_2gSTySP8/edit#gid=274515254"",""Project Management!$C$2:$D$100""),2,0),0)"),"レポートを削除")</f>
        <v>レポートを削除</v>
      </c>
    </row>
    <row r="126">
      <c r="A126" s="173" t="s">
        <v>1749</v>
      </c>
      <c r="B126" s="170" t="s">
        <v>4221</v>
      </c>
      <c r="C126" s="26" t="s">
        <v>1751</v>
      </c>
      <c r="D126" s="26" t="s">
        <v>1752</v>
      </c>
      <c r="E126" s="163" t="str">
        <f>IFERROR(__xludf.DUMMYFUNCTION("IFERROR(VLOOKUP(C126,IMPORTRANGE(""https://docs.google.com/spreadsheets/d/1SQRLoxD_LXfQNfB7NOxI5jlxbkDlcNPwla_2gSTySP8/edit#gid=274515254"",""Project Management!$C$2:$D$100""),2,0),0)"),"影響を受けるKW")</f>
        <v>影響を受けるKW</v>
      </c>
    </row>
    <row r="127">
      <c r="A127" s="173" t="s">
        <v>1753</v>
      </c>
      <c r="C127" s="26" t="s">
        <v>1755</v>
      </c>
      <c r="D127" s="26" t="s">
        <v>1756</v>
      </c>
      <c r="E127" s="163" t="str">
        <f>IFERROR(__xludf.DUMMYFUNCTION("IFERROR(VLOOKUP(C127,IMPORTRANGE(""https://docs.google.com/spreadsheets/d/1SQRLoxD_LXfQNfB7NOxI5jlxbkDlcNPwla_2gSTySP8/edit#gid=274515254"",""Project Management!$C$2:$D$100""),2,0),0)"),"総DC容量")</f>
        <v>総DC容量</v>
      </c>
    </row>
    <row r="128">
      <c r="A128" s="173" t="s">
        <v>3340</v>
      </c>
      <c r="C128" s="26" t="s">
        <v>3341</v>
      </c>
      <c r="D128" s="26" t="s">
        <v>3342</v>
      </c>
      <c r="E128" s="163" t="str">
        <f>IFERROR(__xludf.DUMMYFUNCTION("IFERROR(VLOOKUP(C128,IMPORTRANGE(""https://docs.google.com/spreadsheets/d/1SQRLoxD_LXfQNfB7NOxI5jlxbkDlcNPwla_2gSTySP8/edit#gid=274515254"",""Project Management!$C$2:$D$100""),2,0),0)"),"欠陥数")</f>
        <v>欠陥数</v>
      </c>
    </row>
    <row r="129" ht="23.25" customHeight="1">
      <c r="A129" s="63" t="s">
        <v>1058</v>
      </c>
      <c r="B129" s="170"/>
      <c r="C129" s="26" t="s">
        <v>4222</v>
      </c>
      <c r="D129" s="26" t="s">
        <v>4223</v>
      </c>
      <c r="E129" s="163" t="str">
        <f>IFERROR(__xludf.DUMMYFUNCTION("IFERROR(VLOOKUP(C129,IMPORTRANGE(""https://docs.google.com/spreadsheets/d/1SQRLoxD_LXfQNfB7NOxI5jlxbkDlcNPwla_2gSTySP8/edit#gid=274515254"",""Project Management!$C$2:$D$100""),2,0),0)"),"アセット検索")</f>
        <v>アセット検索</v>
      </c>
    </row>
    <row r="130">
      <c r="A130" s="173" t="s">
        <v>3911</v>
      </c>
      <c r="B130" s="170"/>
      <c r="C130" s="26" t="s">
        <v>4224</v>
      </c>
      <c r="D130" s="26" t="s">
        <v>4225</v>
      </c>
      <c r="E130" s="163" t="str">
        <f>IFERROR(__xludf.DUMMYFUNCTION("IFERROR(VLOOKUP(C130,IMPORTRANGE(""https://docs.google.com/spreadsheets/d/1SQRLoxD_LXfQNfB7NOxI5jlxbkDlcNPwla_2gSTySP8/edit#gid=274515254"",""Project Management!$C$2:$D$100""),2,0),0)"),"新規チケットの作成")</f>
        <v>新規チケットの作成</v>
      </c>
    </row>
    <row r="131">
      <c r="A131" s="108" t="str">
        <f>IFERROR(__xludf.DUMMYFUNCTION("JOIN(""-"",""app"",SPLIT(LOWER( C131),"" ""))"),"app-selected")</f>
        <v>app-selected</v>
      </c>
      <c r="B131" s="174" t="s">
        <v>4226</v>
      </c>
      <c r="C131" s="106" t="s">
        <v>757</v>
      </c>
      <c r="D131" s="106" t="s">
        <v>3707</v>
      </c>
      <c r="E131" s="163">
        <f>IFERROR(__xludf.DUMMYFUNCTION("IFERROR(VLOOKUP(C131,IMPORTRANGE(""https://docs.google.com/spreadsheets/d/1SQRLoxD_LXfQNfB7NOxI5jlxbkDlcNPwla_2gSTySP8/edit#gid=274515254"",""Project Management!$C$2:$D$100""),2,0),0)"),0.0)</f>
        <v>0</v>
      </c>
    </row>
    <row r="132">
      <c r="A132" s="108" t="s">
        <v>948</v>
      </c>
      <c r="C132" s="106" t="s">
        <v>2829</v>
      </c>
      <c r="D132" s="106" t="s">
        <v>951</v>
      </c>
      <c r="E132" s="163">
        <f>IFERROR(__xludf.DUMMYFUNCTION("IFERROR(VLOOKUP(C132,IMPORTRANGE(""https://docs.google.com/spreadsheets/d/1SQRLoxD_LXfQNfB7NOxI5jlxbkDlcNPwla_2gSTySP8/edit#gid=274515254"",""Project Management!$C$2:$D$100""),2,0),0)"),0.0)</f>
        <v>0</v>
      </c>
    </row>
    <row r="133">
      <c r="A133" s="63" t="s">
        <v>3696</v>
      </c>
      <c r="B133" s="156" t="s">
        <v>4227</v>
      </c>
      <c r="C133" s="118" t="s">
        <v>3501</v>
      </c>
      <c r="D133" s="118" t="s">
        <v>3502</v>
      </c>
      <c r="E133" s="163" t="str">
        <f>IFERROR(__xludf.DUMMYFUNCTION("IFERROR(VLOOKUP(C133,IMPORTRANGE(""https://docs.google.com/spreadsheets/d/1SQRLoxD_LXfQNfB7NOxI5jlxbkDlcNPwla_2gSTySP8/edit#gid=274515254"",""Project Management!$C$2:$D$100""),2,0),0)"),"表示")</f>
        <v>表示</v>
      </c>
    </row>
    <row r="134">
      <c r="A134" s="63" t="s">
        <v>3718</v>
      </c>
      <c r="B134" s="26"/>
      <c r="C134" s="118" t="s">
        <v>3719</v>
      </c>
      <c r="D134" s="118" t="s">
        <v>3720</v>
      </c>
      <c r="E134" s="163" t="str">
        <f>IFERROR(__xludf.DUMMYFUNCTION("IFERROR(VLOOKUP(C134,IMPORTRANGE(""https://docs.google.com/spreadsheets/d/1SQRLoxD_LXfQNfB7NOxI5jlxbkDlcNPwla_2gSTySP8/edit#gid=274515254"",""Project Management!$C$2:$D$100""),2,0),0)"),"アーカイブ済み")</f>
        <v>アーカイブ済み</v>
      </c>
    </row>
    <row r="135">
      <c r="A135" s="63" t="s">
        <v>3717</v>
      </c>
      <c r="B135" s="26"/>
      <c r="C135" s="118" t="s">
        <v>1206</v>
      </c>
      <c r="D135" s="118" t="s">
        <v>1207</v>
      </c>
      <c r="E135" s="163" t="str">
        <f>IFERROR(__xludf.DUMMYFUNCTION("IFERROR(VLOOKUP(C135,IMPORTRANGE(""https://docs.google.com/spreadsheets/d/1SQRLoxD_LXfQNfB7NOxI5jlxbkDlcNPwla_2gSTySP8/edit#gid=274515254"",""Project Management!$C$2:$D$100""),2,0),0)"),"お気に入り")</f>
        <v>お気に入り</v>
      </c>
    </row>
    <row r="136">
      <c r="A136" s="63" t="s">
        <v>3716</v>
      </c>
      <c r="B136" s="26"/>
      <c r="C136" s="118" t="s">
        <v>1489</v>
      </c>
      <c r="D136" s="118" t="s">
        <v>4228</v>
      </c>
      <c r="E136" s="163" t="str">
        <f>IFERROR(__xludf.DUMMYFUNCTION("IFERROR(VLOOKUP(C136,IMPORTRANGE(""https://docs.google.com/spreadsheets/d/1SQRLoxD_LXfQNfB7NOxI5jlxbkDlcNPwla_2gSTySP8/edit#gid=274515254"",""Project Management!$C$2:$D$100""),2,0),0)"),"期限切れ")</f>
        <v>期限切れ</v>
      </c>
    </row>
    <row r="137">
      <c r="A137" s="63" t="s">
        <v>3724</v>
      </c>
      <c r="B137" s="26"/>
      <c r="C137" s="118" t="s">
        <v>3725</v>
      </c>
      <c r="D137" s="118" t="s">
        <v>4229</v>
      </c>
      <c r="E137" s="163" t="str">
        <f>IFERROR(__xludf.DUMMYFUNCTION("IFERROR(VLOOKUP(C137,IMPORTRANGE(""https://docs.google.com/spreadsheets/d/1SQRLoxD_LXfQNfB7NOxI5jlxbkDlcNPwla_2gSTySP8/edit#gid=274515254"",""Project Management!$C$2:$D$100""),2,0),0)"),"自分に割り当て")</f>
        <v>自分に割り当て</v>
      </c>
    </row>
    <row r="138">
      <c r="A138" s="63" t="s">
        <v>3721</v>
      </c>
      <c r="B138" s="26"/>
      <c r="C138" s="118" t="s">
        <v>3722</v>
      </c>
      <c r="D138" s="118" t="s">
        <v>4230</v>
      </c>
      <c r="E138" s="163" t="str">
        <f>IFERROR(__xludf.DUMMYFUNCTION("IFERROR(VLOOKUP(C138,IMPORTRANGE(""https://docs.google.com/spreadsheets/d/1SQRLoxD_LXfQNfB7NOxI5jlxbkDlcNPwla_2gSTySP8/edit#gid=274515254"",""Project Management!$C$2:$D$100""),2,0),0)"),"自分が作成")</f>
        <v>自分が作成</v>
      </c>
    </row>
    <row r="139">
      <c r="A139" s="63" t="s">
        <v>4231</v>
      </c>
      <c r="B139" s="156" t="s">
        <v>4232</v>
      </c>
      <c r="C139" s="118" t="s">
        <v>3503</v>
      </c>
      <c r="D139" s="118" t="s">
        <v>3504</v>
      </c>
      <c r="E139" s="163" t="str">
        <f>IFERROR(__xludf.DUMMYFUNCTION("IFERROR(VLOOKUP(C139,IMPORTRANGE(""https://docs.google.com/spreadsheets/d/1SQRLoxD_LXfQNfB7NOxI5jlxbkDlcNPwla_2gSTySP8/edit#gid=274515254"",""Project Management!$C$2:$D$100""),2,0),0)"),"ソート基準")</f>
        <v>ソート基準</v>
      </c>
    </row>
    <row r="140">
      <c r="A140" s="63" t="s">
        <v>338</v>
      </c>
      <c r="C140" s="118" t="s">
        <v>339</v>
      </c>
      <c r="D140" s="118" t="s">
        <v>340</v>
      </c>
      <c r="E140" s="163" t="str">
        <f>IFERROR(__xludf.DUMMYFUNCTION("IFERROR(VLOOKUP(C140,IMPORTRANGE(""https://docs.google.com/spreadsheets/d/1SQRLoxD_LXfQNfB7NOxI5jlxbkDlcNPwla_2gSTySP8/edit#gid=274515254"",""Project Management!$C$2:$D$100""),2,0),0)"),"ステータス")</f>
        <v>ステータス</v>
      </c>
    </row>
    <row r="141">
      <c r="A141" s="63" t="s">
        <v>3744</v>
      </c>
      <c r="C141" s="118" t="s">
        <v>3745</v>
      </c>
      <c r="D141" s="158" t="s">
        <v>3746</v>
      </c>
      <c r="E141" s="163" t="str">
        <f>IFERROR(__xludf.DUMMYFUNCTION("IFERROR(VLOOKUP(C141,IMPORTRANGE(""https://docs.google.com/spreadsheets/d/1SQRLoxD_LXfQNfB7NOxI5jlxbkDlcNPwla_2gSTySP8/edit#gid=274515254"",""Project Management!$C$2:$D$100""),2,0),0)"),"上昇")</f>
        <v>上昇</v>
      </c>
    </row>
    <row r="142">
      <c r="A142" s="63" t="s">
        <v>326</v>
      </c>
      <c r="C142" s="26" t="s">
        <v>327</v>
      </c>
      <c r="D142" s="26" t="s">
        <v>328</v>
      </c>
      <c r="E142" s="163" t="str">
        <f>IFERROR(__xludf.DUMMYFUNCTION("IFERROR(VLOOKUP(C142,IMPORTRANGE(""https://docs.google.com/spreadsheets/d/1SQRLoxD_LXfQNfB7NOxI5jlxbkDlcNPwla_2gSTySP8/edit#gid=274515254"",""Project Management!$C$2:$D$100""),2,0),0)"),"名前")</f>
        <v>名前</v>
      </c>
    </row>
    <row r="143">
      <c r="A143" s="108" t="str">
        <f>IFERROR(__xludf.DUMMYFUNCTION("JOIN(""-"",""app"",SPLIT(LOWER( C143),"" ""))"),"app-select-due-date-range")</f>
        <v>app-select-due-date-range</v>
      </c>
      <c r="B143" s="153" t="s">
        <v>4233</v>
      </c>
      <c r="C143" s="122" t="s">
        <v>1486</v>
      </c>
      <c r="D143" s="159" t="s">
        <v>1487</v>
      </c>
      <c r="E143" s="163">
        <f>IFERROR(__xludf.DUMMYFUNCTION("IFERROR(VLOOKUP(C143,IMPORTRANGE(""https://docs.google.com/spreadsheets/d/1SQRLoxD_LXfQNfB7NOxI5jlxbkDlcNPwla_2gSTySP8/edit#gid=274515254"",""Project Management!$C$2:$D$100""),2,0),0)"),0.0)</f>
        <v>0</v>
      </c>
    </row>
    <row r="144">
      <c r="A144" s="108" t="str">
        <f>IFERROR(__xludf.DUMMYFUNCTION("JOIN(""-"",""app"",SPLIT(LOWER( C144),"" ""))"),"app-none")</f>
        <v>app-none</v>
      </c>
      <c r="C144" s="122" t="s">
        <v>439</v>
      </c>
      <c r="D144" s="122" t="s">
        <v>440</v>
      </c>
      <c r="E144" s="163" t="str">
        <f>IFERROR(__xludf.DUMMYFUNCTION("IFERROR(VLOOKUP(C144,IMPORTRANGE(""https://docs.google.com/spreadsheets/d/1SQRLoxD_LXfQNfB7NOxI5jlxbkDlcNPwla_2gSTySP8/edit#gid=274515254"",""Project Management!$C$2:$D$100""),2,0),0)"),"なし")</f>
        <v>なし</v>
      </c>
    </row>
    <row r="145" ht="22.5" customHeight="1">
      <c r="A145" s="63" t="s">
        <v>2732</v>
      </c>
      <c r="B145" s="156" t="s">
        <v>4234</v>
      </c>
      <c r="C145" s="118" t="s">
        <v>2733</v>
      </c>
      <c r="D145" s="118" t="s">
        <v>2734</v>
      </c>
      <c r="E145" s="163" t="str">
        <f>IFERROR(__xludf.DUMMYFUNCTION("IFERROR(VLOOKUP(C145,IMPORTRANGE(""https://docs.google.com/spreadsheets/d/1SQRLoxD_LXfQNfB7NOxI5jlxbkDlcNPwla_2gSTySP8/edit#gid=274515254"",""Project Management!$C$2:$D$100""),2,0),0)"),"フィルタ")</f>
        <v>フィルタ</v>
      </c>
    </row>
    <row r="146" ht="21.75" customHeight="1">
      <c r="A146" s="63" t="s">
        <v>2761</v>
      </c>
      <c r="C146" s="118" t="s">
        <v>2762</v>
      </c>
      <c r="D146" s="118" t="s">
        <v>2763</v>
      </c>
      <c r="E146" s="163" t="str">
        <f>IFERROR(__xludf.DUMMYFUNCTION("IFERROR(VLOOKUP(C146,IMPORTRANGE(""https://docs.google.com/spreadsheets/d/1SQRLoxD_LXfQNfB7NOxI5jlxbkDlcNPwla_2gSTySP8/edit#gid=274515254"",""Project Management!$C$2:$D$100""),2,0),0)"),"すべてクリア")</f>
        <v>すべてクリア</v>
      </c>
    </row>
    <row r="147">
      <c r="A147" s="63" t="s">
        <v>3728</v>
      </c>
      <c r="B147" s="143" t="s">
        <v>4235</v>
      </c>
      <c r="C147" s="26" t="s">
        <v>439</v>
      </c>
      <c r="D147" s="26" t="s">
        <v>440</v>
      </c>
      <c r="E147" s="163" t="str">
        <f>IFERROR(__xludf.DUMMYFUNCTION("IFERROR(VLOOKUP(C147,IMPORTRANGE(""https://docs.google.com/spreadsheets/d/1SQRLoxD_LXfQNfB7NOxI5jlxbkDlcNPwla_2gSTySP8/edit#gid=274515254"",""Project Management!$C$2:$D$100""),2,0),0)"),"なし")</f>
        <v>なし</v>
      </c>
    </row>
    <row r="148">
      <c r="A148" s="63" t="s">
        <v>2747</v>
      </c>
      <c r="B148" s="143" t="s">
        <v>4236</v>
      </c>
      <c r="C148" s="26" t="s">
        <v>2748</v>
      </c>
      <c r="D148" s="26" t="s">
        <v>2749</v>
      </c>
      <c r="E148" s="163" t="str">
        <f>IFERROR(__xludf.DUMMYFUNCTION("IFERROR(VLOOKUP(C148,IMPORTRANGE(""https://docs.google.com/spreadsheets/d/1SQRLoxD_LXfQNfB7NOxI5jlxbkDlcNPwla_2gSTySP8/edit#gid=274515254"",""Project Management!$C$2:$D$100""),2,0),0)"),"フィルタを適用")</f>
        <v>フィルタを適用</v>
      </c>
    </row>
    <row r="149">
      <c r="A149" s="63" t="s">
        <v>2548</v>
      </c>
      <c r="B149" s="156" t="s">
        <v>4237</v>
      </c>
      <c r="C149" s="118" t="s">
        <v>2550</v>
      </c>
      <c r="D149" s="118" t="s">
        <v>2551</v>
      </c>
      <c r="E149" s="163" t="str">
        <f>IFERROR(__xludf.DUMMYFUNCTION("IFERROR(VLOOKUP(C149,IMPORTRANGE(""https://docs.google.com/spreadsheets/d/1SQRLoxD_LXfQNfB7NOxI5jlxbkDlcNPwla_2gSTySP8/edit#gid=274515254"",""Project Management!$C$2:$D$100""),2,0),0)"),"エクスポート")</f>
        <v>エクスポート</v>
      </c>
    </row>
    <row r="150">
      <c r="A150" s="63" t="s">
        <v>2048</v>
      </c>
      <c r="C150" s="118" t="s">
        <v>1644</v>
      </c>
      <c r="D150" s="118" t="s">
        <v>1645</v>
      </c>
      <c r="E150" s="163" t="str">
        <f>IFERROR(__xludf.DUMMYFUNCTION("IFERROR(VLOOKUP(C150,IMPORTRANGE(""https://docs.google.com/spreadsheets/d/1SQRLoxD_LXfQNfB7NOxI5jlxbkDlcNPwla_2gSTySP8/edit#gid=274515254"",""Project Management!$C$2:$D$100""),2,0),0)"),"添付")</f>
        <v>添付</v>
      </c>
    </row>
    <row r="151">
      <c r="A151" s="63" t="s">
        <v>4238</v>
      </c>
      <c r="C151" s="118" t="s">
        <v>4239</v>
      </c>
      <c r="D151" s="118" t="s">
        <v>4240</v>
      </c>
      <c r="E151" s="163" t="str">
        <f>IFERROR(__xludf.DUMMYFUNCTION("IFERROR(VLOOKUP(C151,IMPORTRANGE(""https://docs.google.com/spreadsheets/d/1SQRLoxD_LXfQNfB7NOxI5jlxbkDlcNPwla_2gSTySP8/edit#gid=274515254"",""Project Management!$C$2:$D$100""),2,0),0)"),"CSVにエクスポート")</f>
        <v>CSVにエクスポート</v>
      </c>
    </row>
    <row r="152">
      <c r="A152" s="63" t="s">
        <v>3733</v>
      </c>
      <c r="B152" s="156" t="s">
        <v>4241</v>
      </c>
      <c r="C152" s="118" t="s">
        <v>3490</v>
      </c>
      <c r="D152" s="118" t="s">
        <v>3491</v>
      </c>
      <c r="E152" s="163" t="str">
        <f>IFERROR(__xludf.DUMMYFUNCTION("IFERROR(VLOOKUP(C152,IMPORTRANGE(""https://docs.google.com/spreadsheets/d/1SQRLoxD_LXfQNfB7NOxI5jlxbkDlcNPwla_2gSTySP8/edit#gid=274515254"",""Project Management!$C$2:$D$100""),2,0),0)"),"日付選択")</f>
        <v>日付選択</v>
      </c>
    </row>
    <row r="153">
      <c r="A153" s="63" t="s">
        <v>188</v>
      </c>
      <c r="C153" s="118" t="s">
        <v>189</v>
      </c>
      <c r="D153" s="118" t="s">
        <v>190</v>
      </c>
      <c r="E153" s="163" t="str">
        <f>IFERROR(__xludf.DUMMYFUNCTION("IFERROR(VLOOKUP(C153,IMPORTRANGE(""https://docs.google.com/spreadsheets/d/1SQRLoxD_LXfQNfB7NOxI5jlxbkDlcNPwla_2gSTySP8/edit#gid=274515254"",""Project Management!$C$2:$D$100""),2,0),0)"),"低")</f>
        <v>低</v>
      </c>
    </row>
    <row r="154">
      <c r="A154" s="63" t="s">
        <v>524</v>
      </c>
      <c r="C154" s="118" t="s">
        <v>146</v>
      </c>
      <c r="D154" s="118" t="s">
        <v>147</v>
      </c>
      <c r="E154" s="163" t="str">
        <f>IFERROR(__xludf.DUMMYFUNCTION("IFERROR(VLOOKUP(C154,IMPORTRANGE(""https://docs.google.com/spreadsheets/d/1SQRLoxD_LXfQNfB7NOxI5jlxbkDlcNPwla_2gSTySP8/edit#gid=274515254"",""Project Management!$C$2:$D$100""),2,0),0)"),"保存")</f>
        <v>保存</v>
      </c>
    </row>
    <row r="155">
      <c r="A155" s="63" t="s">
        <v>4242</v>
      </c>
      <c r="C155" s="26" t="s">
        <v>4243</v>
      </c>
      <c r="D155" s="26" t="s">
        <v>4244</v>
      </c>
      <c r="E155" s="163" t="str">
        <f>IFERROR(__xludf.DUMMYFUNCTION("IFERROR(VLOOKUP(C155,IMPORTRANGE(""https://docs.google.com/spreadsheets/d/1SQRLoxD_LXfQNfB7NOxI5jlxbkDlcNPwla_2gSTySP8/edit#gid=274515254"",""Project Management!$C$2:$D$100""),2,0),0)"),"担当者を追加")</f>
        <v>担当者を追加</v>
      </c>
    </row>
    <row r="156">
      <c r="A156" s="173" t="s">
        <v>610</v>
      </c>
      <c r="B156" s="26"/>
      <c r="C156" s="118" t="s">
        <v>612</v>
      </c>
      <c r="D156" s="118" t="s">
        <v>613</v>
      </c>
      <c r="E156" s="163" t="str">
        <f>IFERROR(__xludf.DUMMYFUNCTION("IFERROR(VLOOKUP(C156,IMPORTRANGE(""https://docs.google.com/spreadsheets/d/1SQRLoxD_LXfQNfB7NOxI5jlxbkDlcNPwla_2gSTySP8/edit#gid=274515254"",""Project Management!$C$2:$D$100""),2,0),0)"),"月")</f>
        <v>月</v>
      </c>
    </row>
    <row r="157">
      <c r="A157" s="173" t="s">
        <v>614</v>
      </c>
      <c r="B157" s="26"/>
      <c r="C157" s="118" t="s">
        <v>615</v>
      </c>
      <c r="D157" s="118" t="s">
        <v>616</v>
      </c>
      <c r="E157" s="163" t="str">
        <f>IFERROR(__xludf.DUMMYFUNCTION("IFERROR(VLOOKUP(C157,IMPORTRANGE(""https://docs.google.com/spreadsheets/d/1SQRLoxD_LXfQNfB7NOxI5jlxbkDlcNPwla_2gSTySP8/edit#gid=274515254"",""Project Management!$C$2:$D$100""),2,0),0)"),"火")</f>
        <v>火</v>
      </c>
    </row>
    <row r="158">
      <c r="A158" s="173" t="s">
        <v>617</v>
      </c>
      <c r="B158" s="26"/>
      <c r="C158" s="118" t="s">
        <v>618</v>
      </c>
      <c r="D158" s="26" t="s">
        <v>619</v>
      </c>
      <c r="E158" s="163" t="str">
        <f>IFERROR(__xludf.DUMMYFUNCTION("IFERROR(VLOOKUP(C158,IMPORTRANGE(""https://docs.google.com/spreadsheets/d/1SQRLoxD_LXfQNfB7NOxI5jlxbkDlcNPwla_2gSTySP8/edit#gid=274515254"",""Project Management!$C$2:$D$100""),2,0),0)"),"水")</f>
        <v>水</v>
      </c>
    </row>
    <row r="159">
      <c r="A159" s="173" t="s">
        <v>620</v>
      </c>
      <c r="B159" s="26"/>
      <c r="C159" s="118" t="s">
        <v>621</v>
      </c>
      <c r="D159" s="118" t="s">
        <v>622</v>
      </c>
      <c r="E159" s="163" t="str">
        <f>IFERROR(__xludf.DUMMYFUNCTION("IFERROR(VLOOKUP(C159,IMPORTRANGE(""https://docs.google.com/spreadsheets/d/1SQRLoxD_LXfQNfB7NOxI5jlxbkDlcNPwla_2gSTySP8/edit#gid=274515254"",""Project Management!$C$2:$D$100""),2,0),0)"),"木")</f>
        <v>木</v>
      </c>
    </row>
    <row r="160">
      <c r="A160" s="173" t="s">
        <v>623</v>
      </c>
      <c r="B160" s="26"/>
      <c r="C160" s="118" t="s">
        <v>624</v>
      </c>
      <c r="D160" s="118" t="s">
        <v>625</v>
      </c>
      <c r="E160" s="163" t="str">
        <f>IFERROR(__xludf.DUMMYFUNCTION("IFERROR(VLOOKUP(C160,IMPORTRANGE(""https://docs.google.com/spreadsheets/d/1SQRLoxD_LXfQNfB7NOxI5jlxbkDlcNPwla_2gSTySP8/edit#gid=274515254"",""Project Management!$C$2:$D$100""),2,0),0)"),"金")</f>
        <v>金</v>
      </c>
    </row>
    <row r="161">
      <c r="A161" s="173" t="s">
        <v>626</v>
      </c>
      <c r="B161" s="26"/>
      <c r="C161" s="118" t="s">
        <v>627</v>
      </c>
      <c r="D161" s="26" t="s">
        <v>628</v>
      </c>
      <c r="E161" s="163" t="str">
        <f>IFERROR(__xludf.DUMMYFUNCTION("IFERROR(VLOOKUP(C161,IMPORTRANGE(""https://docs.google.com/spreadsheets/d/1SQRLoxD_LXfQNfB7NOxI5jlxbkDlcNPwla_2gSTySP8/edit#gid=274515254"",""Project Management!$C$2:$D$100""),2,0),0)"),"土")</f>
        <v>土</v>
      </c>
    </row>
    <row r="162">
      <c r="A162" s="173" t="s">
        <v>629</v>
      </c>
      <c r="B162" s="26"/>
      <c r="C162" s="118" t="s">
        <v>630</v>
      </c>
      <c r="D162" s="118" t="s">
        <v>631</v>
      </c>
      <c r="E162" s="163" t="str">
        <f>IFERROR(__xludf.DUMMYFUNCTION("IFERROR(VLOOKUP(C162,IMPORTRANGE(""https://docs.google.com/spreadsheets/d/1SQRLoxD_LXfQNfB7NOxI5jlxbkDlcNPwla_2gSTySP8/edit#gid=274515254"",""Project Management!$C$2:$D$100""),2,0),0)"),"日")</f>
        <v>日</v>
      </c>
    </row>
    <row r="163">
      <c r="A163" s="63" t="s">
        <v>4245</v>
      </c>
      <c r="B163" s="166" t="s">
        <v>4246</v>
      </c>
      <c r="C163" s="118" t="s">
        <v>3980</v>
      </c>
      <c r="D163" s="118" t="s">
        <v>3981</v>
      </c>
      <c r="E163" s="163">
        <f>IFERROR(__xludf.DUMMYFUNCTION("IFERROR(VLOOKUP(C163,IMPORTRANGE(""https://docs.google.com/spreadsheets/d/1SQRLoxD_LXfQNfB7NOxI5jlxbkDlcNPwla_2gSTySP8/edit#gid=274515254"",""Project Management!$C$2:$D$100""),2,0),0)"),0.0)</f>
        <v>0</v>
      </c>
    </row>
    <row r="164">
      <c r="A164" s="108" t="str">
        <f>IFERROR(__xludf.DUMMYFUNCTION("JOIN(""-"",""app"",SPLIT(LOWER( C164),"" ""))"),"app-files")</f>
        <v>app-files</v>
      </c>
      <c r="B164" s="175" t="s">
        <v>4247</v>
      </c>
      <c r="C164" s="122" t="s">
        <v>3215</v>
      </c>
      <c r="D164" s="122" t="s">
        <v>3216</v>
      </c>
      <c r="E164" s="163">
        <f>IFERROR(__xludf.DUMMYFUNCTION("IFERROR(VLOOKUP(C164,IMPORTRANGE(""https://docs.google.com/spreadsheets/d/1SQRLoxD_LXfQNfB7NOxI5jlxbkDlcNPwla_2gSTySP8/edit#gid=274515254"",""Project Management!$C$2:$D$100""),2,0),0)"),0.0)</f>
        <v>0</v>
      </c>
    </row>
    <row r="165">
      <c r="A165" s="108" t="str">
        <f>IFERROR(__xludf.DUMMYFUNCTION("JOIN(""-"",""app"",SPLIT(LOWER( C165),"" ""))"),"app-folders")</f>
        <v>app-folders</v>
      </c>
      <c r="C165" s="122" t="s">
        <v>3218</v>
      </c>
      <c r="D165" s="122" t="s">
        <v>3219</v>
      </c>
      <c r="E165" s="163">
        <f>IFERROR(__xludf.DUMMYFUNCTION("IFERROR(VLOOKUP(C165,IMPORTRANGE(""https://docs.google.com/spreadsheets/d/1SQRLoxD_LXfQNfB7NOxI5jlxbkDlcNPwla_2gSTySP8/edit#gid=274515254"",""Project Management!$C$2:$D$100""),2,0),0)"),0.0)</f>
        <v>0</v>
      </c>
    </row>
    <row r="166">
      <c r="A166" s="108" t="str">
        <f>IFERROR(__xludf.DUMMYFUNCTION("JOIN(""-"",""app"",SPLIT(LOWER( C166),"" ""))"),"app-none")</f>
        <v>app-none</v>
      </c>
      <c r="B166" s="167" t="s">
        <v>4248</v>
      </c>
      <c r="C166" s="122" t="s">
        <v>439</v>
      </c>
      <c r="D166" s="122" t="s">
        <v>440</v>
      </c>
      <c r="E166" s="163" t="str">
        <f>IFERROR(__xludf.DUMMYFUNCTION("IFERROR(VLOOKUP(C166,IMPORTRANGE(""https://docs.google.com/spreadsheets/d/1SQRLoxD_LXfQNfB7NOxI5jlxbkDlcNPwla_2gSTySP8/edit#gid=274515254"",""Project Management!$C$2:$D$100""),2,0),0)"),"なし")</f>
        <v>なし</v>
      </c>
    </row>
    <row r="167">
      <c r="A167" s="63" t="s">
        <v>4249</v>
      </c>
      <c r="B167" s="166"/>
      <c r="C167" s="26" t="s">
        <v>3977</v>
      </c>
      <c r="D167" s="26" t="s">
        <v>3978</v>
      </c>
      <c r="E167" s="163">
        <f>IFERROR(__xludf.DUMMYFUNCTION("IFERROR(VLOOKUP(C167,IMPORTRANGE(""https://docs.google.com/spreadsheets/d/1SQRLoxD_LXfQNfB7NOxI5jlxbkDlcNPwla_2gSTySP8/edit#gid=274515254"",""Project Management!$C$2:$D$100""),2,0),0)"),0.0)</f>
        <v>0</v>
      </c>
    </row>
    <row r="168">
      <c r="A168" s="63" t="s">
        <v>98</v>
      </c>
      <c r="B168" s="166"/>
      <c r="C168" s="26" t="s">
        <v>3742</v>
      </c>
      <c r="D168" s="26" t="s">
        <v>100</v>
      </c>
      <c r="E168" s="163">
        <f>IFERROR(__xludf.DUMMYFUNCTION("IFERROR(VLOOKUP(C168,IMPORTRANGE(""https://docs.google.com/spreadsheets/d/1SQRLoxD_LXfQNfB7NOxI5jlxbkDlcNPwla_2gSTySP8/edit#gid=274515254"",""Project Management!$C$2:$D$100""),2,0),0)"),0.0)</f>
        <v>0</v>
      </c>
    </row>
    <row r="169" ht="18.75" customHeight="1">
      <c r="A169" s="63" t="s">
        <v>2758</v>
      </c>
      <c r="B169" s="170" t="s">
        <v>4250</v>
      </c>
      <c r="C169" s="26" t="s">
        <v>2759</v>
      </c>
      <c r="D169" s="26" t="s">
        <v>2760</v>
      </c>
      <c r="E169" s="163">
        <f>IFERROR(__xludf.DUMMYFUNCTION("IFERROR(VLOOKUP(C169,IMPORTRANGE(""https://docs.google.com/spreadsheets/d/1SQRLoxD_LXfQNfB7NOxI5jlxbkDlcNPwla_2gSTySP8/edit#gid=274515254"",""Project Management!$C$2:$D$100""),2,0),0)"),0.0)</f>
        <v>0</v>
      </c>
    </row>
    <row r="170" ht="21.0" customHeight="1">
      <c r="A170" s="63" t="s">
        <v>2112</v>
      </c>
      <c r="C170" s="26" t="s">
        <v>2113</v>
      </c>
      <c r="D170" s="26" t="s">
        <v>2114</v>
      </c>
      <c r="E170" s="163">
        <f>IFERROR(__xludf.DUMMYFUNCTION("IFERROR(VLOOKUP(C170,IMPORTRANGE(""https://docs.google.com/spreadsheets/d/1SQRLoxD_LXfQNfB7NOxI5jlxbkDlcNPwla_2gSTySP8/edit#gid=274515254"",""Project Management!$C$2:$D$100""),2,0),0)"),0.0)</f>
        <v>0</v>
      </c>
    </row>
    <row r="171">
      <c r="A171" s="63" t="s">
        <v>4251</v>
      </c>
      <c r="B171" s="166" t="s">
        <v>4252</v>
      </c>
      <c r="C171" s="118" t="s">
        <v>4253</v>
      </c>
      <c r="D171" s="118" t="s">
        <v>4254</v>
      </c>
      <c r="E171" s="163">
        <f>IFERROR(__xludf.DUMMYFUNCTION("IFERROR(VLOOKUP(C171,IMPORTRANGE(""https://docs.google.com/spreadsheets/d/1SQRLoxD_LXfQNfB7NOxI5jlxbkDlcNPwla_2gSTySP8/edit#gid=274515254"",""Project Management!$C$2:$D$100""),2,0),0)"),0.0)</f>
        <v>0</v>
      </c>
    </row>
    <row r="172">
      <c r="A172" s="63" t="s">
        <v>4255</v>
      </c>
      <c r="B172" s="166" t="s">
        <v>4256</v>
      </c>
      <c r="C172" s="118" t="s">
        <v>4257</v>
      </c>
      <c r="D172" s="118" t="s">
        <v>4258</v>
      </c>
      <c r="E172" s="163">
        <f>IFERROR(__xludf.DUMMYFUNCTION("IFERROR(VLOOKUP(C172,IMPORTRANGE(""https://docs.google.com/spreadsheets/d/1SQRLoxD_LXfQNfB7NOxI5jlxbkDlcNPwla_2gSTySP8/edit#gid=274515254"",""Project Management!$C$2:$D$100""),2,0),0)"),0.0)</f>
        <v>0</v>
      </c>
    </row>
    <row r="173">
      <c r="A173" s="63" t="s">
        <v>4259</v>
      </c>
      <c r="B173" s="166" t="s">
        <v>4260</v>
      </c>
      <c r="C173" s="118" t="s">
        <v>3616</v>
      </c>
      <c r="D173" s="118" t="s">
        <v>3616</v>
      </c>
      <c r="E173" s="163">
        <f>IFERROR(__xludf.DUMMYFUNCTION("IFERROR(VLOOKUP(C173,IMPORTRANGE(""https://docs.google.com/spreadsheets/d/1SQRLoxD_LXfQNfB7NOxI5jlxbkDlcNPwla_2gSTySP8/edit#gid=274515254"",""Project Management!$C$2:$D$100""),2,0),0)"),0.0)</f>
        <v>0</v>
      </c>
    </row>
    <row r="174" ht="22.5" customHeight="1">
      <c r="A174" s="63" t="s">
        <v>4261</v>
      </c>
      <c r="B174" s="156" t="s">
        <v>4262</v>
      </c>
      <c r="C174" s="118" t="s">
        <v>4263</v>
      </c>
      <c r="D174" s="118" t="s">
        <v>3617</v>
      </c>
      <c r="E174" s="163">
        <f>IFERROR(__xludf.DUMMYFUNCTION("IFERROR(VLOOKUP(C174,IMPORTRANGE(""https://docs.google.com/spreadsheets/d/1SQRLoxD_LXfQNfB7NOxI5jlxbkDlcNPwla_2gSTySP8/edit#gid=274515254"",""Project Management!$C$2:$D$100""),2,0),0)"),0.0)</f>
        <v>0</v>
      </c>
    </row>
    <row r="175" ht="27.75" customHeight="1">
      <c r="A175" s="63" t="s">
        <v>3925</v>
      </c>
      <c r="C175" s="118" t="s">
        <v>3519</v>
      </c>
      <c r="D175" s="118" t="s">
        <v>3520</v>
      </c>
      <c r="E175" s="163">
        <f>IFERROR(__xludf.DUMMYFUNCTION("IFERROR(VLOOKUP(C175,IMPORTRANGE(""https://docs.google.com/spreadsheets/d/1SQRLoxD_LXfQNfB7NOxI5jlxbkDlcNPwla_2gSTySP8/edit#gid=274515254"",""Project Management!$C$2:$D$100""),2,0),0)"),0.0)</f>
        <v>0</v>
      </c>
    </row>
    <row r="176">
      <c r="A176" s="63" t="s">
        <v>4264</v>
      </c>
      <c r="B176" s="166" t="s">
        <v>4265</v>
      </c>
      <c r="C176" s="118" t="s">
        <v>4266</v>
      </c>
      <c r="D176" s="118" t="s">
        <v>4267</v>
      </c>
      <c r="E176" s="163">
        <f>IFERROR(__xludf.DUMMYFUNCTION("IFERROR(VLOOKUP(C176,IMPORTRANGE(""https://docs.google.com/spreadsheets/d/1SQRLoxD_LXfQNfB7NOxI5jlxbkDlcNPwla_2gSTySP8/edit#gid=274515254"",""Project Management!$C$2:$D$100""),2,0),0)"),0.0)</f>
        <v>0</v>
      </c>
    </row>
    <row r="177" ht="21.0" customHeight="1">
      <c r="A177" s="63" t="s">
        <v>3983</v>
      </c>
      <c r="B177" s="156" t="s">
        <v>4265</v>
      </c>
      <c r="C177" s="118" t="s">
        <v>3984</v>
      </c>
      <c r="D177" s="118" t="s">
        <v>3985</v>
      </c>
      <c r="E177" s="163">
        <f>IFERROR(__xludf.DUMMYFUNCTION("IFERROR(VLOOKUP(C177,IMPORTRANGE(""https://docs.google.com/spreadsheets/d/1SQRLoxD_LXfQNfB7NOxI5jlxbkDlcNPwla_2gSTySP8/edit#gid=274515254"",""Project Management!$C$2:$D$100""),2,0),0)"),0.0)</f>
        <v>0</v>
      </c>
    </row>
    <row r="178">
      <c r="A178" s="63" t="s">
        <v>3986</v>
      </c>
      <c r="C178" s="118" t="s">
        <v>3987</v>
      </c>
      <c r="D178" s="118" t="s">
        <v>3988</v>
      </c>
      <c r="E178" s="163">
        <f>IFERROR(__xludf.DUMMYFUNCTION("IFERROR(VLOOKUP(C178,IMPORTRANGE(""https://docs.google.com/spreadsheets/d/1SQRLoxD_LXfQNfB7NOxI5jlxbkDlcNPwla_2gSTySP8/edit#gid=274515254"",""Project Management!$C$2:$D$100""),2,0),0)"),0.0)</f>
        <v>0</v>
      </c>
    </row>
    <row r="179">
      <c r="A179" s="63" t="s">
        <v>4268</v>
      </c>
      <c r="B179" s="156" t="s">
        <v>4269</v>
      </c>
      <c r="C179" s="118" t="s">
        <v>4270</v>
      </c>
      <c r="D179" s="118" t="s">
        <v>4271</v>
      </c>
      <c r="E179" s="163">
        <f>IFERROR(__xludf.DUMMYFUNCTION("IFERROR(VLOOKUP(C179,IMPORTRANGE(""https://docs.google.com/spreadsheets/d/1SQRLoxD_LXfQNfB7NOxI5jlxbkDlcNPwla_2gSTySP8/edit#gid=274515254"",""Project Management!$C$2:$D$100""),2,0),0)"),0.0)</f>
        <v>0</v>
      </c>
    </row>
    <row r="180" ht="32.25" customHeight="1">
      <c r="A180" s="63" t="s">
        <v>4272</v>
      </c>
      <c r="B180" s="156" t="s">
        <v>4273</v>
      </c>
      <c r="C180" s="118" t="s">
        <v>4274</v>
      </c>
      <c r="D180" s="26" t="s">
        <v>4275</v>
      </c>
      <c r="E180" s="163">
        <f>IFERROR(__xludf.DUMMYFUNCTION("IFERROR(VLOOKUP(C180,IMPORTRANGE(""https://docs.google.com/spreadsheets/d/1SQRLoxD_LXfQNfB7NOxI5jlxbkDlcNPwla_2gSTySP8/edit#gid=274515254"",""Project Management!$C$2:$D$100""),2,0),0)"),0.0)</f>
        <v>0</v>
      </c>
    </row>
    <row r="181" ht="32.25" customHeight="1">
      <c r="A181" s="63" t="s">
        <v>4276</v>
      </c>
      <c r="C181" s="118" t="s">
        <v>4277</v>
      </c>
      <c r="D181" s="26" t="s">
        <v>4278</v>
      </c>
      <c r="E181" s="163">
        <f>IFERROR(__xludf.DUMMYFUNCTION("IFERROR(VLOOKUP(C181,IMPORTRANGE(""https://docs.google.com/spreadsheets/d/1SQRLoxD_LXfQNfB7NOxI5jlxbkDlcNPwla_2gSTySP8/edit#gid=274515254"",""Project Management!$C$2:$D$100""),2,0),0)"),0.0)</f>
        <v>0</v>
      </c>
    </row>
    <row r="182" ht="31.5" customHeight="1">
      <c r="A182" s="63" t="s">
        <v>4279</v>
      </c>
      <c r="B182" s="156" t="s">
        <v>4280</v>
      </c>
      <c r="C182" s="118" t="s">
        <v>4281</v>
      </c>
      <c r="D182" s="26" t="s">
        <v>4282</v>
      </c>
      <c r="E182" s="163">
        <f>IFERROR(__xludf.DUMMYFUNCTION("IFERROR(VLOOKUP(C182,IMPORTRANGE(""https://docs.google.com/spreadsheets/d/1SQRLoxD_LXfQNfB7NOxI5jlxbkDlcNPwla_2gSTySP8/edit#gid=274515254"",""Project Management!$C$2:$D$100""),2,0),0)"),0.0)</f>
        <v>0</v>
      </c>
    </row>
    <row r="183" ht="21.75" customHeight="1">
      <c r="A183" s="63" t="s">
        <v>4283</v>
      </c>
      <c r="C183" s="118" t="s">
        <v>4284</v>
      </c>
      <c r="D183" s="118" t="s">
        <v>4285</v>
      </c>
      <c r="E183" s="163">
        <f>IFERROR(__xludf.DUMMYFUNCTION("IFERROR(VLOOKUP(C183,IMPORTRANGE(""https://docs.google.com/spreadsheets/d/1SQRLoxD_LXfQNfB7NOxI5jlxbkDlcNPwla_2gSTySP8/edit#gid=274515254"",""Project Management!$C$2:$D$100""),2,0),0)"),0.0)</f>
        <v>0</v>
      </c>
    </row>
    <row r="184">
      <c r="A184" s="176" t="s">
        <v>4286</v>
      </c>
      <c r="B184" s="177"/>
      <c r="C184" s="176" t="s">
        <v>4287</v>
      </c>
      <c r="D184" s="178" t="s">
        <v>4288</v>
      </c>
      <c r="E184" s="163">
        <f>IFERROR(__xludf.DUMMYFUNCTION("IFERROR(VLOOKUP(C184,IMPORTRANGE(""https://docs.google.com/spreadsheets/d/1SQRLoxD_LXfQNfB7NOxI5jlxbkDlcNPwla_2gSTySP8/edit#gid=274515254"",""Project Management!$C$2:$D$100""),2,0),0)"),0.0)</f>
        <v>0</v>
      </c>
    </row>
    <row r="185">
      <c r="A185" s="63" t="s">
        <v>4289</v>
      </c>
      <c r="B185" s="66"/>
      <c r="C185" s="63" t="s">
        <v>4290</v>
      </c>
      <c r="D185" s="178" t="s">
        <v>4291</v>
      </c>
      <c r="E185" s="163">
        <f>IFERROR(__xludf.DUMMYFUNCTION("IFERROR(VLOOKUP(C185,IMPORTRANGE(""https://docs.google.com/spreadsheets/d/1SQRLoxD_LXfQNfB7NOxI5jlxbkDlcNPwla_2gSTySP8/edit#gid=274515254"",""Project Management!$C$2:$D$100""),2,0),0)"),0.0)</f>
        <v>0</v>
      </c>
    </row>
    <row r="186">
      <c r="A186" s="63" t="s">
        <v>4292</v>
      </c>
      <c r="B186" s="66"/>
      <c r="C186" s="63" t="s">
        <v>4293</v>
      </c>
      <c r="D186" s="178" t="s">
        <v>4294</v>
      </c>
      <c r="E186" s="163">
        <f>IFERROR(__xludf.DUMMYFUNCTION("IFERROR(VLOOKUP(C186,IMPORTRANGE(""https://docs.google.com/spreadsheets/d/1SQRLoxD_LXfQNfB7NOxI5jlxbkDlcNPwla_2gSTySP8/edit#gid=274515254"",""Project Management!$C$2:$D$100""),2,0),0)"),0.0)</f>
        <v>0</v>
      </c>
    </row>
    <row r="187">
      <c r="A187" s="165" t="str">
        <f>IFERROR(__xludf.DUMMYFUNCTION("JOIN(""-"",""app"",SPLIT(LOWER( C187),"" ""))"),"app-edit-organization")</f>
        <v>app-edit-organization</v>
      </c>
      <c r="B187" s="66"/>
      <c r="C187" s="63" t="s">
        <v>4295</v>
      </c>
      <c r="D187" s="178" t="s">
        <v>4296</v>
      </c>
      <c r="E187" s="163">
        <f>IFERROR(__xludf.DUMMYFUNCTION("IFERROR(VLOOKUP(C187,IMPORTRANGE(""https://docs.google.com/spreadsheets/d/1SQRLoxD_LXfQNfB7NOxI5jlxbkDlcNPwla_2gSTySP8/edit#gid=274515254"",""Project Management!$C$2:$D$100""),2,0),0)"),0.0)</f>
        <v>0</v>
      </c>
    </row>
    <row r="188">
      <c r="A188" s="165" t="str">
        <f>IFERROR(__xludf.DUMMYFUNCTION("JOIN(""-"",""app"",SPLIT(LOWER( C188),"" ""))"),"app-delete-organization")</f>
        <v>app-delete-organization</v>
      </c>
      <c r="B188" s="66"/>
      <c r="C188" s="63" t="s">
        <v>4297</v>
      </c>
      <c r="D188" s="178" t="s">
        <v>4298</v>
      </c>
      <c r="E188" s="163">
        <f>IFERROR(__xludf.DUMMYFUNCTION("IFERROR(VLOOKUP(C188,IMPORTRANGE(""https://docs.google.com/spreadsheets/d/1SQRLoxD_LXfQNfB7NOxI5jlxbkDlcNPwla_2gSTySP8/edit#gid=274515254"",""Project Management!$C$2:$D$100""),2,0),0)"),0.0)</f>
        <v>0</v>
      </c>
    </row>
    <row r="189">
      <c r="A189" s="165" t="str">
        <f>IFERROR(__xludf.DUMMYFUNCTION("JOIN(""-"",""app"",SPLIT(LOWER( C189),"" ""))"),"app-create-new-group")</f>
        <v>app-create-new-group</v>
      </c>
      <c r="B189" s="66"/>
      <c r="C189" s="63" t="s">
        <v>4299</v>
      </c>
      <c r="D189" s="178" t="s">
        <v>4300</v>
      </c>
      <c r="E189" s="163">
        <f>IFERROR(__xludf.DUMMYFUNCTION("IFERROR(VLOOKUP(C189,IMPORTRANGE(""https://docs.google.com/spreadsheets/d/1SQRLoxD_LXfQNfB7NOxI5jlxbkDlcNPwla_2gSTySP8/edit#gid=274515254"",""Project Management!$C$2:$D$100""),2,0),0)"),0.0)</f>
        <v>0</v>
      </c>
    </row>
    <row r="190">
      <c r="A190" s="165" t="str">
        <f>IFERROR(__xludf.DUMMYFUNCTION("JOIN(""-"",""app"",SPLIT(LOWER( C190),"" ""))"),"app-create-new-container")</f>
        <v>app-create-new-container</v>
      </c>
      <c r="B190" s="66"/>
      <c r="C190" s="63" t="s">
        <v>4301</v>
      </c>
      <c r="D190" s="178" t="s">
        <v>4302</v>
      </c>
      <c r="E190" s="163">
        <f>IFERROR(__xludf.DUMMYFUNCTION("IFERROR(VLOOKUP(C190,IMPORTRANGE(""https://docs.google.com/spreadsheets/d/1SQRLoxD_LXfQNfB7NOxI5jlxbkDlcNPwla_2gSTySP8/edit#gid=274515254"",""Project Management!$C$2:$D$100""),2,0),0)"),0.0)</f>
        <v>0</v>
      </c>
    </row>
    <row r="191">
      <c r="A191" s="165" t="str">
        <f>IFERROR(__xludf.DUMMYFUNCTION("JOIN(""-"",""app"",SPLIT(LOWER( C191),"" ""))"),"app-create-new-asset")</f>
        <v>app-create-new-asset</v>
      </c>
      <c r="B191" s="66"/>
      <c r="C191" s="63" t="s">
        <v>2090</v>
      </c>
      <c r="D191" s="178" t="s">
        <v>2091</v>
      </c>
      <c r="E191" s="163">
        <f>IFERROR(__xludf.DUMMYFUNCTION("IFERROR(VLOOKUP(C191,IMPORTRANGE(""https://docs.google.com/spreadsheets/d/1SQRLoxD_LXfQNfB7NOxI5jlxbkDlcNPwla_2gSTySP8/edit#gid=274515254"",""Project Management!$C$2:$D$100""),2,0),0)"),0.0)</f>
        <v>0</v>
      </c>
    </row>
    <row r="192">
      <c r="A192" s="165" t="str">
        <f>IFERROR(__xludf.DUMMYFUNCTION("JOIN(""-"",""app"",SPLIT(LOWER( C192),"" ""))"),"app-pin")</f>
        <v>app-pin</v>
      </c>
      <c r="B192" s="66"/>
      <c r="C192" s="63" t="s">
        <v>4303</v>
      </c>
      <c r="D192" s="178" t="s">
        <v>4304</v>
      </c>
      <c r="E192" s="163">
        <f>IFERROR(__xludf.DUMMYFUNCTION("IFERROR(VLOOKUP(C192,IMPORTRANGE(""https://docs.google.com/spreadsheets/d/1SQRLoxD_LXfQNfB7NOxI5jlxbkDlcNPwla_2gSTySP8/edit#gid=274515254"",""Project Management!$C$2:$D$100""),2,0),0)"),0.0)</f>
        <v>0</v>
      </c>
    </row>
    <row r="193">
      <c r="A193" s="165" t="str">
        <f>IFERROR(__xludf.DUMMYFUNCTION("JOIN(""-"",""app"",SPLIT(LOWER( C193),"" ""))"),"app-unpin")</f>
        <v>app-unpin</v>
      </c>
      <c r="B193" s="66"/>
      <c r="C193" s="63" t="s">
        <v>4305</v>
      </c>
      <c r="D193" s="178" t="s">
        <v>4306</v>
      </c>
      <c r="E193" s="163">
        <f>IFERROR(__xludf.DUMMYFUNCTION("IFERROR(VLOOKUP(C193,IMPORTRANGE(""https://docs.google.com/spreadsheets/d/1SQRLoxD_LXfQNfB7NOxI5jlxbkDlcNPwla_2gSTySP8/edit#gid=274515254"",""Project Management!$C$2:$D$100""),2,0),0)"),0.0)</f>
        <v>0</v>
      </c>
    </row>
    <row r="194">
      <c r="A194" s="62"/>
      <c r="B194" s="66"/>
      <c r="C194" s="62"/>
      <c r="D194" s="62"/>
    </row>
    <row r="195">
      <c r="A195" s="62"/>
      <c r="B195" s="66"/>
      <c r="C195" s="62"/>
      <c r="D195" s="62"/>
    </row>
    <row r="196">
      <c r="A196" s="62"/>
      <c r="B196" s="66"/>
      <c r="C196" s="62"/>
      <c r="D196" s="62"/>
    </row>
    <row r="197">
      <c r="A197" s="62"/>
      <c r="B197" s="66"/>
      <c r="C197" s="62"/>
      <c r="D197" s="62"/>
    </row>
    <row r="198">
      <c r="A198" s="62"/>
      <c r="B198" s="66"/>
      <c r="C198" s="62"/>
      <c r="D198" s="62"/>
    </row>
    <row r="199">
      <c r="A199" s="62"/>
      <c r="B199" s="66"/>
      <c r="C199" s="62"/>
      <c r="D199" s="62"/>
    </row>
    <row r="200">
      <c r="A200" s="62"/>
      <c r="B200" s="66"/>
      <c r="C200" s="62"/>
      <c r="D200" s="62"/>
    </row>
    <row r="201">
      <c r="A201" s="62"/>
      <c r="B201" s="66"/>
      <c r="C201" s="62"/>
      <c r="D201" s="62"/>
    </row>
    <row r="202">
      <c r="A202" s="62"/>
      <c r="B202" s="66"/>
      <c r="C202" s="62"/>
      <c r="D202" s="62"/>
    </row>
    <row r="203">
      <c r="A203" s="62"/>
      <c r="B203" s="66"/>
      <c r="C203" s="62"/>
      <c r="D203" s="62"/>
    </row>
    <row r="204">
      <c r="A204" s="62"/>
      <c r="B204" s="66"/>
      <c r="C204" s="62"/>
      <c r="D204" s="62"/>
    </row>
    <row r="205">
      <c r="A205" s="62"/>
      <c r="B205" s="66"/>
      <c r="C205" s="62"/>
      <c r="D205" s="62"/>
    </row>
    <row r="206">
      <c r="A206" s="62"/>
      <c r="B206" s="66"/>
      <c r="C206" s="62"/>
      <c r="D206" s="62"/>
    </row>
    <row r="207">
      <c r="A207" s="62"/>
      <c r="B207" s="66"/>
      <c r="C207" s="62"/>
      <c r="D207" s="62"/>
    </row>
    <row r="208">
      <c r="A208" s="62"/>
      <c r="B208" s="66"/>
      <c r="C208" s="62"/>
      <c r="D208" s="62"/>
    </row>
    <row r="209">
      <c r="A209" s="62"/>
      <c r="B209" s="66"/>
      <c r="C209" s="62"/>
      <c r="D209" s="62"/>
    </row>
    <row r="210">
      <c r="A210" s="62"/>
      <c r="B210" s="66"/>
      <c r="C210" s="62"/>
      <c r="D210" s="62"/>
    </row>
    <row r="211">
      <c r="A211" s="62"/>
      <c r="B211" s="66"/>
      <c r="C211" s="62"/>
      <c r="D211" s="62"/>
    </row>
    <row r="212">
      <c r="A212" s="62"/>
      <c r="B212" s="66"/>
      <c r="C212" s="62"/>
      <c r="D212" s="62"/>
    </row>
    <row r="213">
      <c r="A213" s="62"/>
      <c r="B213" s="66"/>
      <c r="C213" s="62"/>
      <c r="D213" s="62"/>
    </row>
    <row r="214">
      <c r="A214" s="62"/>
      <c r="B214" s="66"/>
      <c r="C214" s="62"/>
      <c r="D214" s="62"/>
    </row>
    <row r="215">
      <c r="A215" s="62"/>
      <c r="B215" s="66"/>
      <c r="C215" s="62"/>
      <c r="D215" s="62"/>
    </row>
    <row r="216">
      <c r="A216" s="62"/>
      <c r="B216" s="66"/>
      <c r="C216" s="62"/>
      <c r="D216" s="62"/>
    </row>
    <row r="217">
      <c r="A217" s="62"/>
      <c r="B217" s="66"/>
      <c r="C217" s="62"/>
      <c r="D217" s="62"/>
    </row>
    <row r="218">
      <c r="A218" s="62"/>
      <c r="B218" s="66"/>
      <c r="C218" s="62"/>
      <c r="D218" s="62"/>
    </row>
    <row r="219">
      <c r="A219" s="62"/>
      <c r="B219" s="66"/>
      <c r="C219" s="62"/>
      <c r="D219" s="62"/>
    </row>
    <row r="220">
      <c r="A220" s="62"/>
      <c r="B220" s="66"/>
      <c r="C220" s="62"/>
      <c r="D220" s="62"/>
    </row>
    <row r="221">
      <c r="A221" s="62"/>
      <c r="B221" s="66"/>
      <c r="C221" s="62"/>
      <c r="D221" s="62"/>
    </row>
    <row r="222">
      <c r="A222" s="62"/>
      <c r="B222" s="66"/>
      <c r="C222" s="62"/>
      <c r="D222" s="62"/>
    </row>
    <row r="223">
      <c r="A223" s="62"/>
      <c r="B223" s="66"/>
      <c r="C223" s="62"/>
      <c r="D223" s="62"/>
    </row>
    <row r="224">
      <c r="A224" s="62"/>
      <c r="B224" s="66"/>
      <c r="C224" s="62"/>
      <c r="D224" s="62"/>
    </row>
    <row r="225">
      <c r="A225" s="62"/>
      <c r="B225" s="66"/>
      <c r="C225" s="62"/>
      <c r="D225" s="62"/>
    </row>
    <row r="226">
      <c r="A226" s="62"/>
      <c r="B226" s="66"/>
      <c r="C226" s="62"/>
      <c r="D226" s="62"/>
    </row>
    <row r="227">
      <c r="A227" s="62"/>
      <c r="B227" s="66"/>
      <c r="C227" s="62"/>
      <c r="D227" s="62"/>
    </row>
    <row r="228">
      <c r="A228" s="62"/>
      <c r="B228" s="66"/>
      <c r="C228" s="62"/>
      <c r="D228" s="62"/>
    </row>
    <row r="229">
      <c r="A229" s="62"/>
      <c r="B229" s="66"/>
      <c r="C229" s="62"/>
      <c r="D229" s="62"/>
    </row>
    <row r="230">
      <c r="A230" s="62"/>
      <c r="B230" s="66"/>
      <c r="C230" s="62"/>
      <c r="D230" s="62"/>
    </row>
    <row r="231">
      <c r="A231" s="62"/>
      <c r="B231" s="66"/>
      <c r="C231" s="62"/>
      <c r="D231" s="62"/>
    </row>
    <row r="232">
      <c r="A232" s="62"/>
      <c r="B232" s="66"/>
      <c r="C232" s="62"/>
      <c r="D232" s="62"/>
    </row>
    <row r="233">
      <c r="A233" s="62"/>
      <c r="B233" s="66"/>
      <c r="C233" s="62"/>
      <c r="D233" s="62"/>
    </row>
    <row r="234">
      <c r="A234" s="62"/>
      <c r="B234" s="66"/>
      <c r="C234" s="62"/>
      <c r="D234" s="62"/>
    </row>
    <row r="235">
      <c r="A235" s="62"/>
      <c r="B235" s="66"/>
      <c r="C235" s="62"/>
      <c r="D235" s="62"/>
    </row>
    <row r="236">
      <c r="A236" s="62"/>
      <c r="B236" s="66"/>
      <c r="C236" s="62"/>
      <c r="D236" s="62"/>
    </row>
    <row r="237">
      <c r="A237" s="62"/>
      <c r="B237" s="66"/>
      <c r="C237" s="62"/>
      <c r="D237" s="62"/>
    </row>
    <row r="238">
      <c r="A238" s="62"/>
      <c r="B238" s="66"/>
      <c r="C238" s="62"/>
      <c r="D238" s="62"/>
    </row>
    <row r="239">
      <c r="A239" s="62"/>
      <c r="B239" s="66"/>
      <c r="C239" s="62"/>
      <c r="D239" s="62"/>
    </row>
    <row r="240">
      <c r="A240" s="62"/>
      <c r="B240" s="66"/>
      <c r="C240" s="62"/>
      <c r="D240" s="62"/>
    </row>
    <row r="241">
      <c r="A241" s="62"/>
      <c r="B241" s="66"/>
      <c r="C241" s="62"/>
      <c r="D241" s="62"/>
    </row>
    <row r="242">
      <c r="A242" s="62"/>
      <c r="B242" s="66"/>
      <c r="C242" s="62"/>
      <c r="D242" s="62"/>
    </row>
    <row r="243">
      <c r="A243" s="62"/>
      <c r="B243" s="66"/>
      <c r="C243" s="62"/>
      <c r="D243" s="62"/>
    </row>
    <row r="244">
      <c r="A244" s="62"/>
      <c r="B244" s="66"/>
      <c r="C244" s="62"/>
      <c r="D244" s="62"/>
    </row>
    <row r="245">
      <c r="A245" s="62"/>
      <c r="B245" s="66"/>
      <c r="C245" s="62"/>
      <c r="D245" s="62"/>
    </row>
    <row r="246">
      <c r="A246" s="62"/>
      <c r="B246" s="66"/>
      <c r="C246" s="62"/>
      <c r="D246" s="62"/>
    </row>
    <row r="247">
      <c r="A247" s="62"/>
      <c r="B247" s="66"/>
      <c r="C247" s="62"/>
      <c r="D247" s="62"/>
    </row>
    <row r="248">
      <c r="A248" s="62"/>
      <c r="B248" s="66"/>
      <c r="C248" s="62"/>
      <c r="D248" s="62"/>
    </row>
    <row r="249">
      <c r="A249" s="62"/>
      <c r="B249" s="66"/>
      <c r="C249" s="62"/>
      <c r="D249" s="62"/>
    </row>
    <row r="250">
      <c r="A250" s="62"/>
      <c r="B250" s="66"/>
      <c r="C250" s="62"/>
      <c r="D250" s="62"/>
    </row>
    <row r="251">
      <c r="A251" s="62"/>
      <c r="B251" s="66"/>
      <c r="C251" s="62"/>
      <c r="D251" s="62"/>
    </row>
    <row r="252">
      <c r="A252" s="62"/>
      <c r="B252" s="66"/>
      <c r="C252" s="62"/>
      <c r="D252" s="62"/>
    </row>
    <row r="253">
      <c r="A253" s="62"/>
      <c r="B253" s="66"/>
      <c r="C253" s="62"/>
      <c r="D253" s="62"/>
    </row>
    <row r="254">
      <c r="A254" s="62"/>
      <c r="B254" s="66"/>
      <c r="C254" s="62"/>
      <c r="D254" s="62"/>
    </row>
    <row r="255">
      <c r="A255" s="62"/>
      <c r="B255" s="66"/>
      <c r="C255" s="62"/>
      <c r="D255" s="62"/>
    </row>
    <row r="256">
      <c r="A256" s="62"/>
      <c r="B256" s="66"/>
      <c r="C256" s="62"/>
      <c r="D256" s="62"/>
    </row>
    <row r="257">
      <c r="A257" s="62"/>
      <c r="B257" s="66"/>
      <c r="C257" s="62"/>
      <c r="D257" s="62"/>
    </row>
    <row r="258">
      <c r="A258" s="62"/>
      <c r="B258" s="66"/>
      <c r="C258" s="62"/>
      <c r="D258" s="62"/>
    </row>
    <row r="259">
      <c r="A259" s="62"/>
      <c r="B259" s="66"/>
      <c r="C259" s="62"/>
      <c r="D259" s="62"/>
    </row>
    <row r="260">
      <c r="A260" s="62"/>
      <c r="B260" s="66"/>
      <c r="C260" s="62"/>
      <c r="D260" s="62"/>
    </row>
    <row r="261">
      <c r="A261" s="62"/>
      <c r="B261" s="66"/>
      <c r="C261" s="62"/>
      <c r="D261" s="62"/>
    </row>
    <row r="262">
      <c r="A262" s="62"/>
      <c r="B262" s="66"/>
      <c r="C262" s="62"/>
      <c r="D262" s="62"/>
    </row>
    <row r="263">
      <c r="A263" s="62"/>
      <c r="B263" s="66"/>
      <c r="C263" s="62"/>
      <c r="D263" s="62"/>
    </row>
    <row r="264">
      <c r="A264" s="62"/>
      <c r="B264" s="66"/>
      <c r="C264" s="62"/>
      <c r="D264" s="62"/>
    </row>
    <row r="265">
      <c r="A265" s="62"/>
      <c r="B265" s="66"/>
      <c r="C265" s="62"/>
      <c r="D265" s="62"/>
    </row>
    <row r="266">
      <c r="A266" s="62"/>
      <c r="B266" s="66"/>
      <c r="C266" s="62"/>
      <c r="D266" s="62"/>
    </row>
    <row r="267">
      <c r="A267" s="62"/>
      <c r="B267" s="66"/>
      <c r="C267" s="62"/>
      <c r="D267" s="62"/>
    </row>
    <row r="268">
      <c r="A268" s="62"/>
      <c r="B268" s="66"/>
      <c r="C268" s="62"/>
      <c r="D268" s="62"/>
    </row>
    <row r="269">
      <c r="A269" s="62"/>
      <c r="B269" s="66"/>
      <c r="C269" s="62"/>
      <c r="D269" s="62"/>
    </row>
    <row r="270">
      <c r="A270" s="62"/>
      <c r="B270" s="66"/>
      <c r="C270" s="62"/>
      <c r="D270" s="62"/>
    </row>
    <row r="271">
      <c r="A271" s="62"/>
      <c r="B271" s="66"/>
      <c r="C271" s="62"/>
      <c r="D271" s="62"/>
    </row>
    <row r="272">
      <c r="A272" s="62"/>
      <c r="B272" s="66"/>
      <c r="C272" s="62"/>
      <c r="D272" s="62"/>
    </row>
    <row r="273">
      <c r="A273" s="62"/>
      <c r="B273" s="66"/>
      <c r="C273" s="62"/>
      <c r="D273" s="62"/>
    </row>
    <row r="274">
      <c r="A274" s="62"/>
      <c r="B274" s="66"/>
      <c r="C274" s="62"/>
      <c r="D274" s="62"/>
    </row>
    <row r="275">
      <c r="A275" s="62"/>
      <c r="B275" s="66"/>
      <c r="C275" s="62"/>
      <c r="D275" s="62"/>
    </row>
    <row r="276">
      <c r="A276" s="62"/>
      <c r="B276" s="66"/>
      <c r="C276" s="62"/>
      <c r="D276" s="62"/>
    </row>
    <row r="277">
      <c r="A277" s="62"/>
      <c r="B277" s="66"/>
      <c r="C277" s="62"/>
      <c r="D277" s="62"/>
    </row>
    <row r="278">
      <c r="A278" s="62"/>
      <c r="B278" s="66"/>
      <c r="C278" s="62"/>
      <c r="D278" s="62"/>
    </row>
    <row r="279">
      <c r="A279" s="62"/>
      <c r="B279" s="66"/>
      <c r="C279" s="62"/>
      <c r="D279" s="62"/>
    </row>
    <row r="280">
      <c r="A280" s="62"/>
      <c r="B280" s="66"/>
      <c r="C280" s="62"/>
      <c r="D280" s="62"/>
    </row>
    <row r="281">
      <c r="A281" s="62"/>
      <c r="B281" s="66"/>
      <c r="C281" s="62"/>
      <c r="D281" s="62"/>
    </row>
    <row r="282">
      <c r="A282" s="62"/>
      <c r="B282" s="66"/>
      <c r="C282" s="62"/>
      <c r="D282" s="62"/>
    </row>
    <row r="283">
      <c r="A283" s="62"/>
      <c r="B283" s="66"/>
      <c r="C283" s="62"/>
      <c r="D283" s="62"/>
    </row>
    <row r="284">
      <c r="A284" s="62"/>
      <c r="B284" s="66"/>
      <c r="C284" s="62"/>
      <c r="D284" s="62"/>
    </row>
    <row r="285">
      <c r="A285" s="62"/>
      <c r="B285" s="66"/>
      <c r="C285" s="62"/>
      <c r="D285" s="62"/>
    </row>
    <row r="286">
      <c r="A286" s="62"/>
      <c r="B286" s="66"/>
      <c r="C286" s="62"/>
      <c r="D286" s="62"/>
    </row>
    <row r="287">
      <c r="A287" s="62"/>
      <c r="B287" s="66"/>
      <c r="C287" s="62"/>
      <c r="D287" s="62"/>
    </row>
    <row r="288">
      <c r="A288" s="62"/>
      <c r="B288" s="66"/>
      <c r="C288" s="62"/>
      <c r="D288" s="62"/>
    </row>
    <row r="289">
      <c r="A289" s="62"/>
      <c r="B289" s="66"/>
      <c r="C289" s="62"/>
      <c r="D289" s="62"/>
    </row>
    <row r="290">
      <c r="A290" s="62"/>
      <c r="B290" s="66"/>
      <c r="C290" s="62"/>
      <c r="D290" s="62"/>
    </row>
    <row r="291">
      <c r="A291" s="62"/>
      <c r="B291" s="66"/>
      <c r="C291" s="62"/>
      <c r="D291" s="62"/>
    </row>
    <row r="292">
      <c r="A292" s="62"/>
      <c r="B292" s="66"/>
      <c r="C292" s="62"/>
      <c r="D292" s="62"/>
    </row>
    <row r="293">
      <c r="A293" s="62"/>
      <c r="B293" s="66"/>
      <c r="C293" s="62"/>
      <c r="D293" s="62"/>
    </row>
    <row r="294">
      <c r="A294" s="62"/>
      <c r="B294" s="66"/>
      <c r="C294" s="62"/>
      <c r="D294" s="62"/>
    </row>
    <row r="295">
      <c r="A295" s="62"/>
      <c r="B295" s="66"/>
      <c r="C295" s="62"/>
      <c r="D295" s="62"/>
    </row>
    <row r="296">
      <c r="A296" s="62"/>
      <c r="B296" s="66"/>
      <c r="C296" s="62"/>
      <c r="D296" s="62"/>
    </row>
    <row r="297">
      <c r="A297" s="62"/>
      <c r="B297" s="66"/>
      <c r="C297" s="62"/>
      <c r="D297" s="62"/>
    </row>
    <row r="298">
      <c r="A298" s="62"/>
      <c r="B298" s="66"/>
      <c r="C298" s="62"/>
      <c r="D298" s="62"/>
    </row>
    <row r="299">
      <c r="A299" s="62"/>
      <c r="B299" s="66"/>
      <c r="C299" s="62"/>
      <c r="D299" s="62"/>
    </row>
    <row r="300">
      <c r="A300" s="62"/>
      <c r="B300" s="66"/>
      <c r="C300" s="62"/>
      <c r="D300" s="62"/>
    </row>
    <row r="301">
      <c r="A301" s="62"/>
      <c r="B301" s="66"/>
      <c r="C301" s="62"/>
      <c r="D301" s="62"/>
    </row>
    <row r="302">
      <c r="A302" s="62"/>
      <c r="B302" s="66"/>
      <c r="C302" s="62"/>
      <c r="D302" s="62"/>
    </row>
    <row r="303">
      <c r="A303" s="62"/>
      <c r="B303" s="66"/>
      <c r="C303" s="62"/>
      <c r="D303" s="62"/>
    </row>
    <row r="304">
      <c r="A304" s="62"/>
      <c r="B304" s="66"/>
      <c r="C304" s="62"/>
      <c r="D304" s="62"/>
    </row>
    <row r="305">
      <c r="A305" s="62"/>
      <c r="B305" s="66"/>
      <c r="C305" s="62"/>
      <c r="D305" s="62"/>
    </row>
    <row r="306">
      <c r="A306" s="62"/>
      <c r="B306" s="66"/>
      <c r="C306" s="62"/>
      <c r="D306" s="62"/>
    </row>
    <row r="307">
      <c r="A307" s="62"/>
      <c r="B307" s="66"/>
      <c r="C307" s="62"/>
      <c r="D307" s="62"/>
    </row>
    <row r="308">
      <c r="A308" s="62"/>
      <c r="B308" s="66"/>
      <c r="C308" s="62"/>
      <c r="D308" s="62"/>
    </row>
    <row r="309">
      <c r="A309" s="62"/>
      <c r="B309" s="66"/>
      <c r="C309" s="62"/>
      <c r="D309" s="62"/>
    </row>
    <row r="310">
      <c r="A310" s="62"/>
      <c r="B310" s="66"/>
      <c r="C310" s="62"/>
      <c r="D310" s="62"/>
    </row>
    <row r="311">
      <c r="A311" s="62"/>
      <c r="B311" s="66"/>
      <c r="C311" s="62"/>
      <c r="D311" s="62"/>
    </row>
    <row r="312">
      <c r="A312" s="62"/>
      <c r="B312" s="66"/>
      <c r="C312" s="62"/>
      <c r="D312" s="62"/>
    </row>
    <row r="313">
      <c r="A313" s="62"/>
      <c r="B313" s="66"/>
      <c r="C313" s="62"/>
      <c r="D313" s="62"/>
    </row>
    <row r="314">
      <c r="A314" s="62"/>
      <c r="B314" s="66"/>
      <c r="C314" s="62"/>
      <c r="D314" s="62"/>
    </row>
    <row r="315">
      <c r="A315" s="62"/>
      <c r="B315" s="66"/>
      <c r="C315" s="62"/>
      <c r="D315" s="62"/>
    </row>
    <row r="316">
      <c r="A316" s="62"/>
      <c r="B316" s="66"/>
      <c r="C316" s="62"/>
      <c r="D316" s="62"/>
    </row>
    <row r="317">
      <c r="A317" s="62"/>
      <c r="B317" s="66"/>
      <c r="C317" s="62"/>
      <c r="D317" s="62"/>
    </row>
    <row r="318">
      <c r="A318" s="62"/>
      <c r="B318" s="66"/>
      <c r="C318" s="62"/>
      <c r="D318" s="62"/>
    </row>
    <row r="319">
      <c r="A319" s="62"/>
      <c r="B319" s="66"/>
      <c r="C319" s="62"/>
      <c r="D319" s="62"/>
    </row>
    <row r="320">
      <c r="A320" s="62"/>
      <c r="B320" s="66"/>
      <c r="C320" s="62"/>
      <c r="D320" s="62"/>
    </row>
    <row r="321">
      <c r="A321" s="62"/>
      <c r="B321" s="66"/>
      <c r="C321" s="62"/>
      <c r="D321" s="62"/>
    </row>
    <row r="322">
      <c r="A322" s="62"/>
      <c r="B322" s="66"/>
      <c r="C322" s="62"/>
      <c r="D322" s="62"/>
    </row>
    <row r="323">
      <c r="A323" s="62"/>
      <c r="B323" s="66"/>
      <c r="C323" s="62"/>
      <c r="D323" s="62"/>
    </row>
    <row r="324">
      <c r="A324" s="62"/>
      <c r="B324" s="66"/>
      <c r="C324" s="62"/>
      <c r="D324" s="62"/>
    </row>
    <row r="325">
      <c r="A325" s="62"/>
      <c r="B325" s="66"/>
      <c r="C325" s="62"/>
      <c r="D325" s="62"/>
    </row>
    <row r="326">
      <c r="A326" s="62"/>
      <c r="B326" s="66"/>
      <c r="C326" s="62"/>
      <c r="D326" s="62"/>
    </row>
    <row r="327">
      <c r="A327" s="62"/>
      <c r="B327" s="66"/>
      <c r="C327" s="62"/>
      <c r="D327" s="62"/>
    </row>
    <row r="328">
      <c r="A328" s="62"/>
      <c r="B328" s="66"/>
      <c r="C328" s="62"/>
      <c r="D328" s="62"/>
    </row>
    <row r="329">
      <c r="A329" s="62"/>
      <c r="B329" s="66"/>
      <c r="C329" s="62"/>
      <c r="D329" s="62"/>
    </row>
    <row r="330">
      <c r="A330" s="62"/>
      <c r="B330" s="66"/>
      <c r="C330" s="62"/>
      <c r="D330" s="62"/>
    </row>
    <row r="331">
      <c r="A331" s="62"/>
      <c r="B331" s="66"/>
      <c r="C331" s="62"/>
      <c r="D331" s="62"/>
    </row>
    <row r="332">
      <c r="A332" s="62"/>
      <c r="B332" s="66"/>
      <c r="C332" s="62"/>
      <c r="D332" s="62"/>
    </row>
    <row r="333">
      <c r="A333" s="62"/>
      <c r="B333" s="66"/>
      <c r="C333" s="62"/>
      <c r="D333" s="62"/>
    </row>
    <row r="334">
      <c r="A334" s="62"/>
      <c r="B334" s="66"/>
      <c r="C334" s="62"/>
      <c r="D334" s="62"/>
    </row>
    <row r="335">
      <c r="A335" s="62"/>
      <c r="B335" s="66"/>
      <c r="C335" s="62"/>
      <c r="D335" s="62"/>
    </row>
    <row r="336">
      <c r="A336" s="62"/>
      <c r="B336" s="66"/>
      <c r="C336" s="62"/>
      <c r="D336" s="62"/>
    </row>
    <row r="337">
      <c r="A337" s="62"/>
      <c r="B337" s="66"/>
      <c r="C337" s="62"/>
      <c r="D337" s="62"/>
    </row>
    <row r="338">
      <c r="A338" s="62"/>
      <c r="B338" s="66"/>
      <c r="C338" s="62"/>
      <c r="D338" s="62"/>
    </row>
    <row r="339">
      <c r="A339" s="62"/>
      <c r="B339" s="66"/>
      <c r="C339" s="62"/>
      <c r="D339" s="62"/>
    </row>
    <row r="340">
      <c r="A340" s="62"/>
      <c r="B340" s="66"/>
      <c r="C340" s="62"/>
      <c r="D340" s="62"/>
    </row>
    <row r="341">
      <c r="A341" s="62"/>
      <c r="B341" s="66"/>
      <c r="C341" s="62"/>
      <c r="D341" s="62"/>
    </row>
    <row r="342">
      <c r="A342" s="62"/>
      <c r="B342" s="66"/>
      <c r="C342" s="62"/>
      <c r="D342" s="62"/>
    </row>
    <row r="343">
      <c r="A343" s="62"/>
      <c r="B343" s="66"/>
      <c r="C343" s="62"/>
      <c r="D343" s="62"/>
    </row>
    <row r="344">
      <c r="A344" s="62"/>
      <c r="B344" s="66"/>
      <c r="C344" s="62"/>
      <c r="D344" s="62"/>
    </row>
    <row r="345">
      <c r="A345" s="62"/>
      <c r="B345" s="66"/>
      <c r="C345" s="62"/>
      <c r="D345" s="62"/>
    </row>
    <row r="346">
      <c r="A346" s="62"/>
      <c r="B346" s="66"/>
      <c r="C346" s="62"/>
      <c r="D346" s="62"/>
    </row>
    <row r="347">
      <c r="A347" s="62"/>
      <c r="B347" s="66"/>
      <c r="C347" s="62"/>
      <c r="D347" s="62"/>
    </row>
    <row r="348">
      <c r="A348" s="62"/>
      <c r="B348" s="66"/>
      <c r="C348" s="62"/>
      <c r="D348" s="62"/>
    </row>
    <row r="349">
      <c r="A349" s="62"/>
      <c r="B349" s="66"/>
      <c r="C349" s="62"/>
      <c r="D349" s="62"/>
    </row>
    <row r="350">
      <c r="A350" s="62"/>
      <c r="B350" s="66"/>
      <c r="C350" s="62"/>
      <c r="D350" s="62"/>
    </row>
    <row r="351">
      <c r="A351" s="62"/>
      <c r="B351" s="66"/>
      <c r="C351" s="62"/>
      <c r="D351" s="62"/>
    </row>
    <row r="352">
      <c r="A352" s="62"/>
      <c r="B352" s="66"/>
      <c r="C352" s="62"/>
      <c r="D352" s="62"/>
    </row>
    <row r="353">
      <c r="A353" s="62"/>
      <c r="B353" s="66"/>
      <c r="C353" s="62"/>
      <c r="D353" s="62"/>
    </row>
    <row r="354">
      <c r="A354" s="62"/>
      <c r="B354" s="66"/>
      <c r="C354" s="62"/>
      <c r="D354" s="62"/>
    </row>
    <row r="355">
      <c r="A355" s="62"/>
      <c r="B355" s="66"/>
      <c r="C355" s="62"/>
      <c r="D355" s="62"/>
    </row>
    <row r="356">
      <c r="A356" s="62"/>
      <c r="B356" s="66"/>
      <c r="C356" s="62"/>
      <c r="D356" s="62"/>
    </row>
    <row r="357">
      <c r="A357" s="62"/>
      <c r="B357" s="66"/>
      <c r="C357" s="62"/>
      <c r="D357" s="62"/>
    </row>
    <row r="358">
      <c r="A358" s="62"/>
      <c r="B358" s="66"/>
      <c r="C358" s="62"/>
      <c r="D358" s="62"/>
    </row>
    <row r="359">
      <c r="A359" s="62"/>
      <c r="B359" s="66"/>
      <c r="C359" s="62"/>
      <c r="D359" s="62"/>
    </row>
    <row r="360">
      <c r="A360" s="62"/>
      <c r="B360" s="66"/>
      <c r="C360" s="62"/>
      <c r="D360" s="62"/>
    </row>
    <row r="361">
      <c r="A361" s="62"/>
      <c r="B361" s="66"/>
      <c r="C361" s="62"/>
      <c r="D361" s="62"/>
    </row>
    <row r="362">
      <c r="A362" s="62"/>
      <c r="B362" s="66"/>
      <c r="C362" s="62"/>
      <c r="D362" s="62"/>
    </row>
    <row r="363">
      <c r="A363" s="62"/>
      <c r="B363" s="66"/>
      <c r="C363" s="62"/>
      <c r="D363" s="62"/>
    </row>
    <row r="364">
      <c r="A364" s="62"/>
      <c r="B364" s="66"/>
      <c r="C364" s="62"/>
      <c r="D364" s="62"/>
    </row>
    <row r="365">
      <c r="A365" s="62"/>
      <c r="B365" s="66"/>
      <c r="C365" s="62"/>
      <c r="D365" s="62"/>
    </row>
    <row r="366">
      <c r="A366" s="62"/>
      <c r="B366" s="66"/>
      <c r="C366" s="62"/>
      <c r="D366" s="62"/>
    </row>
    <row r="367">
      <c r="A367" s="62"/>
      <c r="B367" s="66"/>
      <c r="C367" s="62"/>
      <c r="D367" s="62"/>
    </row>
    <row r="368">
      <c r="A368" s="62"/>
      <c r="B368" s="66"/>
      <c r="C368" s="62"/>
      <c r="D368" s="62"/>
    </row>
    <row r="369">
      <c r="A369" s="62"/>
      <c r="B369" s="66"/>
      <c r="C369" s="62"/>
      <c r="D369" s="62"/>
    </row>
    <row r="370">
      <c r="A370" s="62"/>
      <c r="B370" s="66"/>
      <c r="C370" s="62"/>
      <c r="D370" s="62"/>
    </row>
    <row r="371">
      <c r="A371" s="62"/>
      <c r="B371" s="66"/>
      <c r="C371" s="62"/>
      <c r="D371" s="62"/>
    </row>
    <row r="372">
      <c r="A372" s="62"/>
      <c r="B372" s="66"/>
      <c r="C372" s="62"/>
      <c r="D372" s="62"/>
    </row>
    <row r="373">
      <c r="A373" s="62"/>
      <c r="B373" s="66"/>
      <c r="C373" s="62"/>
      <c r="D373" s="62"/>
    </row>
    <row r="374">
      <c r="A374" s="62"/>
      <c r="B374" s="66"/>
      <c r="C374" s="62"/>
      <c r="D374" s="62"/>
    </row>
    <row r="375">
      <c r="A375" s="62"/>
      <c r="B375" s="66"/>
      <c r="C375" s="62"/>
      <c r="D375" s="62"/>
    </row>
    <row r="376">
      <c r="A376" s="62"/>
      <c r="B376" s="66"/>
      <c r="C376" s="62"/>
      <c r="D376" s="62"/>
    </row>
    <row r="377">
      <c r="A377" s="62"/>
      <c r="B377" s="66"/>
      <c r="C377" s="62"/>
      <c r="D377" s="62"/>
    </row>
    <row r="378">
      <c r="A378" s="62"/>
      <c r="B378" s="66"/>
      <c r="C378" s="62"/>
      <c r="D378" s="62"/>
    </row>
    <row r="379">
      <c r="A379" s="62"/>
      <c r="B379" s="66"/>
      <c r="C379" s="62"/>
      <c r="D379" s="62"/>
    </row>
    <row r="380">
      <c r="A380" s="62"/>
      <c r="B380" s="66"/>
      <c r="C380" s="62"/>
      <c r="D380" s="62"/>
    </row>
    <row r="381">
      <c r="A381" s="62"/>
      <c r="B381" s="66"/>
      <c r="C381" s="62"/>
      <c r="D381" s="62"/>
    </row>
    <row r="382">
      <c r="A382" s="62"/>
      <c r="B382" s="66"/>
      <c r="C382" s="62"/>
      <c r="D382" s="62"/>
    </row>
    <row r="383">
      <c r="A383" s="62"/>
      <c r="B383" s="66"/>
      <c r="C383" s="62"/>
      <c r="D383" s="62"/>
    </row>
    <row r="384">
      <c r="A384" s="62"/>
      <c r="B384" s="66"/>
      <c r="C384" s="62"/>
      <c r="D384" s="62"/>
    </row>
    <row r="385">
      <c r="A385" s="62"/>
      <c r="B385" s="66"/>
      <c r="C385" s="62"/>
      <c r="D385" s="62"/>
    </row>
    <row r="386">
      <c r="A386" s="62"/>
      <c r="B386" s="66"/>
      <c r="C386" s="62"/>
      <c r="D386" s="62"/>
    </row>
    <row r="387">
      <c r="A387" s="62"/>
      <c r="B387" s="66"/>
      <c r="C387" s="62"/>
      <c r="D387" s="62"/>
    </row>
    <row r="388">
      <c r="A388" s="62"/>
      <c r="B388" s="66"/>
      <c r="C388" s="62"/>
      <c r="D388" s="62"/>
    </row>
    <row r="389">
      <c r="A389" s="62"/>
      <c r="B389" s="66"/>
      <c r="C389" s="62"/>
      <c r="D389" s="62"/>
    </row>
    <row r="390">
      <c r="A390" s="62"/>
      <c r="B390" s="66"/>
      <c r="C390" s="62"/>
      <c r="D390" s="62"/>
    </row>
    <row r="391">
      <c r="A391" s="62"/>
      <c r="B391" s="66"/>
      <c r="C391" s="62"/>
      <c r="D391" s="62"/>
    </row>
    <row r="392">
      <c r="A392" s="62"/>
      <c r="B392" s="66"/>
      <c r="C392" s="62"/>
      <c r="D392" s="62"/>
    </row>
    <row r="393">
      <c r="A393" s="62"/>
      <c r="B393" s="66"/>
      <c r="C393" s="62"/>
      <c r="D393" s="62"/>
    </row>
    <row r="394">
      <c r="A394" s="62"/>
      <c r="B394" s="66"/>
      <c r="C394" s="62"/>
      <c r="D394" s="62"/>
    </row>
    <row r="395">
      <c r="A395" s="62"/>
      <c r="B395" s="66"/>
      <c r="C395" s="62"/>
      <c r="D395" s="62"/>
    </row>
    <row r="396">
      <c r="A396" s="62"/>
      <c r="B396" s="66"/>
      <c r="C396" s="62"/>
      <c r="D396" s="62"/>
    </row>
    <row r="397">
      <c r="A397" s="62"/>
      <c r="B397" s="66"/>
      <c r="C397" s="62"/>
      <c r="D397" s="62"/>
    </row>
    <row r="398">
      <c r="A398" s="62"/>
      <c r="B398" s="66"/>
      <c r="C398" s="62"/>
      <c r="D398" s="62"/>
    </row>
    <row r="399">
      <c r="A399" s="62"/>
      <c r="B399" s="66"/>
      <c r="C399" s="62"/>
      <c r="D399" s="62"/>
    </row>
    <row r="400">
      <c r="A400" s="62"/>
      <c r="B400" s="66"/>
      <c r="C400" s="62"/>
      <c r="D400" s="62"/>
    </row>
    <row r="401">
      <c r="A401" s="62"/>
      <c r="B401" s="66"/>
      <c r="C401" s="62"/>
      <c r="D401" s="62"/>
    </row>
    <row r="402">
      <c r="A402" s="62"/>
      <c r="B402" s="66"/>
      <c r="C402" s="62"/>
      <c r="D402" s="62"/>
    </row>
    <row r="403">
      <c r="A403" s="62"/>
      <c r="B403" s="66"/>
      <c r="C403" s="62"/>
      <c r="D403" s="62"/>
    </row>
    <row r="404">
      <c r="A404" s="62"/>
      <c r="B404" s="66"/>
      <c r="C404" s="62"/>
      <c r="D404" s="62"/>
    </row>
    <row r="405">
      <c r="A405" s="62"/>
      <c r="B405" s="66"/>
      <c r="C405" s="62"/>
      <c r="D405" s="62"/>
    </row>
    <row r="406">
      <c r="A406" s="62"/>
      <c r="B406" s="66"/>
      <c r="C406" s="62"/>
      <c r="D406" s="62"/>
    </row>
    <row r="407">
      <c r="A407" s="62"/>
      <c r="B407" s="66"/>
      <c r="C407" s="62"/>
      <c r="D407" s="62"/>
    </row>
    <row r="408">
      <c r="A408" s="62"/>
      <c r="B408" s="66"/>
      <c r="C408" s="62"/>
      <c r="D408" s="62"/>
    </row>
    <row r="409">
      <c r="A409" s="62"/>
      <c r="B409" s="66"/>
      <c r="C409" s="62"/>
      <c r="D409" s="62"/>
    </row>
    <row r="410">
      <c r="A410" s="62"/>
      <c r="B410" s="66"/>
      <c r="C410" s="62"/>
      <c r="D410" s="62"/>
    </row>
    <row r="411">
      <c r="A411" s="62"/>
      <c r="B411" s="66"/>
      <c r="C411" s="62"/>
      <c r="D411" s="62"/>
    </row>
    <row r="412">
      <c r="A412" s="62"/>
      <c r="B412" s="66"/>
      <c r="C412" s="62"/>
      <c r="D412" s="62"/>
    </row>
    <row r="413">
      <c r="A413" s="62"/>
      <c r="B413" s="66"/>
      <c r="C413" s="62"/>
      <c r="D413" s="62"/>
    </row>
    <row r="414">
      <c r="A414" s="62"/>
      <c r="B414" s="66"/>
      <c r="C414" s="62"/>
      <c r="D414" s="62"/>
    </row>
    <row r="415">
      <c r="A415" s="62"/>
      <c r="B415" s="66"/>
      <c r="C415" s="62"/>
      <c r="D415" s="62"/>
    </row>
    <row r="416">
      <c r="A416" s="62"/>
      <c r="B416" s="66"/>
      <c r="C416" s="62"/>
      <c r="D416" s="62"/>
    </row>
    <row r="417">
      <c r="A417" s="62"/>
      <c r="B417" s="66"/>
      <c r="C417" s="62"/>
      <c r="D417" s="62"/>
    </row>
    <row r="418">
      <c r="A418" s="62"/>
      <c r="B418" s="66"/>
      <c r="C418" s="62"/>
      <c r="D418" s="62"/>
    </row>
    <row r="419">
      <c r="A419" s="62"/>
      <c r="B419" s="66"/>
      <c r="C419" s="62"/>
      <c r="D419" s="62"/>
    </row>
    <row r="420">
      <c r="A420" s="62"/>
      <c r="B420" s="66"/>
      <c r="C420" s="62"/>
      <c r="D420" s="62"/>
    </row>
    <row r="421">
      <c r="A421" s="62"/>
      <c r="B421" s="66"/>
      <c r="C421" s="62"/>
      <c r="D421" s="62"/>
    </row>
    <row r="422">
      <c r="A422" s="62"/>
      <c r="B422" s="66"/>
      <c r="C422" s="62"/>
      <c r="D422" s="62"/>
    </row>
    <row r="423">
      <c r="A423" s="62"/>
      <c r="B423" s="66"/>
      <c r="C423" s="62"/>
      <c r="D423" s="62"/>
    </row>
    <row r="424">
      <c r="A424" s="62"/>
      <c r="B424" s="66"/>
      <c r="C424" s="62"/>
      <c r="D424" s="62"/>
    </row>
    <row r="425">
      <c r="A425" s="62"/>
      <c r="B425" s="66"/>
      <c r="C425" s="62"/>
      <c r="D425" s="62"/>
    </row>
    <row r="426">
      <c r="A426" s="62"/>
      <c r="B426" s="66"/>
      <c r="C426" s="62"/>
      <c r="D426" s="62"/>
    </row>
    <row r="427">
      <c r="A427" s="62"/>
      <c r="B427" s="66"/>
      <c r="C427" s="62"/>
      <c r="D427" s="62"/>
    </row>
    <row r="428">
      <c r="A428" s="62"/>
      <c r="B428" s="66"/>
      <c r="C428" s="62"/>
      <c r="D428" s="62"/>
    </row>
    <row r="429">
      <c r="A429" s="62"/>
      <c r="B429" s="66"/>
      <c r="C429" s="62"/>
      <c r="D429" s="62"/>
    </row>
    <row r="430">
      <c r="A430" s="62"/>
      <c r="B430" s="66"/>
      <c r="C430" s="62"/>
      <c r="D430" s="62"/>
    </row>
    <row r="431">
      <c r="A431" s="62"/>
      <c r="B431" s="66"/>
      <c r="C431" s="62"/>
      <c r="D431" s="62"/>
    </row>
    <row r="432">
      <c r="A432" s="62"/>
      <c r="B432" s="66"/>
      <c r="C432" s="62"/>
      <c r="D432" s="62"/>
    </row>
    <row r="433">
      <c r="A433" s="62"/>
      <c r="B433" s="66"/>
      <c r="C433" s="62"/>
      <c r="D433" s="62"/>
    </row>
    <row r="434">
      <c r="A434" s="62"/>
      <c r="B434" s="66"/>
      <c r="C434" s="62"/>
      <c r="D434" s="62"/>
    </row>
    <row r="435">
      <c r="A435" s="62"/>
      <c r="B435" s="66"/>
      <c r="C435" s="62"/>
      <c r="D435" s="62"/>
    </row>
    <row r="436">
      <c r="A436" s="62"/>
      <c r="B436" s="66"/>
      <c r="C436" s="62"/>
      <c r="D436" s="62"/>
    </row>
    <row r="437">
      <c r="A437" s="62"/>
      <c r="B437" s="66"/>
      <c r="C437" s="62"/>
      <c r="D437" s="62"/>
    </row>
    <row r="438">
      <c r="A438" s="62"/>
      <c r="B438" s="66"/>
      <c r="C438" s="62"/>
      <c r="D438" s="62"/>
    </row>
    <row r="439">
      <c r="A439" s="62"/>
      <c r="B439" s="66"/>
      <c r="C439" s="62"/>
      <c r="D439" s="62"/>
    </row>
    <row r="440">
      <c r="A440" s="62"/>
      <c r="B440" s="66"/>
      <c r="C440" s="62"/>
      <c r="D440" s="62"/>
    </row>
    <row r="441">
      <c r="A441" s="62"/>
      <c r="B441" s="66"/>
      <c r="C441" s="62"/>
      <c r="D441" s="62"/>
    </row>
    <row r="442">
      <c r="A442" s="62"/>
      <c r="B442" s="66"/>
      <c r="C442" s="62"/>
      <c r="D442" s="62"/>
    </row>
    <row r="443">
      <c r="A443" s="62"/>
      <c r="B443" s="66"/>
      <c r="C443" s="62"/>
      <c r="D443" s="62"/>
    </row>
    <row r="444">
      <c r="A444" s="62"/>
      <c r="B444" s="66"/>
      <c r="C444" s="62"/>
      <c r="D444" s="62"/>
    </row>
    <row r="445">
      <c r="A445" s="62"/>
      <c r="B445" s="66"/>
      <c r="C445" s="62"/>
      <c r="D445" s="62"/>
    </row>
    <row r="446">
      <c r="A446" s="62"/>
      <c r="B446" s="66"/>
      <c r="C446" s="62"/>
      <c r="D446" s="62"/>
    </row>
    <row r="447">
      <c r="A447" s="62"/>
      <c r="B447" s="66"/>
      <c r="C447" s="62"/>
      <c r="D447" s="62"/>
    </row>
    <row r="448">
      <c r="A448" s="62"/>
      <c r="B448" s="66"/>
      <c r="C448" s="62"/>
      <c r="D448" s="62"/>
    </row>
    <row r="449">
      <c r="A449" s="62"/>
      <c r="B449" s="66"/>
      <c r="C449" s="62"/>
      <c r="D449" s="62"/>
    </row>
    <row r="450">
      <c r="A450" s="62"/>
      <c r="B450" s="66"/>
      <c r="C450" s="62"/>
      <c r="D450" s="62"/>
    </row>
    <row r="451">
      <c r="A451" s="62"/>
      <c r="B451" s="66"/>
      <c r="C451" s="62"/>
      <c r="D451" s="62"/>
    </row>
    <row r="452">
      <c r="A452" s="62"/>
      <c r="B452" s="66"/>
      <c r="C452" s="62"/>
      <c r="D452" s="62"/>
    </row>
    <row r="453">
      <c r="A453" s="62"/>
      <c r="B453" s="66"/>
      <c r="C453" s="62"/>
      <c r="D453" s="62"/>
    </row>
    <row r="454">
      <c r="A454" s="62"/>
      <c r="B454" s="66"/>
      <c r="C454" s="62"/>
      <c r="D454" s="62"/>
    </row>
    <row r="455">
      <c r="A455" s="62"/>
      <c r="B455" s="66"/>
      <c r="C455" s="62"/>
      <c r="D455" s="62"/>
    </row>
    <row r="456">
      <c r="A456" s="62"/>
      <c r="B456" s="66"/>
      <c r="C456" s="62"/>
      <c r="D456" s="62"/>
    </row>
    <row r="457">
      <c r="A457" s="62"/>
      <c r="B457" s="66"/>
      <c r="C457" s="62"/>
      <c r="D457" s="62"/>
    </row>
    <row r="458">
      <c r="A458" s="62"/>
      <c r="B458" s="66"/>
      <c r="C458" s="62"/>
      <c r="D458" s="62"/>
    </row>
    <row r="459">
      <c r="A459" s="62"/>
      <c r="B459" s="66"/>
      <c r="C459" s="62"/>
      <c r="D459" s="62"/>
    </row>
    <row r="460">
      <c r="A460" s="62"/>
      <c r="B460" s="66"/>
      <c r="C460" s="62"/>
      <c r="D460" s="62"/>
    </row>
    <row r="461">
      <c r="A461" s="62"/>
      <c r="B461" s="66"/>
      <c r="C461" s="62"/>
      <c r="D461" s="62"/>
    </row>
    <row r="462">
      <c r="A462" s="62"/>
      <c r="B462" s="66"/>
      <c r="C462" s="62"/>
      <c r="D462" s="62"/>
    </row>
    <row r="463">
      <c r="A463" s="62"/>
      <c r="B463" s="66"/>
      <c r="C463" s="62"/>
      <c r="D463" s="62"/>
    </row>
    <row r="464">
      <c r="A464" s="62"/>
      <c r="B464" s="66"/>
      <c r="C464" s="62"/>
      <c r="D464" s="62"/>
    </row>
    <row r="465">
      <c r="A465" s="62"/>
      <c r="B465" s="66"/>
      <c r="C465" s="62"/>
      <c r="D465" s="62"/>
    </row>
    <row r="466">
      <c r="A466" s="62"/>
      <c r="B466" s="66"/>
      <c r="C466" s="62"/>
      <c r="D466" s="62"/>
    </row>
    <row r="467">
      <c r="A467" s="62"/>
      <c r="B467" s="66"/>
      <c r="C467" s="62"/>
      <c r="D467" s="62"/>
    </row>
    <row r="468">
      <c r="A468" s="62"/>
      <c r="B468" s="66"/>
      <c r="C468" s="62"/>
      <c r="D468" s="62"/>
    </row>
    <row r="469">
      <c r="A469" s="62"/>
      <c r="B469" s="66"/>
      <c r="C469" s="62"/>
      <c r="D469" s="62"/>
    </row>
    <row r="470">
      <c r="A470" s="62"/>
      <c r="B470" s="66"/>
      <c r="C470" s="62"/>
      <c r="D470" s="62"/>
    </row>
    <row r="471">
      <c r="A471" s="62"/>
      <c r="B471" s="66"/>
      <c r="C471" s="62"/>
      <c r="D471" s="62"/>
    </row>
    <row r="472">
      <c r="A472" s="62"/>
      <c r="B472" s="66"/>
      <c r="C472" s="62"/>
      <c r="D472" s="62"/>
    </row>
    <row r="473">
      <c r="A473" s="62"/>
      <c r="B473" s="66"/>
      <c r="C473" s="62"/>
      <c r="D473" s="62"/>
    </row>
    <row r="474">
      <c r="A474" s="62"/>
      <c r="B474" s="66"/>
      <c r="C474" s="62"/>
      <c r="D474" s="62"/>
    </row>
    <row r="475">
      <c r="A475" s="62"/>
      <c r="B475" s="66"/>
      <c r="C475" s="62"/>
      <c r="D475" s="62"/>
    </row>
    <row r="476">
      <c r="A476" s="62"/>
      <c r="B476" s="66"/>
      <c r="C476" s="62"/>
      <c r="D476" s="62"/>
    </row>
    <row r="477">
      <c r="A477" s="62"/>
      <c r="B477" s="66"/>
      <c r="C477" s="62"/>
      <c r="D477" s="62"/>
    </row>
    <row r="478">
      <c r="A478" s="62"/>
      <c r="B478" s="66"/>
      <c r="C478" s="62"/>
      <c r="D478" s="62"/>
    </row>
    <row r="479">
      <c r="A479" s="62"/>
      <c r="B479" s="66"/>
      <c r="C479" s="62"/>
      <c r="D479" s="62"/>
    </row>
    <row r="480">
      <c r="A480" s="62"/>
      <c r="B480" s="66"/>
      <c r="C480" s="62"/>
      <c r="D480" s="62"/>
    </row>
    <row r="481">
      <c r="A481" s="62"/>
      <c r="B481" s="66"/>
      <c r="C481" s="62"/>
      <c r="D481" s="62"/>
    </row>
    <row r="482">
      <c r="A482" s="62"/>
      <c r="B482" s="66"/>
      <c r="C482" s="62"/>
      <c r="D482" s="62"/>
    </row>
    <row r="483">
      <c r="A483" s="62"/>
      <c r="B483" s="66"/>
      <c r="C483" s="62"/>
      <c r="D483" s="62"/>
    </row>
    <row r="484">
      <c r="A484" s="62"/>
      <c r="B484" s="66"/>
      <c r="C484" s="62"/>
      <c r="D484" s="62"/>
    </row>
    <row r="485">
      <c r="A485" s="62"/>
      <c r="B485" s="66"/>
      <c r="C485" s="62"/>
      <c r="D485" s="62"/>
    </row>
    <row r="486">
      <c r="A486" s="62"/>
      <c r="B486" s="66"/>
      <c r="C486" s="62"/>
      <c r="D486" s="62"/>
    </row>
    <row r="487">
      <c r="A487" s="62"/>
      <c r="B487" s="66"/>
      <c r="C487" s="62"/>
      <c r="D487" s="62"/>
    </row>
    <row r="488">
      <c r="A488" s="62"/>
      <c r="B488" s="66"/>
      <c r="C488" s="62"/>
      <c r="D488" s="62"/>
    </row>
    <row r="489">
      <c r="A489" s="62"/>
      <c r="B489" s="66"/>
      <c r="C489" s="62"/>
      <c r="D489" s="62"/>
    </row>
    <row r="490">
      <c r="A490" s="62"/>
      <c r="B490" s="66"/>
      <c r="C490" s="62"/>
      <c r="D490" s="62"/>
    </row>
    <row r="491">
      <c r="A491" s="62"/>
      <c r="B491" s="66"/>
      <c r="C491" s="62"/>
      <c r="D491" s="62"/>
    </row>
    <row r="492">
      <c r="A492" s="62"/>
      <c r="B492" s="66"/>
      <c r="C492" s="62"/>
      <c r="D492" s="62"/>
    </row>
    <row r="493">
      <c r="A493" s="62"/>
      <c r="B493" s="66"/>
      <c r="C493" s="62"/>
      <c r="D493" s="62"/>
    </row>
    <row r="494">
      <c r="A494" s="62"/>
      <c r="B494" s="66"/>
      <c r="C494" s="62"/>
      <c r="D494" s="62"/>
    </row>
    <row r="495">
      <c r="A495" s="62"/>
      <c r="B495" s="66"/>
      <c r="C495" s="62"/>
      <c r="D495" s="62"/>
    </row>
    <row r="496">
      <c r="A496" s="62"/>
      <c r="B496" s="66"/>
      <c r="C496" s="62"/>
      <c r="D496" s="62"/>
    </row>
    <row r="497">
      <c r="A497" s="62"/>
      <c r="B497" s="66"/>
      <c r="C497" s="62"/>
      <c r="D497" s="62"/>
    </row>
    <row r="498">
      <c r="A498" s="62"/>
      <c r="B498" s="66"/>
      <c r="C498" s="62"/>
      <c r="D498" s="62"/>
    </row>
    <row r="499">
      <c r="A499" s="62"/>
      <c r="B499" s="66"/>
      <c r="C499" s="62"/>
      <c r="D499" s="62"/>
    </row>
    <row r="500">
      <c r="A500" s="62"/>
      <c r="B500" s="66"/>
      <c r="C500" s="62"/>
      <c r="D500" s="62"/>
    </row>
    <row r="501">
      <c r="A501" s="62"/>
      <c r="B501" s="66"/>
      <c r="C501" s="62"/>
      <c r="D501" s="62"/>
    </row>
    <row r="502">
      <c r="A502" s="62"/>
      <c r="B502" s="66"/>
      <c r="C502" s="62"/>
      <c r="D502" s="62"/>
    </row>
    <row r="503">
      <c r="A503" s="62"/>
      <c r="B503" s="66"/>
      <c r="C503" s="62"/>
      <c r="D503" s="62"/>
    </row>
    <row r="504">
      <c r="A504" s="62"/>
      <c r="B504" s="66"/>
      <c r="C504" s="62"/>
      <c r="D504" s="62"/>
    </row>
    <row r="505">
      <c r="A505" s="62"/>
      <c r="B505" s="66"/>
      <c r="C505" s="62"/>
      <c r="D505" s="62"/>
    </row>
    <row r="506">
      <c r="A506" s="62"/>
      <c r="B506" s="66"/>
      <c r="C506" s="62"/>
      <c r="D506" s="62"/>
    </row>
    <row r="507">
      <c r="A507" s="62"/>
      <c r="B507" s="66"/>
      <c r="C507" s="62"/>
      <c r="D507" s="62"/>
    </row>
    <row r="508">
      <c r="A508" s="62"/>
      <c r="B508" s="66"/>
      <c r="C508" s="62"/>
      <c r="D508" s="62"/>
    </row>
    <row r="509">
      <c r="A509" s="62"/>
      <c r="B509" s="66"/>
      <c r="C509" s="62"/>
      <c r="D509" s="62"/>
    </row>
    <row r="510">
      <c r="A510" s="62"/>
      <c r="B510" s="66"/>
      <c r="C510" s="62"/>
      <c r="D510" s="62"/>
    </row>
    <row r="511">
      <c r="A511" s="62"/>
      <c r="B511" s="66"/>
      <c r="C511" s="62"/>
      <c r="D511" s="62"/>
    </row>
    <row r="512">
      <c r="A512" s="62"/>
      <c r="B512" s="66"/>
      <c r="C512" s="62"/>
      <c r="D512" s="62"/>
    </row>
    <row r="513">
      <c r="A513" s="62"/>
      <c r="B513" s="66"/>
      <c r="C513" s="62"/>
      <c r="D513" s="62"/>
    </row>
    <row r="514">
      <c r="A514" s="62"/>
      <c r="B514" s="66"/>
      <c r="C514" s="62"/>
      <c r="D514" s="62"/>
    </row>
    <row r="515">
      <c r="A515" s="62"/>
      <c r="B515" s="66"/>
      <c r="C515" s="62"/>
      <c r="D515" s="62"/>
    </row>
    <row r="516">
      <c r="A516" s="62"/>
      <c r="B516" s="66"/>
      <c r="C516" s="62"/>
      <c r="D516" s="62"/>
    </row>
    <row r="517">
      <c r="A517" s="62"/>
      <c r="B517" s="66"/>
      <c r="C517" s="62"/>
      <c r="D517" s="62"/>
    </row>
    <row r="518">
      <c r="A518" s="62"/>
      <c r="B518" s="66"/>
      <c r="C518" s="62"/>
      <c r="D518" s="62"/>
    </row>
    <row r="519">
      <c r="A519" s="62"/>
      <c r="B519" s="66"/>
      <c r="C519" s="62"/>
      <c r="D519" s="62"/>
    </row>
    <row r="520">
      <c r="A520" s="62"/>
      <c r="B520" s="66"/>
      <c r="C520" s="62"/>
      <c r="D520" s="62"/>
    </row>
    <row r="521">
      <c r="A521" s="62"/>
      <c r="B521" s="66"/>
      <c r="C521" s="62"/>
      <c r="D521" s="62"/>
    </row>
    <row r="522">
      <c r="A522" s="62"/>
      <c r="B522" s="66"/>
      <c r="C522" s="62"/>
      <c r="D522" s="62"/>
    </row>
    <row r="523">
      <c r="A523" s="62"/>
      <c r="B523" s="66"/>
      <c r="C523" s="62"/>
      <c r="D523" s="62"/>
    </row>
    <row r="524">
      <c r="A524" s="62"/>
      <c r="B524" s="66"/>
      <c r="C524" s="62"/>
      <c r="D524" s="62"/>
    </row>
    <row r="525">
      <c r="A525" s="62"/>
      <c r="B525" s="66"/>
      <c r="C525" s="62"/>
      <c r="D525" s="62"/>
    </row>
    <row r="526">
      <c r="A526" s="62"/>
      <c r="B526" s="66"/>
      <c r="C526" s="62"/>
      <c r="D526" s="62"/>
    </row>
    <row r="527">
      <c r="A527" s="62"/>
      <c r="B527" s="66"/>
      <c r="C527" s="62"/>
      <c r="D527" s="62"/>
    </row>
    <row r="528">
      <c r="A528" s="62"/>
      <c r="B528" s="66"/>
      <c r="C528" s="62"/>
      <c r="D528" s="62"/>
    </row>
    <row r="529">
      <c r="A529" s="62"/>
      <c r="B529" s="66"/>
      <c r="C529" s="62"/>
      <c r="D529" s="62"/>
    </row>
    <row r="530">
      <c r="A530" s="62"/>
      <c r="B530" s="66"/>
      <c r="C530" s="62"/>
      <c r="D530" s="62"/>
    </row>
    <row r="531">
      <c r="A531" s="62"/>
      <c r="B531" s="66"/>
      <c r="C531" s="62"/>
      <c r="D531" s="62"/>
    </row>
    <row r="532">
      <c r="A532" s="62"/>
      <c r="B532" s="66"/>
      <c r="C532" s="62"/>
      <c r="D532" s="62"/>
    </row>
    <row r="533">
      <c r="A533" s="62"/>
      <c r="B533" s="66"/>
      <c r="C533" s="62"/>
      <c r="D533" s="62"/>
    </row>
    <row r="534">
      <c r="A534" s="62"/>
      <c r="B534" s="66"/>
      <c r="C534" s="62"/>
      <c r="D534" s="62"/>
    </row>
    <row r="535">
      <c r="A535" s="62"/>
      <c r="B535" s="66"/>
      <c r="C535" s="62"/>
      <c r="D535" s="62"/>
    </row>
    <row r="536">
      <c r="A536" s="62"/>
      <c r="B536" s="66"/>
      <c r="C536" s="62"/>
      <c r="D536" s="62"/>
    </row>
    <row r="537">
      <c r="A537" s="62"/>
      <c r="B537" s="66"/>
      <c r="C537" s="62"/>
      <c r="D537" s="62"/>
    </row>
    <row r="538">
      <c r="A538" s="62"/>
      <c r="B538" s="66"/>
      <c r="C538" s="62"/>
      <c r="D538" s="62"/>
    </row>
    <row r="539">
      <c r="A539" s="62"/>
      <c r="B539" s="66"/>
      <c r="C539" s="62"/>
      <c r="D539" s="62"/>
    </row>
    <row r="540">
      <c r="A540" s="62"/>
      <c r="B540" s="66"/>
      <c r="C540" s="62"/>
      <c r="D540" s="62"/>
    </row>
    <row r="541">
      <c r="A541" s="62"/>
      <c r="B541" s="66"/>
      <c r="C541" s="62"/>
      <c r="D541" s="62"/>
    </row>
    <row r="542">
      <c r="A542" s="62"/>
      <c r="B542" s="66"/>
      <c r="C542" s="62"/>
      <c r="D542" s="62"/>
    </row>
    <row r="543">
      <c r="A543" s="62"/>
      <c r="B543" s="66"/>
      <c r="C543" s="62"/>
      <c r="D543" s="62"/>
    </row>
    <row r="544">
      <c r="A544" s="62"/>
      <c r="B544" s="66"/>
      <c r="C544" s="62"/>
      <c r="D544" s="62"/>
    </row>
    <row r="545">
      <c r="A545" s="62"/>
      <c r="B545" s="66"/>
      <c r="C545" s="62"/>
      <c r="D545" s="62"/>
    </row>
    <row r="546">
      <c r="A546" s="62"/>
      <c r="B546" s="66"/>
      <c r="C546" s="62"/>
      <c r="D546" s="62"/>
    </row>
    <row r="547">
      <c r="A547" s="62"/>
      <c r="B547" s="66"/>
      <c r="C547" s="62"/>
      <c r="D547" s="62"/>
    </row>
    <row r="548">
      <c r="A548" s="62"/>
      <c r="B548" s="66"/>
      <c r="C548" s="62"/>
      <c r="D548" s="62"/>
    </row>
    <row r="549">
      <c r="A549" s="62"/>
      <c r="B549" s="66"/>
      <c r="C549" s="62"/>
      <c r="D549" s="62"/>
    </row>
    <row r="550">
      <c r="A550" s="62"/>
      <c r="B550" s="66"/>
      <c r="C550" s="62"/>
      <c r="D550" s="62"/>
    </row>
    <row r="551">
      <c r="A551" s="62"/>
      <c r="B551" s="66"/>
      <c r="C551" s="62"/>
      <c r="D551" s="62"/>
    </row>
    <row r="552">
      <c r="A552" s="62"/>
      <c r="B552" s="66"/>
      <c r="C552" s="62"/>
      <c r="D552" s="62"/>
    </row>
    <row r="553">
      <c r="A553" s="62"/>
      <c r="B553" s="66"/>
      <c r="C553" s="62"/>
      <c r="D553" s="62"/>
    </row>
    <row r="554">
      <c r="A554" s="62"/>
      <c r="B554" s="66"/>
      <c r="C554" s="62"/>
      <c r="D554" s="62"/>
    </row>
    <row r="555">
      <c r="A555" s="62"/>
      <c r="B555" s="66"/>
      <c r="C555" s="62"/>
      <c r="D555" s="62"/>
    </row>
    <row r="556">
      <c r="A556" s="62"/>
      <c r="B556" s="66"/>
      <c r="C556" s="62"/>
      <c r="D556" s="62"/>
    </row>
    <row r="557">
      <c r="A557" s="62"/>
      <c r="B557" s="66"/>
      <c r="C557" s="62"/>
      <c r="D557" s="62"/>
    </row>
    <row r="558">
      <c r="A558" s="62"/>
      <c r="B558" s="66"/>
      <c r="C558" s="62"/>
      <c r="D558" s="62"/>
    </row>
    <row r="559">
      <c r="A559" s="62"/>
      <c r="B559" s="66"/>
      <c r="C559" s="62"/>
      <c r="D559" s="62"/>
    </row>
    <row r="560">
      <c r="A560" s="62"/>
      <c r="B560" s="66"/>
      <c r="C560" s="62"/>
      <c r="D560" s="62"/>
    </row>
    <row r="561">
      <c r="A561" s="62"/>
      <c r="B561" s="66"/>
      <c r="C561" s="62"/>
      <c r="D561" s="62"/>
    </row>
    <row r="562">
      <c r="A562" s="62"/>
      <c r="B562" s="66"/>
      <c r="C562" s="62"/>
      <c r="D562" s="62"/>
    </row>
    <row r="563">
      <c r="A563" s="62"/>
      <c r="B563" s="66"/>
      <c r="C563" s="62"/>
      <c r="D563" s="62"/>
    </row>
    <row r="564">
      <c r="A564" s="62"/>
      <c r="B564" s="66"/>
      <c r="C564" s="62"/>
      <c r="D564" s="62"/>
    </row>
    <row r="565">
      <c r="A565" s="62"/>
      <c r="B565" s="66"/>
      <c r="C565" s="62"/>
      <c r="D565" s="62"/>
    </row>
    <row r="566">
      <c r="A566" s="62"/>
      <c r="B566" s="66"/>
      <c r="C566" s="62"/>
      <c r="D566" s="62"/>
    </row>
    <row r="567">
      <c r="A567" s="62"/>
      <c r="B567" s="66"/>
      <c r="C567" s="62"/>
      <c r="D567" s="62"/>
    </row>
    <row r="568">
      <c r="A568" s="62"/>
      <c r="B568" s="66"/>
      <c r="C568" s="62"/>
      <c r="D568" s="62"/>
    </row>
    <row r="569">
      <c r="A569" s="62"/>
      <c r="B569" s="66"/>
      <c r="C569" s="62"/>
      <c r="D569" s="62"/>
    </row>
    <row r="570">
      <c r="A570" s="62"/>
      <c r="B570" s="66"/>
      <c r="C570" s="62"/>
      <c r="D570" s="62"/>
    </row>
    <row r="571">
      <c r="A571" s="62"/>
      <c r="B571" s="66"/>
      <c r="C571" s="62"/>
      <c r="D571" s="62"/>
    </row>
    <row r="572">
      <c r="A572" s="62"/>
      <c r="B572" s="66"/>
      <c r="C572" s="62"/>
      <c r="D572" s="62"/>
    </row>
    <row r="573">
      <c r="A573" s="62"/>
      <c r="B573" s="66"/>
      <c r="C573" s="62"/>
      <c r="D573" s="62"/>
    </row>
    <row r="574">
      <c r="A574" s="62"/>
      <c r="B574" s="66"/>
      <c r="C574" s="62"/>
      <c r="D574" s="62"/>
    </row>
    <row r="575">
      <c r="A575" s="62"/>
      <c r="B575" s="66"/>
      <c r="C575" s="62"/>
      <c r="D575" s="62"/>
    </row>
    <row r="576">
      <c r="A576" s="62"/>
      <c r="B576" s="66"/>
      <c r="C576" s="62"/>
      <c r="D576" s="62"/>
    </row>
    <row r="577">
      <c r="A577" s="62"/>
      <c r="B577" s="66"/>
      <c r="C577" s="62"/>
      <c r="D577" s="62"/>
    </row>
    <row r="578">
      <c r="A578" s="62"/>
      <c r="B578" s="66"/>
      <c r="C578" s="62"/>
      <c r="D578" s="62"/>
    </row>
    <row r="579">
      <c r="A579" s="62"/>
      <c r="B579" s="66"/>
      <c r="C579" s="62"/>
      <c r="D579" s="62"/>
    </row>
    <row r="580">
      <c r="A580" s="62"/>
      <c r="B580" s="66"/>
      <c r="C580" s="62"/>
      <c r="D580" s="62"/>
    </row>
    <row r="581">
      <c r="A581" s="62"/>
      <c r="B581" s="66"/>
      <c r="C581" s="62"/>
      <c r="D581" s="62"/>
    </row>
    <row r="582">
      <c r="A582" s="62"/>
      <c r="B582" s="66"/>
      <c r="C582" s="62"/>
      <c r="D582" s="62"/>
    </row>
    <row r="583">
      <c r="A583" s="62"/>
      <c r="B583" s="66"/>
      <c r="C583" s="62"/>
      <c r="D583" s="62"/>
    </row>
    <row r="584">
      <c r="A584" s="62"/>
      <c r="B584" s="66"/>
      <c r="C584" s="62"/>
      <c r="D584" s="62"/>
    </row>
    <row r="585">
      <c r="A585" s="62"/>
      <c r="B585" s="66"/>
      <c r="C585" s="62"/>
      <c r="D585" s="62"/>
    </row>
    <row r="586">
      <c r="A586" s="62"/>
      <c r="B586" s="66"/>
      <c r="C586" s="62"/>
      <c r="D586" s="62"/>
    </row>
    <row r="587">
      <c r="A587" s="62"/>
      <c r="B587" s="66"/>
      <c r="C587" s="62"/>
      <c r="D587" s="62"/>
    </row>
    <row r="588">
      <c r="A588" s="62"/>
      <c r="B588" s="66"/>
      <c r="C588" s="62"/>
      <c r="D588" s="62"/>
    </row>
    <row r="589">
      <c r="A589" s="62"/>
      <c r="B589" s="66"/>
      <c r="C589" s="62"/>
      <c r="D589" s="62"/>
    </row>
    <row r="590">
      <c r="A590" s="62"/>
      <c r="B590" s="66"/>
      <c r="C590" s="62"/>
      <c r="D590" s="62"/>
    </row>
    <row r="591">
      <c r="A591" s="62"/>
      <c r="B591" s="66"/>
      <c r="C591" s="62"/>
      <c r="D591" s="62"/>
    </row>
    <row r="592">
      <c r="A592" s="62"/>
      <c r="B592" s="66"/>
      <c r="C592" s="62"/>
      <c r="D592" s="62"/>
    </row>
    <row r="593">
      <c r="A593" s="62"/>
      <c r="B593" s="66"/>
      <c r="C593" s="62"/>
      <c r="D593" s="62"/>
    </row>
    <row r="594">
      <c r="A594" s="62"/>
      <c r="B594" s="66"/>
      <c r="C594" s="62"/>
      <c r="D594" s="62"/>
    </row>
    <row r="595">
      <c r="A595" s="62"/>
      <c r="B595" s="66"/>
      <c r="C595" s="62"/>
      <c r="D595" s="62"/>
    </row>
    <row r="596">
      <c r="A596" s="62"/>
      <c r="B596" s="66"/>
      <c r="C596" s="62"/>
      <c r="D596" s="62"/>
    </row>
    <row r="597">
      <c r="A597" s="62"/>
      <c r="B597" s="66"/>
      <c r="C597" s="62"/>
      <c r="D597" s="62"/>
    </row>
    <row r="598">
      <c r="A598" s="62"/>
      <c r="B598" s="66"/>
      <c r="C598" s="62"/>
      <c r="D598" s="62"/>
    </row>
    <row r="599">
      <c r="A599" s="62"/>
      <c r="B599" s="66"/>
      <c r="C599" s="62"/>
      <c r="D599" s="62"/>
    </row>
    <row r="600">
      <c r="A600" s="62"/>
      <c r="B600" s="66"/>
      <c r="C600" s="62"/>
      <c r="D600" s="62"/>
    </row>
    <row r="601">
      <c r="A601" s="62"/>
      <c r="B601" s="66"/>
      <c r="C601" s="62"/>
      <c r="D601" s="62"/>
    </row>
    <row r="602">
      <c r="A602" s="62"/>
      <c r="B602" s="66"/>
      <c r="C602" s="62"/>
      <c r="D602" s="62"/>
    </row>
    <row r="603">
      <c r="A603" s="62"/>
      <c r="B603" s="66"/>
      <c r="C603" s="62"/>
      <c r="D603" s="62"/>
    </row>
    <row r="604">
      <c r="A604" s="62"/>
      <c r="B604" s="66"/>
      <c r="C604" s="62"/>
      <c r="D604" s="62"/>
    </row>
    <row r="605">
      <c r="A605" s="62"/>
      <c r="B605" s="66"/>
      <c r="C605" s="62"/>
      <c r="D605" s="62"/>
    </row>
    <row r="606">
      <c r="A606" s="62"/>
      <c r="B606" s="66"/>
      <c r="C606" s="62"/>
      <c r="D606" s="62"/>
    </row>
    <row r="607">
      <c r="A607" s="62"/>
      <c r="B607" s="66"/>
      <c r="C607" s="62"/>
      <c r="D607" s="62"/>
    </row>
    <row r="608">
      <c r="A608" s="62"/>
      <c r="B608" s="66"/>
      <c r="C608" s="62"/>
      <c r="D608" s="62"/>
    </row>
    <row r="609">
      <c r="A609" s="62"/>
      <c r="B609" s="66"/>
      <c r="C609" s="62"/>
      <c r="D609" s="62"/>
    </row>
    <row r="610">
      <c r="A610" s="62"/>
      <c r="B610" s="66"/>
      <c r="C610" s="62"/>
      <c r="D610" s="62"/>
    </row>
    <row r="611">
      <c r="A611" s="62"/>
      <c r="B611" s="66"/>
      <c r="C611" s="62"/>
      <c r="D611" s="62"/>
    </row>
    <row r="612">
      <c r="A612" s="62"/>
      <c r="B612" s="66"/>
      <c r="C612" s="62"/>
      <c r="D612" s="62"/>
    </row>
    <row r="613">
      <c r="A613" s="62"/>
      <c r="B613" s="66"/>
      <c r="C613" s="62"/>
      <c r="D613" s="62"/>
    </row>
    <row r="614">
      <c r="A614" s="62"/>
      <c r="B614" s="66"/>
      <c r="C614" s="62"/>
      <c r="D614" s="62"/>
    </row>
    <row r="615">
      <c r="A615" s="62"/>
      <c r="B615" s="66"/>
      <c r="C615" s="62"/>
      <c r="D615" s="62"/>
    </row>
    <row r="616">
      <c r="A616" s="62"/>
      <c r="B616" s="66"/>
      <c r="C616" s="62"/>
      <c r="D616" s="62"/>
    </row>
    <row r="617">
      <c r="A617" s="62"/>
      <c r="B617" s="66"/>
      <c r="C617" s="62"/>
      <c r="D617" s="62"/>
    </row>
    <row r="618">
      <c r="A618" s="62"/>
      <c r="B618" s="66"/>
      <c r="C618" s="62"/>
      <c r="D618" s="62"/>
    </row>
    <row r="619">
      <c r="A619" s="62"/>
      <c r="B619" s="66"/>
      <c r="C619" s="62"/>
      <c r="D619" s="62"/>
    </row>
    <row r="620">
      <c r="A620" s="62"/>
      <c r="B620" s="66"/>
      <c r="C620" s="62"/>
      <c r="D620" s="62"/>
    </row>
    <row r="621">
      <c r="A621" s="62"/>
      <c r="B621" s="66"/>
      <c r="C621" s="62"/>
      <c r="D621" s="62"/>
    </row>
    <row r="622">
      <c r="A622" s="62"/>
      <c r="B622" s="66"/>
      <c r="C622" s="62"/>
      <c r="D622" s="62"/>
    </row>
    <row r="623">
      <c r="A623" s="62"/>
      <c r="B623" s="66"/>
      <c r="C623" s="62"/>
      <c r="D623" s="62"/>
    </row>
    <row r="624">
      <c r="A624" s="62"/>
      <c r="B624" s="66"/>
      <c r="C624" s="62"/>
      <c r="D624" s="62"/>
    </row>
    <row r="625">
      <c r="A625" s="62"/>
      <c r="B625" s="66"/>
      <c r="C625" s="62"/>
      <c r="D625" s="62"/>
    </row>
    <row r="626">
      <c r="A626" s="62"/>
      <c r="B626" s="66"/>
      <c r="C626" s="62"/>
      <c r="D626" s="62"/>
    </row>
    <row r="627">
      <c r="A627" s="62"/>
      <c r="B627" s="66"/>
      <c r="C627" s="62"/>
      <c r="D627" s="62"/>
    </row>
    <row r="628">
      <c r="A628" s="62"/>
      <c r="B628" s="66"/>
      <c r="C628" s="62"/>
      <c r="D628" s="62"/>
    </row>
    <row r="629">
      <c r="A629" s="62"/>
      <c r="B629" s="66"/>
      <c r="C629" s="62"/>
      <c r="D629" s="62"/>
    </row>
    <row r="630">
      <c r="A630" s="62"/>
      <c r="B630" s="66"/>
      <c r="C630" s="62"/>
      <c r="D630" s="62"/>
    </row>
    <row r="631">
      <c r="A631" s="62"/>
      <c r="B631" s="66"/>
      <c r="C631" s="62"/>
      <c r="D631" s="62"/>
    </row>
    <row r="632">
      <c r="A632" s="62"/>
      <c r="B632" s="66"/>
      <c r="C632" s="62"/>
      <c r="D632" s="62"/>
    </row>
    <row r="633">
      <c r="A633" s="62"/>
      <c r="B633" s="66"/>
      <c r="C633" s="62"/>
      <c r="D633" s="62"/>
    </row>
    <row r="634">
      <c r="A634" s="62"/>
      <c r="B634" s="66"/>
      <c r="C634" s="62"/>
      <c r="D634" s="62"/>
    </row>
    <row r="635">
      <c r="A635" s="62"/>
      <c r="B635" s="66"/>
      <c r="C635" s="62"/>
      <c r="D635" s="62"/>
    </row>
    <row r="636">
      <c r="A636" s="62"/>
      <c r="B636" s="66"/>
      <c r="C636" s="62"/>
      <c r="D636" s="62"/>
    </row>
    <row r="637">
      <c r="A637" s="62"/>
      <c r="B637" s="66"/>
      <c r="C637" s="62"/>
      <c r="D637" s="62"/>
    </row>
    <row r="638">
      <c r="A638" s="62"/>
      <c r="B638" s="66"/>
      <c r="C638" s="62"/>
      <c r="D638" s="62"/>
    </row>
    <row r="639">
      <c r="A639" s="62"/>
      <c r="B639" s="66"/>
      <c r="C639" s="62"/>
      <c r="D639" s="62"/>
    </row>
    <row r="640">
      <c r="A640" s="62"/>
      <c r="B640" s="66"/>
      <c r="C640" s="62"/>
      <c r="D640" s="62"/>
    </row>
    <row r="641">
      <c r="A641" s="62"/>
      <c r="B641" s="66"/>
      <c r="C641" s="62"/>
      <c r="D641" s="62"/>
    </row>
    <row r="642">
      <c r="A642" s="62"/>
      <c r="B642" s="66"/>
      <c r="C642" s="62"/>
      <c r="D642" s="62"/>
    </row>
    <row r="643">
      <c r="A643" s="62"/>
      <c r="B643" s="66"/>
      <c r="C643" s="62"/>
      <c r="D643" s="62"/>
    </row>
    <row r="644">
      <c r="A644" s="62"/>
      <c r="B644" s="66"/>
      <c r="C644" s="62"/>
      <c r="D644" s="62"/>
    </row>
    <row r="645">
      <c r="A645" s="62"/>
      <c r="B645" s="66"/>
      <c r="C645" s="62"/>
      <c r="D645" s="62"/>
    </row>
    <row r="646">
      <c r="A646" s="62"/>
      <c r="B646" s="66"/>
      <c r="C646" s="62"/>
      <c r="D646" s="62"/>
    </row>
    <row r="647">
      <c r="A647" s="62"/>
      <c r="B647" s="66"/>
      <c r="C647" s="62"/>
      <c r="D647" s="62"/>
    </row>
    <row r="648">
      <c r="A648" s="62"/>
      <c r="B648" s="66"/>
      <c r="C648" s="62"/>
      <c r="D648" s="62"/>
    </row>
    <row r="649">
      <c r="A649" s="62"/>
      <c r="B649" s="66"/>
      <c r="C649" s="62"/>
      <c r="D649" s="62"/>
    </row>
    <row r="650">
      <c r="A650" s="62"/>
      <c r="B650" s="66"/>
      <c r="C650" s="62"/>
      <c r="D650" s="62"/>
    </row>
    <row r="651">
      <c r="A651" s="62"/>
      <c r="B651" s="66"/>
      <c r="C651" s="62"/>
      <c r="D651" s="62"/>
    </row>
    <row r="652">
      <c r="A652" s="62"/>
      <c r="B652" s="66"/>
      <c r="C652" s="62"/>
      <c r="D652" s="62"/>
    </row>
    <row r="653">
      <c r="A653" s="62"/>
      <c r="B653" s="66"/>
      <c r="C653" s="62"/>
      <c r="D653" s="62"/>
    </row>
    <row r="654">
      <c r="A654" s="62"/>
      <c r="B654" s="66"/>
      <c r="C654" s="62"/>
      <c r="D654" s="62"/>
    </row>
    <row r="655">
      <c r="A655" s="62"/>
      <c r="B655" s="66"/>
      <c r="C655" s="62"/>
      <c r="D655" s="62"/>
    </row>
    <row r="656">
      <c r="A656" s="62"/>
      <c r="B656" s="66"/>
      <c r="C656" s="62"/>
      <c r="D656" s="62"/>
    </row>
    <row r="657">
      <c r="A657" s="62"/>
      <c r="B657" s="66"/>
      <c r="C657" s="62"/>
      <c r="D657" s="62"/>
    </row>
    <row r="658">
      <c r="A658" s="62"/>
      <c r="B658" s="66"/>
      <c r="C658" s="62"/>
      <c r="D658" s="62"/>
    </row>
    <row r="659">
      <c r="A659" s="62"/>
      <c r="B659" s="66"/>
      <c r="C659" s="62"/>
      <c r="D659" s="62"/>
    </row>
    <row r="660">
      <c r="A660" s="62"/>
      <c r="B660" s="66"/>
      <c r="C660" s="62"/>
      <c r="D660" s="62"/>
    </row>
    <row r="661">
      <c r="A661" s="62"/>
      <c r="B661" s="66"/>
      <c r="C661" s="62"/>
      <c r="D661" s="62"/>
    </row>
    <row r="662">
      <c r="A662" s="62"/>
      <c r="B662" s="66"/>
      <c r="C662" s="62"/>
      <c r="D662" s="62"/>
    </row>
    <row r="663">
      <c r="A663" s="62"/>
      <c r="B663" s="66"/>
      <c r="C663" s="62"/>
      <c r="D663" s="62"/>
    </row>
    <row r="664">
      <c r="A664" s="62"/>
      <c r="B664" s="66"/>
      <c r="C664" s="62"/>
      <c r="D664" s="62"/>
    </row>
    <row r="665">
      <c r="A665" s="62"/>
      <c r="B665" s="66"/>
      <c r="C665" s="62"/>
      <c r="D665" s="62"/>
    </row>
    <row r="666">
      <c r="A666" s="62"/>
      <c r="B666" s="66"/>
      <c r="C666" s="62"/>
      <c r="D666" s="62"/>
    </row>
    <row r="667">
      <c r="A667" s="62"/>
      <c r="B667" s="66"/>
      <c r="C667" s="62"/>
      <c r="D667" s="62"/>
    </row>
    <row r="668">
      <c r="A668" s="62"/>
      <c r="B668" s="66"/>
      <c r="C668" s="62"/>
      <c r="D668" s="62"/>
    </row>
    <row r="669">
      <c r="A669" s="62"/>
      <c r="B669" s="66"/>
      <c r="C669" s="62"/>
      <c r="D669" s="62"/>
    </row>
    <row r="670">
      <c r="A670" s="62"/>
      <c r="B670" s="66"/>
      <c r="C670" s="62"/>
      <c r="D670" s="62"/>
    </row>
    <row r="671">
      <c r="A671" s="62"/>
      <c r="B671" s="66"/>
      <c r="C671" s="62"/>
      <c r="D671" s="62"/>
    </row>
    <row r="672">
      <c r="A672" s="62"/>
      <c r="B672" s="66"/>
      <c r="C672" s="62"/>
      <c r="D672" s="62"/>
    </row>
    <row r="673">
      <c r="A673" s="62"/>
      <c r="B673" s="66"/>
      <c r="C673" s="62"/>
      <c r="D673" s="62"/>
    </row>
    <row r="674">
      <c r="A674" s="62"/>
      <c r="B674" s="66"/>
      <c r="C674" s="62"/>
      <c r="D674" s="62"/>
    </row>
    <row r="675">
      <c r="A675" s="62"/>
      <c r="B675" s="66"/>
      <c r="C675" s="62"/>
      <c r="D675" s="62"/>
    </row>
    <row r="676">
      <c r="A676" s="62"/>
      <c r="B676" s="66"/>
      <c r="C676" s="62"/>
      <c r="D676" s="62"/>
    </row>
    <row r="677">
      <c r="A677" s="62"/>
      <c r="B677" s="66"/>
      <c r="C677" s="62"/>
      <c r="D677" s="62"/>
    </row>
    <row r="678">
      <c r="A678" s="62"/>
      <c r="B678" s="66"/>
      <c r="C678" s="62"/>
      <c r="D678" s="62"/>
    </row>
    <row r="679">
      <c r="A679" s="62"/>
      <c r="B679" s="66"/>
      <c r="C679" s="62"/>
      <c r="D679" s="62"/>
    </row>
    <row r="680">
      <c r="A680" s="62"/>
      <c r="B680" s="66"/>
      <c r="C680" s="62"/>
      <c r="D680" s="62"/>
    </row>
    <row r="681">
      <c r="A681" s="62"/>
      <c r="B681" s="66"/>
      <c r="C681" s="62"/>
      <c r="D681" s="62"/>
    </row>
    <row r="682">
      <c r="A682" s="62"/>
      <c r="B682" s="66"/>
      <c r="C682" s="62"/>
      <c r="D682" s="62"/>
    </row>
    <row r="683">
      <c r="A683" s="62"/>
      <c r="B683" s="66"/>
      <c r="C683" s="62"/>
      <c r="D683" s="62"/>
    </row>
    <row r="684">
      <c r="A684" s="62"/>
      <c r="B684" s="66"/>
      <c r="C684" s="62"/>
      <c r="D684" s="62"/>
    </row>
    <row r="685">
      <c r="A685" s="62"/>
      <c r="B685" s="66"/>
      <c r="C685" s="62"/>
      <c r="D685" s="62"/>
    </row>
    <row r="686">
      <c r="A686" s="62"/>
      <c r="B686" s="66"/>
      <c r="C686" s="62"/>
      <c r="D686" s="62"/>
    </row>
    <row r="687">
      <c r="A687" s="62"/>
      <c r="B687" s="66"/>
      <c r="C687" s="62"/>
      <c r="D687" s="62"/>
    </row>
    <row r="688">
      <c r="A688" s="62"/>
      <c r="B688" s="66"/>
      <c r="C688" s="62"/>
      <c r="D688" s="62"/>
    </row>
    <row r="689">
      <c r="A689" s="62"/>
      <c r="B689" s="66"/>
      <c r="C689" s="62"/>
      <c r="D689" s="62"/>
    </row>
    <row r="690">
      <c r="A690" s="62"/>
      <c r="B690" s="66"/>
      <c r="C690" s="62"/>
      <c r="D690" s="62"/>
    </row>
    <row r="691">
      <c r="A691" s="62"/>
      <c r="B691" s="66"/>
      <c r="C691" s="62"/>
      <c r="D691" s="62"/>
    </row>
    <row r="692">
      <c r="A692" s="62"/>
      <c r="B692" s="66"/>
      <c r="C692" s="62"/>
      <c r="D692" s="62"/>
    </row>
    <row r="693">
      <c r="A693" s="62"/>
      <c r="B693" s="66"/>
      <c r="C693" s="62"/>
      <c r="D693" s="62"/>
    </row>
    <row r="694">
      <c r="A694" s="62"/>
      <c r="B694" s="66"/>
      <c r="C694" s="62"/>
      <c r="D694" s="62"/>
    </row>
    <row r="695">
      <c r="A695" s="62"/>
      <c r="B695" s="66"/>
      <c r="C695" s="62"/>
      <c r="D695" s="62"/>
    </row>
    <row r="696">
      <c r="A696" s="62"/>
      <c r="B696" s="66"/>
      <c r="C696" s="62"/>
      <c r="D696" s="62"/>
    </row>
    <row r="697">
      <c r="A697" s="62"/>
      <c r="B697" s="66"/>
      <c r="C697" s="62"/>
      <c r="D697" s="62"/>
    </row>
    <row r="698">
      <c r="A698" s="62"/>
      <c r="B698" s="66"/>
      <c r="C698" s="62"/>
      <c r="D698" s="62"/>
    </row>
    <row r="699">
      <c r="A699" s="62"/>
      <c r="B699" s="66"/>
      <c r="C699" s="62"/>
      <c r="D699" s="62"/>
    </row>
    <row r="700">
      <c r="A700" s="62"/>
      <c r="B700" s="66"/>
      <c r="C700" s="62"/>
      <c r="D700" s="62"/>
    </row>
    <row r="701">
      <c r="A701" s="62"/>
      <c r="B701" s="66"/>
      <c r="C701" s="62"/>
      <c r="D701" s="62"/>
    </row>
    <row r="702">
      <c r="A702" s="62"/>
      <c r="B702" s="66"/>
      <c r="C702" s="62"/>
      <c r="D702" s="62"/>
    </row>
    <row r="703">
      <c r="A703" s="62"/>
      <c r="B703" s="66"/>
      <c r="C703" s="62"/>
      <c r="D703" s="62"/>
    </row>
    <row r="704">
      <c r="A704" s="62"/>
      <c r="B704" s="66"/>
      <c r="C704" s="62"/>
      <c r="D704" s="62"/>
    </row>
    <row r="705">
      <c r="A705" s="62"/>
      <c r="B705" s="66"/>
      <c r="C705" s="62"/>
      <c r="D705" s="62"/>
    </row>
    <row r="706">
      <c r="A706" s="62"/>
      <c r="B706" s="66"/>
      <c r="C706" s="62"/>
      <c r="D706" s="62"/>
    </row>
    <row r="707">
      <c r="A707" s="62"/>
      <c r="B707" s="66"/>
      <c r="C707" s="62"/>
      <c r="D707" s="62"/>
    </row>
    <row r="708">
      <c r="A708" s="62"/>
      <c r="B708" s="66"/>
      <c r="C708" s="62"/>
      <c r="D708" s="62"/>
    </row>
    <row r="709">
      <c r="A709" s="62"/>
      <c r="B709" s="66"/>
      <c r="C709" s="62"/>
      <c r="D709" s="62"/>
    </row>
    <row r="710">
      <c r="A710" s="62"/>
      <c r="B710" s="66"/>
      <c r="C710" s="62"/>
      <c r="D710" s="62"/>
    </row>
    <row r="711">
      <c r="A711" s="62"/>
      <c r="B711" s="66"/>
      <c r="C711" s="62"/>
      <c r="D711" s="62"/>
    </row>
    <row r="712">
      <c r="A712" s="62"/>
      <c r="B712" s="66"/>
      <c r="C712" s="62"/>
      <c r="D712" s="62"/>
    </row>
    <row r="713">
      <c r="A713" s="62"/>
      <c r="B713" s="66"/>
      <c r="C713" s="62"/>
      <c r="D713" s="62"/>
    </row>
    <row r="714">
      <c r="A714" s="62"/>
      <c r="B714" s="66"/>
      <c r="C714" s="62"/>
      <c r="D714" s="62"/>
    </row>
    <row r="715">
      <c r="A715" s="62"/>
      <c r="B715" s="66"/>
      <c r="C715" s="62"/>
      <c r="D715" s="62"/>
    </row>
    <row r="716">
      <c r="A716" s="62"/>
      <c r="B716" s="66"/>
      <c r="C716" s="62"/>
      <c r="D716" s="62"/>
    </row>
    <row r="717">
      <c r="A717" s="62"/>
      <c r="B717" s="66"/>
      <c r="C717" s="62"/>
      <c r="D717" s="62"/>
    </row>
    <row r="718">
      <c r="A718" s="62"/>
      <c r="B718" s="66"/>
      <c r="C718" s="62"/>
      <c r="D718" s="62"/>
    </row>
    <row r="719">
      <c r="A719" s="62"/>
      <c r="B719" s="66"/>
      <c r="C719" s="62"/>
      <c r="D719" s="62"/>
    </row>
    <row r="720">
      <c r="A720" s="62"/>
      <c r="B720" s="66"/>
      <c r="C720" s="62"/>
      <c r="D720" s="62"/>
    </row>
    <row r="721">
      <c r="A721" s="62"/>
      <c r="B721" s="66"/>
      <c r="C721" s="62"/>
      <c r="D721" s="62"/>
    </row>
    <row r="722">
      <c r="A722" s="62"/>
      <c r="B722" s="66"/>
      <c r="C722" s="62"/>
      <c r="D722" s="62"/>
    </row>
    <row r="723">
      <c r="A723" s="62"/>
      <c r="B723" s="66"/>
      <c r="C723" s="62"/>
      <c r="D723" s="62"/>
    </row>
    <row r="724">
      <c r="A724" s="62"/>
      <c r="B724" s="66"/>
      <c r="C724" s="62"/>
      <c r="D724" s="62"/>
    </row>
    <row r="725">
      <c r="A725" s="62"/>
      <c r="B725" s="66"/>
      <c r="C725" s="62"/>
      <c r="D725" s="62"/>
    </row>
    <row r="726">
      <c r="A726" s="62"/>
      <c r="B726" s="66"/>
      <c r="C726" s="62"/>
      <c r="D726" s="62"/>
    </row>
    <row r="727">
      <c r="A727" s="62"/>
      <c r="B727" s="66"/>
      <c r="C727" s="62"/>
      <c r="D727" s="62"/>
    </row>
    <row r="728">
      <c r="A728" s="62"/>
      <c r="B728" s="66"/>
      <c r="C728" s="62"/>
      <c r="D728" s="62"/>
    </row>
    <row r="729">
      <c r="A729" s="62"/>
      <c r="B729" s="66"/>
      <c r="C729" s="62"/>
      <c r="D729" s="62"/>
    </row>
    <row r="730">
      <c r="A730" s="62"/>
      <c r="B730" s="66"/>
      <c r="C730" s="62"/>
      <c r="D730" s="62"/>
    </row>
    <row r="731">
      <c r="A731" s="62"/>
      <c r="B731" s="66"/>
      <c r="C731" s="62"/>
      <c r="D731" s="62"/>
    </row>
    <row r="732">
      <c r="A732" s="62"/>
      <c r="B732" s="66"/>
      <c r="C732" s="62"/>
      <c r="D732" s="62"/>
    </row>
    <row r="733">
      <c r="A733" s="62"/>
      <c r="B733" s="66"/>
      <c r="C733" s="62"/>
      <c r="D733" s="62"/>
    </row>
    <row r="734">
      <c r="A734" s="62"/>
      <c r="B734" s="66"/>
      <c r="C734" s="62"/>
      <c r="D734" s="62"/>
    </row>
    <row r="735">
      <c r="A735" s="62"/>
      <c r="B735" s="66"/>
      <c r="C735" s="62"/>
      <c r="D735" s="62"/>
    </row>
    <row r="736">
      <c r="A736" s="62"/>
      <c r="B736" s="66"/>
      <c r="C736" s="62"/>
      <c r="D736" s="62"/>
    </row>
    <row r="737">
      <c r="A737" s="62"/>
      <c r="B737" s="66"/>
      <c r="C737" s="62"/>
      <c r="D737" s="62"/>
    </row>
    <row r="738">
      <c r="A738" s="62"/>
      <c r="B738" s="66"/>
      <c r="C738" s="62"/>
      <c r="D738" s="62"/>
    </row>
    <row r="739">
      <c r="A739" s="62"/>
      <c r="B739" s="66"/>
      <c r="C739" s="62"/>
      <c r="D739" s="62"/>
    </row>
    <row r="740">
      <c r="A740" s="62"/>
      <c r="B740" s="66"/>
      <c r="C740" s="62"/>
      <c r="D740" s="62"/>
    </row>
    <row r="741">
      <c r="A741" s="62"/>
      <c r="B741" s="66"/>
      <c r="C741" s="62"/>
      <c r="D741" s="62"/>
    </row>
    <row r="742">
      <c r="A742" s="62"/>
      <c r="B742" s="66"/>
      <c r="C742" s="62"/>
      <c r="D742" s="62"/>
    </row>
    <row r="743">
      <c r="A743" s="62"/>
      <c r="B743" s="66"/>
      <c r="C743" s="62"/>
      <c r="D743" s="62"/>
    </row>
    <row r="744">
      <c r="A744" s="62"/>
      <c r="B744" s="66"/>
      <c r="C744" s="62"/>
      <c r="D744" s="62"/>
    </row>
    <row r="745">
      <c r="A745" s="62"/>
      <c r="B745" s="66"/>
      <c r="C745" s="62"/>
      <c r="D745" s="62"/>
    </row>
    <row r="746">
      <c r="A746" s="62"/>
      <c r="B746" s="66"/>
      <c r="C746" s="62"/>
      <c r="D746" s="62"/>
    </row>
    <row r="747">
      <c r="A747" s="62"/>
      <c r="B747" s="66"/>
      <c r="C747" s="62"/>
      <c r="D747" s="62"/>
    </row>
    <row r="748">
      <c r="A748" s="62"/>
      <c r="B748" s="66"/>
      <c r="C748" s="62"/>
      <c r="D748" s="62"/>
    </row>
    <row r="749">
      <c r="A749" s="62"/>
      <c r="B749" s="66"/>
      <c r="C749" s="62"/>
      <c r="D749" s="62"/>
    </row>
    <row r="750">
      <c r="A750" s="62"/>
      <c r="B750" s="66"/>
      <c r="C750" s="62"/>
      <c r="D750" s="62"/>
    </row>
    <row r="751">
      <c r="A751" s="62"/>
      <c r="B751" s="66"/>
      <c r="C751" s="62"/>
      <c r="D751" s="62"/>
    </row>
    <row r="752">
      <c r="A752" s="62"/>
      <c r="B752" s="66"/>
      <c r="C752" s="62"/>
      <c r="D752" s="62"/>
    </row>
    <row r="753">
      <c r="A753" s="62"/>
      <c r="B753" s="66"/>
      <c r="C753" s="62"/>
      <c r="D753" s="62"/>
    </row>
    <row r="754">
      <c r="A754" s="62"/>
      <c r="B754" s="66"/>
      <c r="C754" s="62"/>
      <c r="D754" s="62"/>
    </row>
    <row r="755">
      <c r="A755" s="62"/>
      <c r="B755" s="66"/>
      <c r="C755" s="62"/>
      <c r="D755" s="62"/>
    </row>
    <row r="756">
      <c r="A756" s="62"/>
      <c r="B756" s="66"/>
      <c r="C756" s="62"/>
      <c r="D756" s="62"/>
    </row>
    <row r="757">
      <c r="A757" s="62"/>
      <c r="B757" s="66"/>
      <c r="C757" s="62"/>
      <c r="D757" s="62"/>
    </row>
    <row r="758">
      <c r="A758" s="62"/>
      <c r="B758" s="66"/>
      <c r="C758" s="62"/>
      <c r="D758" s="62"/>
    </row>
    <row r="759">
      <c r="A759" s="62"/>
      <c r="B759" s="66"/>
      <c r="C759" s="62"/>
      <c r="D759" s="62"/>
    </row>
    <row r="760">
      <c r="A760" s="62"/>
      <c r="B760" s="66"/>
      <c r="C760" s="62"/>
      <c r="D760" s="62"/>
    </row>
    <row r="761">
      <c r="A761" s="62"/>
      <c r="B761" s="66"/>
      <c r="C761" s="62"/>
      <c r="D761" s="62"/>
    </row>
    <row r="762">
      <c r="A762" s="62"/>
      <c r="B762" s="66"/>
      <c r="C762" s="62"/>
      <c r="D762" s="62"/>
    </row>
    <row r="763">
      <c r="A763" s="62"/>
      <c r="B763" s="66"/>
      <c r="C763" s="62"/>
      <c r="D763" s="62"/>
    </row>
    <row r="764">
      <c r="A764" s="62"/>
      <c r="B764" s="66"/>
      <c r="C764" s="62"/>
      <c r="D764" s="62"/>
    </row>
    <row r="765">
      <c r="A765" s="62"/>
      <c r="B765" s="66"/>
      <c r="C765" s="62"/>
      <c r="D765" s="62"/>
    </row>
    <row r="766">
      <c r="A766" s="62"/>
      <c r="B766" s="66"/>
      <c r="C766" s="62"/>
      <c r="D766" s="62"/>
    </row>
    <row r="767">
      <c r="A767" s="62"/>
      <c r="B767" s="66"/>
      <c r="C767" s="62"/>
      <c r="D767" s="62"/>
    </row>
    <row r="768">
      <c r="A768" s="62"/>
      <c r="B768" s="66"/>
      <c r="C768" s="62"/>
      <c r="D768" s="62"/>
    </row>
    <row r="769">
      <c r="A769" s="62"/>
      <c r="B769" s="66"/>
      <c r="C769" s="62"/>
      <c r="D769" s="62"/>
    </row>
    <row r="770">
      <c r="A770" s="62"/>
      <c r="B770" s="66"/>
      <c r="C770" s="62"/>
      <c r="D770" s="62"/>
    </row>
    <row r="771">
      <c r="A771" s="62"/>
      <c r="B771" s="66"/>
      <c r="C771" s="62"/>
      <c r="D771" s="62"/>
    </row>
    <row r="772">
      <c r="A772" s="62"/>
      <c r="B772" s="66"/>
      <c r="C772" s="62"/>
      <c r="D772" s="62"/>
    </row>
    <row r="773">
      <c r="A773" s="62"/>
      <c r="B773" s="66"/>
      <c r="C773" s="62"/>
      <c r="D773" s="62"/>
    </row>
    <row r="774">
      <c r="A774" s="62"/>
      <c r="B774" s="66"/>
      <c r="C774" s="62"/>
      <c r="D774" s="62"/>
    </row>
    <row r="775">
      <c r="A775" s="62"/>
      <c r="B775" s="66"/>
      <c r="C775" s="62"/>
      <c r="D775" s="62"/>
    </row>
    <row r="776">
      <c r="A776" s="62"/>
      <c r="B776" s="66"/>
      <c r="C776" s="62"/>
      <c r="D776" s="62"/>
    </row>
    <row r="777">
      <c r="A777" s="62"/>
      <c r="B777" s="66"/>
      <c r="C777" s="62"/>
      <c r="D777" s="62"/>
    </row>
    <row r="778">
      <c r="A778" s="62"/>
      <c r="B778" s="66"/>
      <c r="C778" s="62"/>
      <c r="D778" s="62"/>
    </row>
    <row r="779">
      <c r="A779" s="62"/>
      <c r="B779" s="66"/>
      <c r="C779" s="62"/>
      <c r="D779" s="62"/>
    </row>
    <row r="780">
      <c r="A780" s="62"/>
      <c r="B780" s="66"/>
      <c r="C780" s="62"/>
      <c r="D780" s="62"/>
    </row>
    <row r="781">
      <c r="A781" s="62"/>
      <c r="B781" s="66"/>
      <c r="C781" s="62"/>
      <c r="D781" s="62"/>
    </row>
    <row r="782">
      <c r="A782" s="62"/>
      <c r="B782" s="66"/>
      <c r="C782" s="62"/>
      <c r="D782" s="62"/>
    </row>
    <row r="783">
      <c r="A783" s="62"/>
      <c r="B783" s="66"/>
      <c r="C783" s="62"/>
      <c r="D783" s="62"/>
    </row>
    <row r="784">
      <c r="A784" s="62"/>
      <c r="B784" s="66"/>
      <c r="C784" s="62"/>
      <c r="D784" s="62"/>
    </row>
    <row r="785">
      <c r="A785" s="62"/>
      <c r="B785" s="66"/>
      <c r="C785" s="62"/>
      <c r="D785" s="62"/>
    </row>
    <row r="786">
      <c r="A786" s="62"/>
      <c r="B786" s="66"/>
      <c r="C786" s="62"/>
      <c r="D786" s="62"/>
    </row>
    <row r="787">
      <c r="A787" s="62"/>
      <c r="B787" s="66"/>
      <c r="C787" s="62"/>
      <c r="D787" s="62"/>
    </row>
    <row r="788">
      <c r="A788" s="62"/>
      <c r="B788" s="66"/>
      <c r="C788" s="62"/>
      <c r="D788" s="62"/>
    </row>
    <row r="789">
      <c r="A789" s="62"/>
      <c r="B789" s="66"/>
      <c r="C789" s="62"/>
      <c r="D789" s="62"/>
    </row>
    <row r="790">
      <c r="A790" s="62"/>
      <c r="B790" s="66"/>
      <c r="C790" s="62"/>
      <c r="D790" s="62"/>
    </row>
    <row r="791">
      <c r="A791" s="62"/>
      <c r="B791" s="66"/>
      <c r="C791" s="62"/>
      <c r="D791" s="62"/>
    </row>
    <row r="792">
      <c r="A792" s="62"/>
      <c r="B792" s="66"/>
      <c r="C792" s="62"/>
      <c r="D792" s="62"/>
    </row>
    <row r="793">
      <c r="A793" s="62"/>
      <c r="B793" s="66"/>
      <c r="C793" s="62"/>
      <c r="D793" s="62"/>
    </row>
    <row r="794">
      <c r="A794" s="62"/>
      <c r="B794" s="66"/>
      <c r="C794" s="62"/>
      <c r="D794" s="62"/>
    </row>
    <row r="795">
      <c r="A795" s="62"/>
      <c r="B795" s="66"/>
      <c r="C795" s="62"/>
      <c r="D795" s="62"/>
    </row>
    <row r="796">
      <c r="A796" s="62"/>
      <c r="B796" s="66"/>
      <c r="C796" s="62"/>
      <c r="D796" s="62"/>
    </row>
    <row r="797">
      <c r="A797" s="62"/>
      <c r="B797" s="66"/>
      <c r="C797" s="62"/>
      <c r="D797" s="62"/>
    </row>
    <row r="798">
      <c r="A798" s="62"/>
      <c r="B798" s="66"/>
      <c r="C798" s="62"/>
      <c r="D798" s="62"/>
    </row>
    <row r="799">
      <c r="A799" s="62"/>
      <c r="B799" s="66"/>
      <c r="C799" s="62"/>
      <c r="D799" s="62"/>
    </row>
    <row r="800">
      <c r="A800" s="62"/>
      <c r="B800" s="66"/>
      <c r="C800" s="62"/>
      <c r="D800" s="62"/>
    </row>
    <row r="801">
      <c r="A801" s="62"/>
      <c r="B801" s="66"/>
      <c r="C801" s="62"/>
      <c r="D801" s="62"/>
    </row>
    <row r="802">
      <c r="A802" s="62"/>
      <c r="B802" s="66"/>
      <c r="C802" s="62"/>
      <c r="D802" s="62"/>
    </row>
    <row r="803">
      <c r="A803" s="62"/>
      <c r="B803" s="66"/>
      <c r="C803" s="62"/>
      <c r="D803" s="62"/>
    </row>
    <row r="804">
      <c r="A804" s="62"/>
      <c r="B804" s="66"/>
      <c r="C804" s="62"/>
      <c r="D804" s="62"/>
    </row>
    <row r="805">
      <c r="A805" s="62"/>
      <c r="B805" s="66"/>
      <c r="C805" s="62"/>
      <c r="D805" s="62"/>
    </row>
    <row r="806">
      <c r="A806" s="62"/>
      <c r="B806" s="66"/>
      <c r="C806" s="62"/>
      <c r="D806" s="62"/>
    </row>
    <row r="807">
      <c r="A807" s="62"/>
      <c r="B807" s="66"/>
      <c r="C807" s="62"/>
      <c r="D807" s="62"/>
    </row>
    <row r="808">
      <c r="A808" s="62"/>
      <c r="B808" s="66"/>
      <c r="C808" s="62"/>
      <c r="D808" s="62"/>
    </row>
    <row r="809">
      <c r="A809" s="62"/>
      <c r="B809" s="66"/>
      <c r="C809" s="62"/>
      <c r="D809" s="62"/>
    </row>
    <row r="810">
      <c r="A810" s="62"/>
      <c r="B810" s="66"/>
      <c r="C810" s="62"/>
      <c r="D810" s="62"/>
    </row>
    <row r="811">
      <c r="A811" s="62"/>
      <c r="B811" s="66"/>
      <c r="C811" s="62"/>
      <c r="D811" s="62"/>
    </row>
    <row r="812">
      <c r="A812" s="62"/>
      <c r="B812" s="66"/>
      <c r="C812" s="62"/>
      <c r="D812" s="62"/>
    </row>
    <row r="813">
      <c r="A813" s="62"/>
      <c r="B813" s="66"/>
      <c r="C813" s="62"/>
      <c r="D813" s="62"/>
    </row>
    <row r="814">
      <c r="A814" s="62"/>
      <c r="B814" s="66"/>
      <c r="C814" s="62"/>
      <c r="D814" s="62"/>
    </row>
    <row r="815">
      <c r="A815" s="62"/>
      <c r="B815" s="66"/>
      <c r="C815" s="62"/>
      <c r="D815" s="62"/>
    </row>
    <row r="816">
      <c r="A816" s="62"/>
      <c r="B816" s="66"/>
      <c r="C816" s="62"/>
      <c r="D816" s="62"/>
    </row>
    <row r="817">
      <c r="A817" s="62"/>
      <c r="B817" s="66"/>
      <c r="C817" s="62"/>
      <c r="D817" s="62"/>
    </row>
    <row r="818">
      <c r="A818" s="62"/>
      <c r="B818" s="66"/>
      <c r="C818" s="62"/>
      <c r="D818" s="62"/>
    </row>
    <row r="819">
      <c r="A819" s="62"/>
      <c r="B819" s="66"/>
      <c r="C819" s="62"/>
      <c r="D819" s="62"/>
    </row>
    <row r="820">
      <c r="A820" s="62"/>
      <c r="B820" s="66"/>
      <c r="C820" s="62"/>
      <c r="D820" s="62"/>
    </row>
    <row r="821">
      <c r="A821" s="62"/>
      <c r="B821" s="66"/>
      <c r="C821" s="62"/>
      <c r="D821" s="62"/>
    </row>
    <row r="822">
      <c r="A822" s="62"/>
      <c r="B822" s="66"/>
      <c r="C822" s="62"/>
      <c r="D822" s="62"/>
    </row>
    <row r="823">
      <c r="A823" s="62"/>
      <c r="B823" s="66"/>
      <c r="C823" s="62"/>
      <c r="D823" s="62"/>
    </row>
    <row r="824">
      <c r="A824" s="62"/>
      <c r="B824" s="66"/>
      <c r="C824" s="62"/>
      <c r="D824" s="62"/>
    </row>
    <row r="825">
      <c r="A825" s="62"/>
      <c r="B825" s="66"/>
      <c r="C825" s="62"/>
      <c r="D825" s="62"/>
    </row>
    <row r="826">
      <c r="A826" s="62"/>
      <c r="B826" s="66"/>
      <c r="C826" s="62"/>
      <c r="D826" s="62"/>
    </row>
    <row r="827">
      <c r="A827" s="62"/>
      <c r="B827" s="66"/>
      <c r="C827" s="62"/>
      <c r="D827" s="62"/>
    </row>
    <row r="828">
      <c r="A828" s="62"/>
      <c r="B828" s="66"/>
      <c r="C828" s="62"/>
      <c r="D828" s="62"/>
    </row>
    <row r="829">
      <c r="A829" s="62"/>
      <c r="B829" s="66"/>
      <c r="C829" s="62"/>
      <c r="D829" s="62"/>
    </row>
    <row r="830">
      <c r="A830" s="62"/>
      <c r="B830" s="66"/>
      <c r="C830" s="62"/>
      <c r="D830" s="62"/>
    </row>
    <row r="831">
      <c r="A831" s="62"/>
      <c r="B831" s="66"/>
      <c r="C831" s="62"/>
      <c r="D831" s="62"/>
    </row>
    <row r="832">
      <c r="A832" s="62"/>
      <c r="B832" s="66"/>
      <c r="C832" s="62"/>
      <c r="D832" s="62"/>
    </row>
    <row r="833">
      <c r="A833" s="62"/>
      <c r="B833" s="66"/>
      <c r="C833" s="62"/>
      <c r="D833" s="62"/>
    </row>
    <row r="834">
      <c r="A834" s="62"/>
      <c r="B834" s="66"/>
      <c r="C834" s="62"/>
      <c r="D834" s="62"/>
    </row>
    <row r="835">
      <c r="A835" s="62"/>
      <c r="B835" s="66"/>
      <c r="C835" s="62"/>
      <c r="D835" s="62"/>
    </row>
    <row r="836">
      <c r="A836" s="62"/>
      <c r="B836" s="66"/>
      <c r="C836" s="62"/>
      <c r="D836" s="62"/>
    </row>
    <row r="837">
      <c r="A837" s="62"/>
      <c r="B837" s="66"/>
      <c r="C837" s="62"/>
      <c r="D837" s="62"/>
    </row>
    <row r="838">
      <c r="A838" s="62"/>
      <c r="B838" s="66"/>
      <c r="C838" s="62"/>
      <c r="D838" s="62"/>
    </row>
    <row r="839">
      <c r="A839" s="62"/>
      <c r="B839" s="66"/>
      <c r="C839" s="62"/>
      <c r="D839" s="62"/>
    </row>
    <row r="840">
      <c r="A840" s="62"/>
      <c r="B840" s="66"/>
      <c r="C840" s="62"/>
      <c r="D840" s="62"/>
    </row>
    <row r="841">
      <c r="A841" s="62"/>
      <c r="B841" s="66"/>
      <c r="C841" s="62"/>
      <c r="D841" s="62"/>
    </row>
    <row r="842">
      <c r="A842" s="62"/>
      <c r="B842" s="66"/>
      <c r="C842" s="62"/>
      <c r="D842" s="62"/>
    </row>
    <row r="843">
      <c r="A843" s="62"/>
      <c r="B843" s="66"/>
      <c r="C843" s="62"/>
      <c r="D843" s="62"/>
    </row>
    <row r="844">
      <c r="A844" s="62"/>
      <c r="B844" s="66"/>
      <c r="C844" s="62"/>
      <c r="D844" s="62"/>
    </row>
    <row r="845">
      <c r="A845" s="62"/>
      <c r="B845" s="66"/>
      <c r="C845" s="62"/>
      <c r="D845" s="62"/>
    </row>
    <row r="846">
      <c r="A846" s="62"/>
      <c r="B846" s="66"/>
      <c r="C846" s="62"/>
      <c r="D846" s="62"/>
    </row>
    <row r="847">
      <c r="A847" s="62"/>
      <c r="B847" s="66"/>
      <c r="C847" s="62"/>
      <c r="D847" s="62"/>
    </row>
    <row r="848">
      <c r="A848" s="62"/>
      <c r="B848" s="66"/>
      <c r="C848" s="62"/>
      <c r="D848" s="62"/>
    </row>
    <row r="849">
      <c r="A849" s="62"/>
      <c r="B849" s="66"/>
      <c r="C849" s="62"/>
      <c r="D849" s="62"/>
    </row>
    <row r="850">
      <c r="A850" s="62"/>
      <c r="B850" s="66"/>
      <c r="C850" s="62"/>
      <c r="D850" s="62"/>
    </row>
    <row r="851">
      <c r="A851" s="62"/>
      <c r="B851" s="66"/>
      <c r="C851" s="62"/>
      <c r="D851" s="62"/>
    </row>
    <row r="852">
      <c r="A852" s="62"/>
      <c r="B852" s="66"/>
      <c r="C852" s="62"/>
      <c r="D852" s="62"/>
    </row>
    <row r="853">
      <c r="A853" s="62"/>
      <c r="B853" s="66"/>
      <c r="C853" s="62"/>
      <c r="D853" s="62"/>
    </row>
    <row r="854">
      <c r="A854" s="62"/>
      <c r="B854" s="66"/>
      <c r="C854" s="62"/>
      <c r="D854" s="62"/>
    </row>
    <row r="855">
      <c r="A855" s="62"/>
      <c r="B855" s="66"/>
      <c r="C855" s="62"/>
      <c r="D855" s="62"/>
    </row>
    <row r="856">
      <c r="A856" s="62"/>
      <c r="B856" s="66"/>
      <c r="C856" s="62"/>
      <c r="D856" s="62"/>
    </row>
    <row r="857">
      <c r="A857" s="62"/>
      <c r="B857" s="66"/>
      <c r="C857" s="62"/>
      <c r="D857" s="62"/>
    </row>
    <row r="858">
      <c r="A858" s="62"/>
      <c r="B858" s="66"/>
      <c r="C858" s="62"/>
      <c r="D858" s="62"/>
    </row>
    <row r="859">
      <c r="A859" s="62"/>
      <c r="B859" s="66"/>
      <c r="C859" s="62"/>
      <c r="D859" s="62"/>
    </row>
    <row r="860">
      <c r="A860" s="62"/>
      <c r="B860" s="66"/>
      <c r="C860" s="62"/>
      <c r="D860" s="62"/>
    </row>
    <row r="861">
      <c r="A861" s="62"/>
      <c r="B861" s="66"/>
      <c r="C861" s="62"/>
      <c r="D861" s="62"/>
    </row>
    <row r="862">
      <c r="A862" s="62"/>
      <c r="B862" s="66"/>
      <c r="C862" s="62"/>
      <c r="D862" s="62"/>
    </row>
    <row r="863">
      <c r="A863" s="62"/>
      <c r="B863" s="66"/>
      <c r="C863" s="62"/>
      <c r="D863" s="62"/>
    </row>
    <row r="864">
      <c r="A864" s="62"/>
      <c r="B864" s="66"/>
      <c r="C864" s="62"/>
      <c r="D864" s="62"/>
    </row>
    <row r="865">
      <c r="A865" s="62"/>
      <c r="B865" s="66"/>
      <c r="C865" s="62"/>
      <c r="D865" s="62"/>
    </row>
    <row r="866">
      <c r="A866" s="62"/>
      <c r="B866" s="66"/>
      <c r="C866" s="62"/>
      <c r="D866" s="62"/>
    </row>
    <row r="867">
      <c r="A867" s="62"/>
      <c r="B867" s="66"/>
      <c r="C867" s="62"/>
      <c r="D867" s="62"/>
    </row>
    <row r="868">
      <c r="A868" s="62"/>
      <c r="B868" s="66"/>
      <c r="C868" s="62"/>
      <c r="D868" s="62"/>
    </row>
    <row r="869">
      <c r="A869" s="62"/>
      <c r="B869" s="66"/>
      <c r="C869" s="62"/>
      <c r="D869" s="62"/>
    </row>
    <row r="870">
      <c r="A870" s="62"/>
      <c r="B870" s="66"/>
      <c r="C870" s="62"/>
      <c r="D870" s="62"/>
    </row>
    <row r="871">
      <c r="A871" s="62"/>
      <c r="B871" s="66"/>
      <c r="C871" s="62"/>
      <c r="D871" s="62"/>
    </row>
    <row r="872">
      <c r="A872" s="62"/>
      <c r="B872" s="66"/>
      <c r="C872" s="62"/>
      <c r="D872" s="62"/>
    </row>
    <row r="873">
      <c r="A873" s="62"/>
      <c r="B873" s="66"/>
      <c r="C873" s="62"/>
      <c r="D873" s="62"/>
    </row>
    <row r="874">
      <c r="A874" s="62"/>
      <c r="B874" s="66"/>
      <c r="C874" s="62"/>
      <c r="D874" s="62"/>
    </row>
    <row r="875">
      <c r="A875" s="62"/>
      <c r="B875" s="66"/>
      <c r="C875" s="62"/>
      <c r="D875" s="62"/>
    </row>
    <row r="876">
      <c r="A876" s="62"/>
      <c r="B876" s="66"/>
      <c r="C876" s="62"/>
      <c r="D876" s="62"/>
    </row>
    <row r="877">
      <c r="A877" s="62"/>
      <c r="B877" s="66"/>
      <c r="C877" s="62"/>
      <c r="D877" s="62"/>
    </row>
    <row r="878">
      <c r="A878" s="62"/>
      <c r="B878" s="66"/>
      <c r="C878" s="62"/>
      <c r="D878" s="62"/>
    </row>
    <row r="879">
      <c r="A879" s="62"/>
      <c r="B879" s="66"/>
      <c r="C879" s="62"/>
      <c r="D879" s="62"/>
    </row>
    <row r="880">
      <c r="A880" s="62"/>
      <c r="B880" s="66"/>
      <c r="C880" s="62"/>
      <c r="D880" s="62"/>
    </row>
    <row r="881">
      <c r="A881" s="62"/>
      <c r="B881" s="66"/>
      <c r="C881" s="62"/>
      <c r="D881" s="62"/>
    </row>
    <row r="882">
      <c r="A882" s="62"/>
      <c r="B882" s="66"/>
      <c r="C882" s="62"/>
      <c r="D882" s="62"/>
    </row>
    <row r="883">
      <c r="A883" s="62"/>
      <c r="B883" s="66"/>
      <c r="C883" s="62"/>
      <c r="D883" s="62"/>
    </row>
    <row r="884">
      <c r="A884" s="62"/>
      <c r="B884" s="66"/>
      <c r="C884" s="62"/>
      <c r="D884" s="62"/>
    </row>
    <row r="885">
      <c r="A885" s="62"/>
      <c r="B885" s="66"/>
      <c r="C885" s="62"/>
      <c r="D885" s="62"/>
    </row>
    <row r="886">
      <c r="A886" s="62"/>
      <c r="B886" s="66"/>
      <c r="C886" s="62"/>
      <c r="D886" s="62"/>
    </row>
    <row r="887">
      <c r="A887" s="62"/>
      <c r="B887" s="66"/>
      <c r="C887" s="62"/>
      <c r="D887" s="62"/>
    </row>
    <row r="888">
      <c r="A888" s="62"/>
      <c r="B888" s="66"/>
      <c r="C888" s="62"/>
      <c r="D888" s="62"/>
    </row>
    <row r="889">
      <c r="A889" s="62"/>
      <c r="B889" s="66"/>
      <c r="C889" s="62"/>
      <c r="D889" s="62"/>
    </row>
    <row r="890">
      <c r="A890" s="62"/>
      <c r="B890" s="66"/>
      <c r="C890" s="62"/>
      <c r="D890" s="62"/>
    </row>
    <row r="891">
      <c r="A891" s="62"/>
      <c r="B891" s="66"/>
      <c r="C891" s="62"/>
      <c r="D891" s="62"/>
    </row>
    <row r="892">
      <c r="A892" s="62"/>
      <c r="B892" s="66"/>
      <c r="C892" s="62"/>
      <c r="D892" s="62"/>
    </row>
    <row r="893">
      <c r="A893" s="62"/>
      <c r="B893" s="66"/>
      <c r="C893" s="62"/>
      <c r="D893" s="62"/>
    </row>
    <row r="894">
      <c r="A894" s="62"/>
      <c r="B894" s="66"/>
      <c r="C894" s="62"/>
      <c r="D894" s="62"/>
    </row>
    <row r="895">
      <c r="A895" s="62"/>
      <c r="B895" s="66"/>
      <c r="C895" s="62"/>
      <c r="D895" s="62"/>
    </row>
    <row r="896">
      <c r="A896" s="62"/>
      <c r="B896" s="66"/>
      <c r="C896" s="62"/>
      <c r="D896" s="62"/>
    </row>
    <row r="897">
      <c r="A897" s="62"/>
      <c r="B897" s="66"/>
      <c r="C897" s="62"/>
      <c r="D897" s="62"/>
    </row>
    <row r="898">
      <c r="A898" s="62"/>
      <c r="B898" s="66"/>
      <c r="C898" s="62"/>
      <c r="D898" s="62"/>
    </row>
    <row r="899">
      <c r="A899" s="62"/>
      <c r="B899" s="66"/>
      <c r="C899" s="62"/>
      <c r="D899" s="62"/>
    </row>
    <row r="900">
      <c r="A900" s="62"/>
      <c r="B900" s="66"/>
      <c r="C900" s="62"/>
      <c r="D900" s="62"/>
    </row>
    <row r="901">
      <c r="A901" s="62"/>
      <c r="B901" s="66"/>
      <c r="C901" s="62"/>
      <c r="D901" s="62"/>
    </row>
    <row r="902">
      <c r="A902" s="62"/>
      <c r="B902" s="66"/>
      <c r="C902" s="62"/>
      <c r="D902" s="62"/>
    </row>
    <row r="903">
      <c r="A903" s="62"/>
      <c r="B903" s="66"/>
      <c r="C903" s="62"/>
      <c r="D903" s="62"/>
    </row>
    <row r="904">
      <c r="A904" s="62"/>
      <c r="B904" s="66"/>
      <c r="C904" s="62"/>
      <c r="D904" s="62"/>
    </row>
    <row r="905">
      <c r="A905" s="62"/>
      <c r="B905" s="66"/>
      <c r="C905" s="62"/>
      <c r="D905" s="62"/>
    </row>
    <row r="906">
      <c r="A906" s="62"/>
      <c r="B906" s="66"/>
      <c r="C906" s="62"/>
      <c r="D906" s="62"/>
    </row>
    <row r="907">
      <c r="A907" s="62"/>
      <c r="B907" s="66"/>
      <c r="C907" s="62"/>
      <c r="D907" s="62"/>
    </row>
    <row r="908">
      <c r="A908" s="62"/>
      <c r="B908" s="66"/>
      <c r="C908" s="62"/>
      <c r="D908" s="62"/>
    </row>
    <row r="909">
      <c r="A909" s="62"/>
      <c r="B909" s="66"/>
      <c r="C909" s="62"/>
      <c r="D909" s="62"/>
    </row>
    <row r="910">
      <c r="A910" s="62"/>
      <c r="B910" s="66"/>
      <c r="C910" s="62"/>
      <c r="D910" s="62"/>
    </row>
    <row r="911">
      <c r="A911" s="62"/>
      <c r="B911" s="66"/>
      <c r="C911" s="62"/>
      <c r="D911" s="62"/>
    </row>
    <row r="912">
      <c r="A912" s="62"/>
      <c r="B912" s="66"/>
      <c r="C912" s="62"/>
      <c r="D912" s="62"/>
    </row>
    <row r="913">
      <c r="A913" s="62"/>
      <c r="B913" s="66"/>
      <c r="C913" s="62"/>
      <c r="D913" s="62"/>
    </row>
    <row r="914">
      <c r="A914" s="62"/>
      <c r="B914" s="66"/>
      <c r="C914" s="62"/>
      <c r="D914" s="62"/>
    </row>
    <row r="915">
      <c r="A915" s="62"/>
      <c r="B915" s="66"/>
      <c r="C915" s="62"/>
      <c r="D915" s="62"/>
    </row>
    <row r="916">
      <c r="A916" s="62"/>
      <c r="B916" s="66"/>
      <c r="C916" s="62"/>
      <c r="D916" s="62"/>
    </row>
    <row r="917">
      <c r="A917" s="62"/>
      <c r="B917" s="66"/>
      <c r="C917" s="62"/>
      <c r="D917" s="62"/>
    </row>
    <row r="918">
      <c r="A918" s="62"/>
      <c r="B918" s="66"/>
      <c r="C918" s="62"/>
      <c r="D918" s="62"/>
    </row>
    <row r="919">
      <c r="A919" s="62"/>
      <c r="B919" s="66"/>
      <c r="C919" s="62"/>
      <c r="D919" s="62"/>
    </row>
    <row r="920">
      <c r="A920" s="62"/>
      <c r="B920" s="66"/>
      <c r="C920" s="62"/>
      <c r="D920" s="62"/>
    </row>
    <row r="921">
      <c r="A921" s="62"/>
      <c r="B921" s="66"/>
      <c r="C921" s="62"/>
      <c r="D921" s="62"/>
    </row>
    <row r="922">
      <c r="A922" s="62"/>
      <c r="B922" s="66"/>
      <c r="C922" s="62"/>
      <c r="D922" s="62"/>
    </row>
    <row r="923">
      <c r="A923" s="62"/>
      <c r="B923" s="66"/>
      <c r="C923" s="62"/>
      <c r="D923" s="62"/>
    </row>
    <row r="924">
      <c r="A924" s="62"/>
      <c r="B924" s="66"/>
      <c r="C924" s="62"/>
      <c r="D924" s="62"/>
    </row>
    <row r="925">
      <c r="A925" s="62"/>
      <c r="B925" s="66"/>
      <c r="C925" s="62"/>
      <c r="D925" s="62"/>
    </row>
    <row r="926">
      <c r="A926" s="62"/>
      <c r="B926" s="66"/>
      <c r="C926" s="62"/>
      <c r="D926" s="62"/>
    </row>
    <row r="927">
      <c r="A927" s="62"/>
      <c r="B927" s="66"/>
      <c r="C927" s="62"/>
      <c r="D927" s="62"/>
    </row>
    <row r="928">
      <c r="A928" s="62"/>
      <c r="B928" s="66"/>
      <c r="C928" s="62"/>
      <c r="D928" s="62"/>
    </row>
    <row r="929">
      <c r="A929" s="62"/>
      <c r="B929" s="66"/>
      <c r="C929" s="62"/>
      <c r="D929" s="62"/>
    </row>
    <row r="930">
      <c r="A930" s="62"/>
      <c r="B930" s="66"/>
      <c r="C930" s="62"/>
      <c r="D930" s="62"/>
    </row>
    <row r="931">
      <c r="A931" s="62"/>
      <c r="B931" s="66"/>
      <c r="C931" s="62"/>
      <c r="D931" s="62"/>
    </row>
    <row r="932">
      <c r="A932" s="62"/>
      <c r="B932" s="66"/>
      <c r="C932" s="62"/>
      <c r="D932" s="62"/>
    </row>
    <row r="933">
      <c r="A933" s="62"/>
      <c r="B933" s="66"/>
      <c r="C933" s="62"/>
      <c r="D933" s="62"/>
    </row>
    <row r="934">
      <c r="A934" s="62"/>
      <c r="B934" s="66"/>
      <c r="C934" s="62"/>
      <c r="D934" s="62"/>
    </row>
    <row r="935">
      <c r="A935" s="62"/>
      <c r="B935" s="66"/>
      <c r="C935" s="62"/>
      <c r="D935" s="62"/>
    </row>
    <row r="936">
      <c r="A936" s="62"/>
      <c r="B936" s="66"/>
      <c r="C936" s="62"/>
      <c r="D936" s="62"/>
    </row>
    <row r="937">
      <c r="A937" s="62"/>
      <c r="B937" s="66"/>
      <c r="C937" s="62"/>
      <c r="D937" s="62"/>
    </row>
    <row r="938">
      <c r="A938" s="62"/>
      <c r="B938" s="66"/>
      <c r="C938" s="62"/>
      <c r="D938" s="62"/>
    </row>
    <row r="939">
      <c r="A939" s="62"/>
      <c r="B939" s="66"/>
      <c r="C939" s="62"/>
      <c r="D939" s="62"/>
    </row>
    <row r="940">
      <c r="A940" s="62"/>
      <c r="B940" s="66"/>
      <c r="C940" s="62"/>
      <c r="D940" s="62"/>
    </row>
    <row r="941">
      <c r="A941" s="62"/>
      <c r="B941" s="66"/>
      <c r="C941" s="62"/>
      <c r="D941" s="62"/>
    </row>
    <row r="942">
      <c r="A942" s="62"/>
      <c r="B942" s="66"/>
      <c r="C942" s="62"/>
      <c r="D942" s="62"/>
    </row>
    <row r="943">
      <c r="A943" s="62"/>
      <c r="B943" s="66"/>
      <c r="C943" s="62"/>
      <c r="D943" s="62"/>
    </row>
    <row r="944">
      <c r="A944" s="62"/>
      <c r="B944" s="66"/>
      <c r="C944" s="62"/>
      <c r="D944" s="62"/>
    </row>
    <row r="945">
      <c r="A945" s="62"/>
      <c r="B945" s="66"/>
      <c r="C945" s="62"/>
      <c r="D945" s="62"/>
    </row>
    <row r="946">
      <c r="A946" s="62"/>
      <c r="B946" s="66"/>
      <c r="C946" s="62"/>
      <c r="D946" s="62"/>
    </row>
    <row r="947">
      <c r="A947" s="62"/>
      <c r="B947" s="66"/>
      <c r="C947" s="62"/>
      <c r="D947" s="62"/>
    </row>
    <row r="948">
      <c r="A948" s="62"/>
      <c r="B948" s="66"/>
      <c r="C948" s="62"/>
      <c r="D948" s="62"/>
    </row>
    <row r="949">
      <c r="A949" s="62"/>
      <c r="B949" s="66"/>
      <c r="C949" s="62"/>
      <c r="D949" s="62"/>
    </row>
    <row r="950">
      <c r="A950" s="62"/>
      <c r="B950" s="66"/>
      <c r="C950" s="62"/>
      <c r="D950" s="62"/>
    </row>
    <row r="951">
      <c r="A951" s="62"/>
      <c r="B951" s="66"/>
      <c r="C951" s="62"/>
      <c r="D951" s="62"/>
    </row>
    <row r="952">
      <c r="A952" s="62"/>
      <c r="B952" s="66"/>
      <c r="C952" s="62"/>
      <c r="D952" s="62"/>
    </row>
    <row r="953">
      <c r="A953" s="62"/>
      <c r="B953" s="66"/>
      <c r="C953" s="62"/>
      <c r="D953" s="62"/>
    </row>
    <row r="954">
      <c r="A954" s="62"/>
      <c r="B954" s="66"/>
      <c r="C954" s="62"/>
      <c r="D954" s="62"/>
    </row>
    <row r="955">
      <c r="A955" s="62"/>
      <c r="B955" s="66"/>
      <c r="C955" s="62"/>
      <c r="D955" s="62"/>
    </row>
    <row r="956">
      <c r="A956" s="62"/>
      <c r="B956" s="66"/>
      <c r="C956" s="62"/>
      <c r="D956" s="62"/>
    </row>
    <row r="957">
      <c r="A957" s="62"/>
      <c r="B957" s="66"/>
      <c r="C957" s="62"/>
      <c r="D957" s="62"/>
    </row>
    <row r="958">
      <c r="A958" s="62"/>
      <c r="B958" s="66"/>
      <c r="C958" s="62"/>
      <c r="D958" s="62"/>
    </row>
    <row r="959">
      <c r="A959" s="62"/>
      <c r="B959" s="66"/>
      <c r="C959" s="62"/>
      <c r="D959" s="62"/>
    </row>
    <row r="960">
      <c r="A960" s="62"/>
      <c r="B960" s="66"/>
      <c r="C960" s="62"/>
      <c r="D960" s="62"/>
    </row>
    <row r="961">
      <c r="A961" s="62"/>
      <c r="B961" s="66"/>
      <c r="C961" s="62"/>
      <c r="D961" s="62"/>
    </row>
    <row r="962">
      <c r="A962" s="62"/>
      <c r="B962" s="66"/>
      <c r="C962" s="62"/>
      <c r="D962" s="62"/>
    </row>
    <row r="963">
      <c r="A963" s="62"/>
      <c r="B963" s="66"/>
      <c r="C963" s="62"/>
      <c r="D963" s="62"/>
    </row>
    <row r="964">
      <c r="A964" s="62"/>
      <c r="B964" s="66"/>
      <c r="C964" s="62"/>
      <c r="D964" s="62"/>
    </row>
    <row r="965">
      <c r="A965" s="62"/>
      <c r="B965" s="66"/>
      <c r="C965" s="62"/>
      <c r="D965" s="62"/>
    </row>
    <row r="966">
      <c r="A966" s="62"/>
      <c r="B966" s="66"/>
      <c r="C966" s="62"/>
      <c r="D966" s="62"/>
    </row>
    <row r="967">
      <c r="A967" s="62"/>
      <c r="B967" s="66"/>
      <c r="C967" s="62"/>
      <c r="D967" s="62"/>
    </row>
    <row r="968">
      <c r="A968" s="62"/>
      <c r="B968" s="66"/>
      <c r="C968" s="62"/>
      <c r="D968" s="62"/>
    </row>
    <row r="969">
      <c r="A969" s="62"/>
      <c r="B969" s="66"/>
      <c r="C969" s="62"/>
      <c r="D969" s="62"/>
    </row>
    <row r="970">
      <c r="A970" s="62"/>
      <c r="B970" s="66"/>
      <c r="C970" s="62"/>
      <c r="D970" s="62"/>
    </row>
    <row r="971">
      <c r="A971" s="62"/>
      <c r="B971" s="66"/>
      <c r="C971" s="62"/>
      <c r="D971" s="62"/>
    </row>
    <row r="972">
      <c r="A972" s="62"/>
      <c r="B972" s="66"/>
      <c r="C972" s="62"/>
      <c r="D972" s="62"/>
    </row>
    <row r="973">
      <c r="A973" s="62"/>
      <c r="B973" s="66"/>
      <c r="C973" s="62"/>
      <c r="D973" s="62"/>
    </row>
    <row r="974">
      <c r="A974" s="62"/>
      <c r="B974" s="66"/>
      <c r="C974" s="62"/>
      <c r="D974" s="62"/>
    </row>
    <row r="975">
      <c r="A975" s="62"/>
      <c r="B975" s="66"/>
      <c r="C975" s="62"/>
      <c r="D975" s="62"/>
    </row>
    <row r="976">
      <c r="A976" s="62"/>
      <c r="B976" s="66"/>
      <c r="C976" s="62"/>
      <c r="D976" s="62"/>
    </row>
    <row r="977">
      <c r="A977" s="62"/>
      <c r="B977" s="66"/>
      <c r="C977" s="62"/>
      <c r="D977" s="62"/>
    </row>
    <row r="978">
      <c r="A978" s="62"/>
      <c r="B978" s="66"/>
      <c r="C978" s="62"/>
      <c r="D978" s="62"/>
    </row>
    <row r="979">
      <c r="A979" s="62"/>
      <c r="B979" s="66"/>
      <c r="C979" s="62"/>
      <c r="D979" s="62"/>
    </row>
    <row r="980">
      <c r="A980" s="62"/>
      <c r="B980" s="66"/>
      <c r="C980" s="62"/>
      <c r="D980" s="62"/>
    </row>
    <row r="981">
      <c r="A981" s="62"/>
      <c r="B981" s="66"/>
      <c r="C981" s="62"/>
      <c r="D981" s="62"/>
    </row>
    <row r="982">
      <c r="A982" s="62"/>
      <c r="B982" s="66"/>
      <c r="C982" s="62"/>
      <c r="D982" s="62"/>
    </row>
    <row r="983">
      <c r="A983" s="62"/>
      <c r="B983" s="66"/>
      <c r="C983" s="62"/>
      <c r="D983" s="62"/>
    </row>
    <row r="984">
      <c r="A984" s="62"/>
      <c r="B984" s="66"/>
      <c r="C984" s="62"/>
      <c r="D984" s="62"/>
    </row>
    <row r="985">
      <c r="A985" s="62"/>
      <c r="B985" s="66"/>
      <c r="C985" s="62"/>
      <c r="D985" s="62"/>
    </row>
    <row r="986">
      <c r="A986" s="62"/>
      <c r="B986" s="66"/>
      <c r="C986" s="62"/>
      <c r="D986" s="62"/>
    </row>
    <row r="987">
      <c r="A987" s="62"/>
      <c r="B987" s="66"/>
      <c r="C987" s="62"/>
      <c r="D987" s="62"/>
    </row>
    <row r="988">
      <c r="A988" s="62"/>
      <c r="B988" s="66"/>
      <c r="C988" s="62"/>
      <c r="D988" s="62"/>
    </row>
    <row r="989">
      <c r="A989" s="62"/>
      <c r="B989" s="66"/>
      <c r="C989" s="62"/>
      <c r="D989" s="62"/>
    </row>
    <row r="990">
      <c r="A990" s="62"/>
      <c r="B990" s="66"/>
      <c r="C990" s="62"/>
      <c r="D990" s="62"/>
    </row>
    <row r="991">
      <c r="A991" s="62"/>
      <c r="B991" s="66"/>
      <c r="C991" s="62"/>
      <c r="D991" s="62"/>
    </row>
    <row r="992">
      <c r="A992" s="62"/>
      <c r="B992" s="66"/>
      <c r="C992" s="62"/>
      <c r="D992" s="62"/>
    </row>
    <row r="993">
      <c r="A993" s="62"/>
      <c r="B993" s="66"/>
      <c r="C993" s="62"/>
      <c r="D993" s="62"/>
    </row>
    <row r="994">
      <c r="A994" s="62"/>
      <c r="B994" s="66"/>
      <c r="C994" s="62"/>
      <c r="D994" s="62"/>
    </row>
    <row r="995">
      <c r="A995" s="62"/>
      <c r="B995" s="66"/>
      <c r="C995" s="62"/>
      <c r="D995" s="62"/>
    </row>
    <row r="996">
      <c r="A996" s="62"/>
      <c r="B996" s="66"/>
      <c r="C996" s="62"/>
      <c r="D996" s="62"/>
    </row>
    <row r="997">
      <c r="A997" s="62"/>
      <c r="B997" s="66"/>
      <c r="C997" s="62"/>
      <c r="D997" s="62"/>
    </row>
    <row r="998">
      <c r="A998" s="62"/>
      <c r="B998" s="66"/>
      <c r="C998" s="62"/>
      <c r="D998" s="62"/>
    </row>
    <row r="999">
      <c r="A999" s="62"/>
      <c r="B999" s="66"/>
      <c r="C999" s="62"/>
      <c r="D999" s="62"/>
    </row>
    <row r="1000">
      <c r="A1000" s="62"/>
      <c r="B1000" s="66"/>
      <c r="C1000" s="62"/>
      <c r="D1000" s="62"/>
    </row>
    <row r="1001">
      <c r="A1001" s="62"/>
      <c r="B1001" s="66"/>
      <c r="C1001" s="62"/>
      <c r="D1001" s="62"/>
    </row>
    <row r="1002">
      <c r="A1002" s="62"/>
      <c r="B1002" s="66"/>
      <c r="C1002" s="62"/>
      <c r="D1002" s="62"/>
    </row>
    <row r="1003">
      <c r="A1003" s="62"/>
      <c r="B1003" s="66"/>
      <c r="C1003" s="62"/>
      <c r="D1003" s="62"/>
    </row>
    <row r="1004">
      <c r="A1004" s="62"/>
      <c r="B1004" s="66"/>
      <c r="C1004" s="62"/>
      <c r="D1004" s="62"/>
    </row>
    <row r="1005">
      <c r="A1005" s="62"/>
      <c r="B1005" s="66"/>
      <c r="C1005" s="62"/>
      <c r="D1005" s="62"/>
    </row>
    <row r="1006">
      <c r="A1006" s="62"/>
      <c r="B1006" s="66"/>
      <c r="C1006" s="62"/>
      <c r="D1006" s="62"/>
    </row>
    <row r="1007">
      <c r="A1007" s="62"/>
      <c r="B1007" s="66"/>
      <c r="C1007" s="62"/>
      <c r="D1007" s="62"/>
    </row>
    <row r="1008">
      <c r="A1008" s="62"/>
      <c r="B1008" s="66"/>
      <c r="C1008" s="62"/>
      <c r="D1008" s="62"/>
    </row>
    <row r="1009">
      <c r="A1009" s="62"/>
      <c r="B1009" s="66"/>
      <c r="C1009" s="62"/>
      <c r="D1009" s="62"/>
    </row>
    <row r="1010">
      <c r="A1010" s="62"/>
      <c r="B1010" s="66"/>
      <c r="C1010" s="62"/>
      <c r="D1010" s="62"/>
    </row>
    <row r="1011">
      <c r="A1011" s="62"/>
      <c r="B1011" s="66"/>
      <c r="C1011" s="62"/>
      <c r="D1011" s="62"/>
    </row>
    <row r="1012">
      <c r="A1012" s="62"/>
      <c r="B1012" s="66"/>
      <c r="C1012" s="62"/>
      <c r="D1012" s="62"/>
    </row>
    <row r="1013">
      <c r="A1013" s="62"/>
      <c r="B1013" s="66"/>
      <c r="C1013" s="62"/>
      <c r="D1013" s="62"/>
    </row>
    <row r="1014">
      <c r="A1014" s="62"/>
      <c r="B1014" s="66"/>
      <c r="C1014" s="62"/>
      <c r="D1014" s="62"/>
    </row>
    <row r="1015">
      <c r="A1015" s="62"/>
      <c r="B1015" s="66"/>
      <c r="C1015" s="62"/>
      <c r="D1015" s="62"/>
    </row>
    <row r="1016">
      <c r="A1016" s="62"/>
      <c r="B1016" s="66"/>
      <c r="C1016" s="62"/>
      <c r="D1016" s="62"/>
    </row>
    <row r="1017">
      <c r="A1017" s="62"/>
      <c r="B1017" s="66"/>
      <c r="C1017" s="62"/>
      <c r="D1017" s="62"/>
    </row>
    <row r="1018">
      <c r="A1018" s="62"/>
      <c r="B1018" s="66"/>
      <c r="C1018" s="62"/>
      <c r="D1018" s="62"/>
    </row>
    <row r="1019">
      <c r="A1019" s="62"/>
      <c r="B1019" s="66"/>
      <c r="C1019" s="62"/>
      <c r="D1019" s="62"/>
    </row>
    <row r="1020">
      <c r="A1020" s="62"/>
      <c r="B1020" s="66"/>
      <c r="C1020" s="62"/>
      <c r="D1020" s="62"/>
    </row>
    <row r="1021">
      <c r="A1021" s="62"/>
      <c r="B1021" s="66"/>
      <c r="C1021" s="62"/>
      <c r="D1021" s="62"/>
    </row>
    <row r="1022">
      <c r="A1022" s="62"/>
      <c r="B1022" s="66"/>
      <c r="C1022" s="62"/>
      <c r="D1022" s="62"/>
    </row>
    <row r="1023">
      <c r="A1023" s="62"/>
      <c r="B1023" s="66"/>
      <c r="C1023" s="62"/>
      <c r="D1023" s="62"/>
    </row>
    <row r="1024">
      <c r="A1024" s="62"/>
      <c r="B1024" s="66"/>
      <c r="C1024" s="62"/>
      <c r="D1024" s="62"/>
    </row>
    <row r="1025">
      <c r="A1025" s="62"/>
      <c r="B1025" s="66"/>
      <c r="C1025" s="62"/>
      <c r="D1025" s="62"/>
    </row>
    <row r="1026">
      <c r="A1026" s="62"/>
      <c r="B1026" s="66"/>
      <c r="C1026" s="62"/>
      <c r="D1026" s="62"/>
    </row>
    <row r="1027">
      <c r="A1027" s="62"/>
      <c r="B1027" s="66"/>
      <c r="C1027" s="62"/>
      <c r="D1027" s="62"/>
    </row>
    <row r="1028">
      <c r="A1028" s="62"/>
      <c r="B1028" s="66"/>
      <c r="C1028" s="62"/>
      <c r="D1028" s="62"/>
    </row>
    <row r="1029">
      <c r="A1029" s="62"/>
      <c r="B1029" s="66"/>
      <c r="C1029" s="62"/>
      <c r="D1029" s="62"/>
    </row>
    <row r="1030">
      <c r="A1030" s="62"/>
      <c r="B1030" s="66"/>
      <c r="C1030" s="62"/>
      <c r="D1030" s="62"/>
    </row>
    <row r="1031">
      <c r="A1031" s="62"/>
      <c r="B1031" s="66"/>
      <c r="C1031" s="62"/>
      <c r="D1031" s="62"/>
    </row>
    <row r="1032">
      <c r="A1032" s="62"/>
      <c r="B1032" s="66"/>
      <c r="C1032" s="62"/>
      <c r="D1032" s="62"/>
    </row>
    <row r="1033">
      <c r="A1033" s="62"/>
      <c r="B1033" s="66"/>
      <c r="C1033" s="62"/>
      <c r="D1033" s="62"/>
    </row>
    <row r="1034">
      <c r="A1034" s="62"/>
      <c r="B1034" s="66"/>
      <c r="C1034" s="62"/>
      <c r="D1034" s="62"/>
    </row>
    <row r="1035">
      <c r="A1035" s="62"/>
      <c r="B1035" s="66"/>
      <c r="C1035" s="62"/>
      <c r="D1035" s="62"/>
    </row>
    <row r="1036">
      <c r="A1036" s="62"/>
      <c r="B1036" s="66"/>
      <c r="C1036" s="62"/>
      <c r="D1036" s="62"/>
    </row>
    <row r="1037">
      <c r="A1037" s="62"/>
      <c r="B1037" s="66"/>
      <c r="C1037" s="62"/>
      <c r="D1037" s="62"/>
    </row>
    <row r="1038">
      <c r="A1038" s="62"/>
      <c r="B1038" s="66"/>
      <c r="C1038" s="62"/>
      <c r="D1038" s="62"/>
    </row>
    <row r="1039">
      <c r="A1039" s="62"/>
      <c r="B1039" s="66"/>
      <c r="C1039" s="62"/>
      <c r="D1039" s="62"/>
    </row>
    <row r="1040">
      <c r="A1040" s="62"/>
      <c r="B1040" s="66"/>
      <c r="C1040" s="62"/>
      <c r="D1040" s="62"/>
    </row>
    <row r="1041">
      <c r="A1041" s="62"/>
      <c r="B1041" s="66"/>
      <c r="C1041" s="62"/>
      <c r="D1041" s="62"/>
    </row>
    <row r="1042">
      <c r="A1042" s="62"/>
      <c r="B1042" s="66"/>
      <c r="C1042" s="62"/>
      <c r="D1042" s="62"/>
    </row>
    <row r="1043">
      <c r="A1043" s="62"/>
      <c r="B1043" s="66"/>
      <c r="C1043" s="62"/>
      <c r="D1043" s="62"/>
    </row>
    <row r="1044">
      <c r="A1044" s="62"/>
      <c r="B1044" s="66"/>
      <c r="C1044" s="62"/>
      <c r="D1044" s="62"/>
    </row>
    <row r="1045">
      <c r="A1045" s="62"/>
      <c r="B1045" s="66"/>
      <c r="C1045" s="62"/>
      <c r="D1045" s="62"/>
    </row>
    <row r="1046">
      <c r="A1046" s="62"/>
      <c r="B1046" s="66"/>
      <c r="C1046" s="62"/>
      <c r="D1046" s="62"/>
    </row>
    <row r="1047">
      <c r="A1047" s="62"/>
      <c r="B1047" s="66"/>
      <c r="C1047" s="62"/>
      <c r="D1047" s="62"/>
    </row>
    <row r="1048">
      <c r="A1048" s="62"/>
      <c r="B1048" s="66"/>
      <c r="C1048" s="62"/>
      <c r="D1048" s="62"/>
    </row>
    <row r="1049">
      <c r="A1049" s="62"/>
      <c r="B1049" s="66"/>
      <c r="C1049" s="62"/>
      <c r="D1049" s="62"/>
    </row>
    <row r="1050">
      <c r="A1050" s="62"/>
      <c r="B1050" s="66"/>
      <c r="C1050" s="62"/>
      <c r="D1050" s="62"/>
    </row>
    <row r="1051">
      <c r="A1051" s="62"/>
      <c r="B1051" s="66"/>
      <c r="C1051" s="62"/>
      <c r="D1051" s="62"/>
    </row>
    <row r="1052">
      <c r="A1052" s="62"/>
      <c r="B1052" s="66"/>
      <c r="C1052" s="62"/>
      <c r="D1052" s="62"/>
    </row>
    <row r="1053">
      <c r="A1053" s="62"/>
      <c r="B1053" s="66"/>
      <c r="C1053" s="62"/>
      <c r="D1053" s="62"/>
    </row>
    <row r="1054">
      <c r="A1054" s="62"/>
      <c r="B1054" s="66"/>
      <c r="C1054" s="62"/>
      <c r="D1054" s="62"/>
    </row>
    <row r="1055">
      <c r="A1055" s="62"/>
      <c r="B1055" s="66"/>
      <c r="C1055" s="62"/>
      <c r="D1055" s="62"/>
    </row>
    <row r="1056">
      <c r="A1056" s="62"/>
      <c r="B1056" s="66"/>
      <c r="C1056" s="62"/>
      <c r="D1056" s="62"/>
    </row>
    <row r="1057">
      <c r="A1057" s="62"/>
      <c r="B1057" s="66"/>
      <c r="C1057" s="62"/>
      <c r="D1057" s="62"/>
    </row>
    <row r="1058">
      <c r="A1058" s="62"/>
      <c r="B1058" s="66"/>
      <c r="C1058" s="62"/>
      <c r="D1058" s="62"/>
    </row>
    <row r="1059">
      <c r="A1059" s="62"/>
      <c r="B1059" s="66"/>
      <c r="C1059" s="62"/>
      <c r="D1059" s="62"/>
    </row>
    <row r="1060">
      <c r="A1060" s="62"/>
      <c r="B1060" s="66"/>
      <c r="C1060" s="62"/>
      <c r="D1060" s="62"/>
    </row>
    <row r="1061">
      <c r="A1061" s="62"/>
      <c r="B1061" s="66"/>
      <c r="C1061" s="62"/>
      <c r="D1061" s="62"/>
    </row>
    <row r="1062">
      <c r="A1062" s="62"/>
      <c r="B1062" s="66"/>
      <c r="C1062" s="62"/>
      <c r="D1062" s="62"/>
    </row>
    <row r="1063">
      <c r="A1063" s="62"/>
      <c r="B1063" s="66"/>
      <c r="C1063" s="62"/>
      <c r="D1063" s="62"/>
    </row>
    <row r="1064">
      <c r="A1064" s="62"/>
      <c r="B1064" s="66"/>
      <c r="C1064" s="62"/>
      <c r="D1064" s="62"/>
    </row>
    <row r="1065">
      <c r="A1065" s="62"/>
      <c r="B1065" s="66"/>
      <c r="C1065" s="62"/>
      <c r="D1065" s="62"/>
    </row>
    <row r="1066">
      <c r="A1066" s="62"/>
      <c r="B1066" s="66"/>
      <c r="C1066" s="62"/>
      <c r="D1066" s="62"/>
    </row>
    <row r="1067">
      <c r="A1067" s="62"/>
      <c r="B1067" s="66"/>
      <c r="C1067" s="62"/>
      <c r="D1067" s="62"/>
    </row>
    <row r="1068">
      <c r="A1068" s="62"/>
      <c r="B1068" s="66"/>
      <c r="C1068" s="62"/>
      <c r="D1068" s="62"/>
    </row>
    <row r="1069">
      <c r="A1069" s="62"/>
      <c r="B1069" s="66"/>
      <c r="C1069" s="62"/>
      <c r="D1069" s="62"/>
    </row>
    <row r="1070">
      <c r="A1070" s="62"/>
      <c r="B1070" s="66"/>
      <c r="C1070" s="62"/>
      <c r="D1070" s="62"/>
    </row>
    <row r="1071">
      <c r="A1071" s="62"/>
      <c r="B1071" s="66"/>
      <c r="C1071" s="62"/>
      <c r="D1071" s="62"/>
    </row>
    <row r="1072">
      <c r="A1072" s="62"/>
      <c r="B1072" s="66"/>
      <c r="C1072" s="62"/>
      <c r="D1072" s="62"/>
    </row>
    <row r="1073">
      <c r="A1073" s="62"/>
      <c r="B1073" s="66"/>
      <c r="C1073" s="62"/>
      <c r="D1073" s="62"/>
    </row>
    <row r="1074">
      <c r="A1074" s="62"/>
      <c r="B1074" s="66"/>
      <c r="C1074" s="62"/>
      <c r="D1074" s="62"/>
    </row>
    <row r="1075">
      <c r="A1075" s="62"/>
      <c r="B1075" s="66"/>
      <c r="C1075" s="62"/>
      <c r="D1075" s="62"/>
    </row>
    <row r="1076">
      <c r="A1076" s="62"/>
      <c r="B1076" s="66"/>
      <c r="C1076" s="62"/>
      <c r="D1076" s="62"/>
    </row>
    <row r="1077">
      <c r="A1077" s="62"/>
      <c r="B1077" s="66"/>
      <c r="C1077" s="62"/>
      <c r="D1077" s="62"/>
    </row>
    <row r="1078">
      <c r="A1078" s="62"/>
      <c r="B1078" s="66"/>
      <c r="C1078" s="62"/>
      <c r="D1078" s="62"/>
    </row>
    <row r="1079">
      <c r="A1079" s="62"/>
      <c r="B1079" s="66"/>
      <c r="C1079" s="62"/>
      <c r="D1079" s="62"/>
    </row>
    <row r="1080">
      <c r="A1080" s="62"/>
      <c r="B1080" s="66"/>
      <c r="C1080" s="62"/>
      <c r="D1080" s="62"/>
    </row>
    <row r="1081">
      <c r="A1081" s="62"/>
      <c r="B1081" s="66"/>
      <c r="C1081" s="62"/>
      <c r="D1081" s="62"/>
    </row>
    <row r="1082">
      <c r="A1082" s="62"/>
      <c r="B1082" s="66"/>
      <c r="C1082" s="62"/>
      <c r="D1082" s="62"/>
    </row>
    <row r="1083">
      <c r="A1083" s="62"/>
      <c r="B1083" s="66"/>
      <c r="C1083" s="62"/>
      <c r="D1083" s="62"/>
    </row>
    <row r="1084">
      <c r="A1084" s="62"/>
      <c r="B1084" s="66"/>
      <c r="C1084" s="62"/>
      <c r="D1084" s="62"/>
    </row>
    <row r="1085">
      <c r="A1085" s="62"/>
      <c r="B1085" s="66"/>
      <c r="C1085" s="62"/>
      <c r="D1085" s="62"/>
    </row>
    <row r="1086">
      <c r="A1086" s="62"/>
      <c r="B1086" s="66"/>
      <c r="C1086" s="62"/>
      <c r="D1086" s="62"/>
    </row>
    <row r="1087">
      <c r="A1087" s="62"/>
      <c r="B1087" s="66"/>
      <c r="C1087" s="62"/>
      <c r="D1087" s="62"/>
    </row>
    <row r="1088">
      <c r="A1088" s="62"/>
      <c r="B1088" s="66"/>
      <c r="C1088" s="62"/>
      <c r="D1088" s="62"/>
    </row>
    <row r="1089">
      <c r="A1089" s="62"/>
      <c r="B1089" s="66"/>
      <c r="C1089" s="62"/>
      <c r="D1089" s="62"/>
    </row>
    <row r="1090">
      <c r="A1090" s="62"/>
      <c r="B1090" s="66"/>
      <c r="C1090" s="62"/>
      <c r="D1090" s="62"/>
    </row>
    <row r="1091">
      <c r="A1091" s="62"/>
      <c r="B1091" s="66"/>
      <c r="C1091" s="62"/>
      <c r="D1091" s="62"/>
    </row>
    <row r="1092">
      <c r="A1092" s="62"/>
      <c r="B1092" s="66"/>
      <c r="C1092" s="62"/>
      <c r="D1092" s="62"/>
    </row>
    <row r="1093">
      <c r="A1093" s="62"/>
      <c r="B1093" s="66"/>
      <c r="C1093" s="62"/>
      <c r="D1093" s="62"/>
    </row>
    <row r="1094">
      <c r="A1094" s="62"/>
      <c r="B1094" s="66"/>
      <c r="C1094" s="62"/>
      <c r="D1094" s="62"/>
    </row>
    <row r="1095">
      <c r="A1095" s="62"/>
      <c r="B1095" s="66"/>
      <c r="C1095" s="62"/>
      <c r="D1095" s="62"/>
    </row>
    <row r="1096">
      <c r="A1096" s="62"/>
      <c r="B1096" s="66"/>
      <c r="C1096" s="62"/>
      <c r="D1096" s="62"/>
    </row>
    <row r="1097">
      <c r="A1097" s="62"/>
      <c r="B1097" s="66"/>
      <c r="C1097" s="62"/>
      <c r="D1097" s="62"/>
    </row>
    <row r="1098">
      <c r="A1098" s="62"/>
      <c r="B1098" s="66"/>
      <c r="C1098" s="62"/>
      <c r="D1098" s="62"/>
    </row>
  </sheetData>
  <mergeCells count="36">
    <mergeCell ref="B2:B10"/>
    <mergeCell ref="B11:B13"/>
    <mergeCell ref="B17:B19"/>
    <mergeCell ref="B20:B22"/>
    <mergeCell ref="B23:B24"/>
    <mergeCell ref="B27:B35"/>
    <mergeCell ref="B36:B37"/>
    <mergeCell ref="B39:B40"/>
    <mergeCell ref="B41:B42"/>
    <mergeCell ref="B44:B46"/>
    <mergeCell ref="B47:B49"/>
    <mergeCell ref="B50:B52"/>
    <mergeCell ref="B53:B63"/>
    <mergeCell ref="B64:B66"/>
    <mergeCell ref="B67:B69"/>
    <mergeCell ref="B70:B74"/>
    <mergeCell ref="B75:B78"/>
    <mergeCell ref="B79:B81"/>
    <mergeCell ref="B82:B87"/>
    <mergeCell ref="B95:B110"/>
    <mergeCell ref="B113:B116"/>
    <mergeCell ref="B149:B151"/>
    <mergeCell ref="B152:B155"/>
    <mergeCell ref="B164:B165"/>
    <mergeCell ref="B169:B170"/>
    <mergeCell ref="B174:B175"/>
    <mergeCell ref="B177:B178"/>
    <mergeCell ref="B180:B181"/>
    <mergeCell ref="B182:B183"/>
    <mergeCell ref="B118:B119"/>
    <mergeCell ref="B121:B125"/>
    <mergeCell ref="B126:B128"/>
    <mergeCell ref="B131:B132"/>
    <mergeCell ref="B139:B142"/>
    <mergeCell ref="B143:B144"/>
    <mergeCell ref="B145:B146"/>
  </mergeCells>
  <hyperlinks>
    <hyperlink r:id="rId2" ref="B2"/>
    <hyperlink r:id="rId3" ref="B11"/>
    <hyperlink r:id="rId4" ref="B14"/>
    <hyperlink r:id="rId5" ref="B15"/>
    <hyperlink r:id="rId6" ref="B16"/>
    <hyperlink r:id="rId7" ref="B17"/>
    <hyperlink r:id="rId8" ref="B20"/>
    <hyperlink r:id="rId9" ref="B23"/>
    <hyperlink r:id="rId10" ref="B25"/>
    <hyperlink r:id="rId11" ref="B26"/>
    <hyperlink r:id="rId12" ref="B27"/>
    <hyperlink r:id="rId13" ref="B36"/>
    <hyperlink r:id="rId14" ref="B38"/>
    <hyperlink r:id="rId15" ref="B39"/>
    <hyperlink r:id="rId16" ref="B41"/>
    <hyperlink r:id="rId17" ref="B43"/>
    <hyperlink r:id="rId18" ref="B44"/>
    <hyperlink r:id="rId19" ref="B47"/>
    <hyperlink r:id="rId20" ref="B50"/>
    <hyperlink r:id="rId21" ref="B53"/>
    <hyperlink r:id="rId22" ref="B64"/>
    <hyperlink r:id="rId23" ref="B67"/>
    <hyperlink r:id="rId24" ref="B70"/>
    <hyperlink r:id="rId25" ref="B75"/>
    <hyperlink r:id="rId26" ref="B79"/>
    <hyperlink r:id="rId27" ref="B82"/>
    <hyperlink r:id="rId28" ref="B88"/>
    <hyperlink r:id="rId29" ref="B93"/>
    <hyperlink r:id="rId30" ref="B94"/>
    <hyperlink r:id="rId31" ref="B95"/>
    <hyperlink r:id="rId32" ref="B111"/>
    <hyperlink r:id="rId33" ref="B112"/>
    <hyperlink r:id="rId34" ref="B113"/>
    <hyperlink r:id="rId35" ref="B117"/>
    <hyperlink r:id="rId36" ref="B118"/>
    <hyperlink r:id="rId37" ref="B120"/>
    <hyperlink r:id="rId38" ref="B121"/>
    <hyperlink r:id="rId39" ref="B126"/>
    <hyperlink r:id="rId40" ref="B131"/>
    <hyperlink r:id="rId41" ref="B133"/>
    <hyperlink r:id="rId42" ref="B139"/>
    <hyperlink r:id="rId43" ref="B143"/>
    <hyperlink r:id="rId44" ref="B145"/>
    <hyperlink r:id="rId45" ref="B147"/>
    <hyperlink r:id="rId46" ref="B148"/>
    <hyperlink r:id="rId47" ref="B149"/>
    <hyperlink r:id="rId48" ref="B152"/>
    <hyperlink r:id="rId49" ref="B163"/>
    <hyperlink r:id="rId50" ref="B164"/>
    <hyperlink r:id="rId51" ref="B166"/>
    <hyperlink r:id="rId52" ref="B169"/>
    <hyperlink r:id="rId53" ref="B171"/>
    <hyperlink r:id="rId54" ref="B172"/>
    <hyperlink r:id="rId55" ref="B173"/>
    <hyperlink r:id="rId56" ref="B174"/>
    <hyperlink r:id="rId57" ref="B176"/>
    <hyperlink r:id="rId58" ref="B177"/>
    <hyperlink r:id="rId59" ref="B179"/>
    <hyperlink r:id="rId60" ref="B180"/>
    <hyperlink r:id="rId61" ref="B182"/>
  </hyperlinks>
  <drawing r:id="rId62"/>
  <legacyDrawing r:id="rId6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86"/>
    <col customWidth="1" min="2" max="2" width="40.0"/>
    <col customWidth="1" min="3" max="3" width="27.71"/>
    <col customWidth="1" min="4" max="4" width="36.0"/>
  </cols>
  <sheetData>
    <row r="1">
      <c r="A1" s="56" t="s">
        <v>1208</v>
      </c>
      <c r="B1" s="5" t="s">
        <v>6</v>
      </c>
      <c r="C1" s="5" t="s">
        <v>7</v>
      </c>
      <c r="D1" s="5" t="s">
        <v>8</v>
      </c>
      <c r="E1" s="78" t="s">
        <v>1355</v>
      </c>
    </row>
    <row r="2">
      <c r="A2" s="119" t="s">
        <v>4307</v>
      </c>
      <c r="B2" s="8" t="s">
        <v>4308</v>
      </c>
      <c r="C2" s="66" t="s">
        <v>4309</v>
      </c>
      <c r="D2" s="26" t="s">
        <v>4310</v>
      </c>
      <c r="E2" s="163" t="str">
        <f>IFERROR(__xludf.DUMMYFUNCTION("IFERROR(VLOOKUP(C2,IMPORTRANGE(""https://docs.google.com/spreadsheets/d/1SQRLoxD_LXfQNfB7NOxI5jlxbkDlcNPwla_2gSTySP8/edit#gid=274515254"",""Users!$C$2:$D$122""),2,0),0)"),"ユーザー管理")</f>
        <v>ユーザー管理</v>
      </c>
    </row>
    <row r="3">
      <c r="A3" s="119" t="s">
        <v>507</v>
      </c>
      <c r="C3" s="66" t="s">
        <v>508</v>
      </c>
      <c r="D3" s="66" t="s">
        <v>509</v>
      </c>
      <c r="E3" s="163" t="str">
        <f>IFERROR(__xludf.DUMMYFUNCTION("IFERROR(VLOOKUP(C3,IMPORTRANGE(""https://docs.google.com/spreadsheets/d/1SQRLoxD_LXfQNfB7NOxI5jlxbkDlcNPwla_2gSTySP8/edit#gid=274515254"",""Users!$C$2:$D$122""),2,0),0)"),"ユーザー")</f>
        <v>ユーザー</v>
      </c>
    </row>
    <row r="4">
      <c r="A4" s="119" t="s">
        <v>4311</v>
      </c>
      <c r="C4" s="66" t="s">
        <v>4312</v>
      </c>
      <c r="D4" s="66" t="s">
        <v>4312</v>
      </c>
      <c r="E4" s="163" t="str">
        <f>IFERROR(__xludf.DUMMYFUNCTION("IFERROR(VLOOKUP(C4,IMPORTRANGE(""https://docs.google.com/spreadsheets/d/1SQRLoxD_LXfQNfB7NOxI5jlxbkDlcNPwla_2gSTySP8/edit#gid=274515254"",""Users!$C$2:$D$122""),2,0),0)"),"役割")</f>
        <v>役割</v>
      </c>
    </row>
    <row r="5">
      <c r="A5" s="119" t="s">
        <v>517</v>
      </c>
      <c r="C5" s="66" t="s">
        <v>519</v>
      </c>
      <c r="D5" s="66" t="s">
        <v>520</v>
      </c>
      <c r="E5" s="163" t="str">
        <f>IFERROR(__xludf.DUMMYFUNCTION("IFERROR(VLOOKUP(C5,IMPORTRANGE(""https://docs.google.com/spreadsheets/d/1SQRLoxD_LXfQNfB7NOxI5jlxbkDlcNPwla_2gSTySP8/edit#gid=274515254"",""Users!$C$2:$D$122""),2,0),0)"),"チーム")</f>
        <v>チーム</v>
      </c>
    </row>
    <row r="6">
      <c r="A6" s="119" t="s">
        <v>2332</v>
      </c>
      <c r="C6" s="26" t="s">
        <v>2489</v>
      </c>
      <c r="D6" s="26" t="s">
        <v>2334</v>
      </c>
      <c r="E6" s="163" t="str">
        <f>IFERROR(__xludf.DUMMYFUNCTION("IFERROR(VLOOKUP(C6,IMPORTRANGE(""https://docs.google.com/spreadsheets/d/1SQRLoxD_LXfQNfB7NOxI5jlxbkDlcNPwla_2gSTySP8/edit#gid=274515254"",""Users!$C$2:$D$122""),2,0),0)"),"割り当てチームなし")</f>
        <v>割り当てチームなし</v>
      </c>
    </row>
    <row r="7">
      <c r="A7" s="119" t="s">
        <v>4313</v>
      </c>
      <c r="C7" s="66" t="s">
        <v>4314</v>
      </c>
      <c r="D7" s="66" t="s">
        <v>4315</v>
      </c>
      <c r="E7" s="163" t="str">
        <f>IFERROR(__xludf.DUMMYFUNCTION("IFERROR(VLOOKUP(C7,IMPORTRANGE(""https://docs.google.com/spreadsheets/d/1SQRLoxD_LXfQNfB7NOxI5jlxbkDlcNPwla_2gSTySP8/edit#gid=274515254"",""Users!$C$2:$D$122""),2,0),0)"),"ゲスト")</f>
        <v>ゲスト</v>
      </c>
    </row>
    <row r="8">
      <c r="A8" s="119" t="s">
        <v>2329</v>
      </c>
      <c r="C8" s="66" t="s">
        <v>2330</v>
      </c>
      <c r="D8" s="66" t="s">
        <v>2331</v>
      </c>
      <c r="E8" s="163" t="str">
        <f>IFERROR(__xludf.DUMMYFUNCTION("IFERROR(VLOOKUP(C8,IMPORTRANGE(""https://docs.google.com/spreadsheets/d/1SQRLoxD_LXfQNfB7NOxI5jlxbkDlcNPwla_2gSTySP8/edit#gid=274515254"",""Users!$C$2:$D$122""),2,0),0)"),"役割")</f>
        <v>役割</v>
      </c>
    </row>
    <row r="9">
      <c r="A9" s="119" t="s">
        <v>4316</v>
      </c>
      <c r="C9" s="66" t="s">
        <v>4317</v>
      </c>
      <c r="D9" s="66" t="s">
        <v>4318</v>
      </c>
      <c r="E9" s="163" t="str">
        <f>IFERROR(__xludf.DUMMYFUNCTION("IFERROR(VLOOKUP(C9,IMPORTRANGE(""https://docs.google.com/spreadsheets/d/1SQRLoxD_LXfQNfB7NOxI5jlxbkDlcNPwla_2gSTySP8/edit#gid=274515254"",""Users!$C$2:$D$122""),2,0),0)"),"役割割り当てなし")</f>
        <v>役割割り当てなし</v>
      </c>
    </row>
    <row r="10">
      <c r="A10" s="119" t="s">
        <v>338</v>
      </c>
      <c r="C10" s="26" t="s">
        <v>339</v>
      </c>
      <c r="D10" s="26" t="s">
        <v>340</v>
      </c>
      <c r="E10" s="163" t="str">
        <f>IFERROR(__xludf.DUMMYFUNCTION("IFERROR(VLOOKUP(C10,IMPORTRANGE(""https://docs.google.com/spreadsheets/d/1SQRLoxD_LXfQNfB7NOxI5jlxbkDlcNPwla_2gSTySP8/edit#gid=274515254"",""Users!$C$2:$D$122""),2,0),0)"),"ステータス")</f>
        <v>ステータス</v>
      </c>
    </row>
    <row r="11">
      <c r="A11" s="119" t="s">
        <v>4319</v>
      </c>
      <c r="C11" s="66" t="s">
        <v>4320</v>
      </c>
      <c r="D11" s="66" t="s">
        <v>88</v>
      </c>
      <c r="E11" s="163" t="str">
        <f>IFERROR(__xludf.DUMMYFUNCTION("IFERROR(VLOOKUP(C11,IMPORTRANGE(""https://docs.google.com/spreadsheets/d/1SQRLoxD_LXfQNfB7NOxI5jlxbkDlcNPwla_2gSTySP8/edit#gid=274515254"",""Users!$C$2:$D$122""),2,0),0)"),"アクティブ")</f>
        <v>アクティブ</v>
      </c>
    </row>
    <row r="12">
      <c r="A12" s="54" t="s">
        <v>4321</v>
      </c>
      <c r="C12" s="66" t="s">
        <v>4322</v>
      </c>
      <c r="D12" s="66" t="s">
        <v>4315</v>
      </c>
      <c r="E12" s="163" t="str">
        <f>IFERROR(__xludf.DUMMYFUNCTION("IFERROR(VLOOKUP(C12,IMPORTRANGE(""https://docs.google.com/spreadsheets/d/1SQRLoxD_LXfQNfB7NOxI5jlxbkDlcNPwla_2gSTySP8/edit#gid=274515254"",""Users!$C$2:$D$122""),2,0),0)"),"招待済み")</f>
        <v>招待済み</v>
      </c>
    </row>
    <row r="13">
      <c r="A13" s="119" t="s">
        <v>2141</v>
      </c>
      <c r="C13" s="66" t="s">
        <v>2143</v>
      </c>
      <c r="D13" s="66" t="s">
        <v>4323</v>
      </c>
      <c r="E13" s="163" t="str">
        <f>IFERROR(__xludf.DUMMYFUNCTION("IFERROR(VLOOKUP(C13,IMPORTRANGE(""https://docs.google.com/spreadsheets/d/1SQRLoxD_LXfQNfB7NOxI5jlxbkDlcNPwla_2gSTySP8/edit#gid=274515254"",""Users!$C$2:$D$122""),2,0),0)"),"ユーザーを招待")</f>
        <v>ユーザーを招待</v>
      </c>
    </row>
    <row r="14">
      <c r="A14" s="108" t="str">
        <f>IFERROR(__xludf.DUMMYFUNCTION("JOIN(""-"",""app"",SPLIT(LOWER( C14),"" ""))"),"app-show-all-users")</f>
        <v>app-show-all-users</v>
      </c>
      <c r="B14" s="103" t="s">
        <v>4324</v>
      </c>
      <c r="C14" s="106" t="s">
        <v>4325</v>
      </c>
      <c r="D14" s="106" t="s">
        <v>4326</v>
      </c>
      <c r="E14" s="115" t="s">
        <v>4327</v>
      </c>
    </row>
    <row r="15">
      <c r="A15" s="54" t="s">
        <v>4328</v>
      </c>
      <c r="B15" s="8" t="s">
        <v>4329</v>
      </c>
      <c r="C15" s="66" t="s">
        <v>4330</v>
      </c>
      <c r="D15" s="66" t="s">
        <v>4331</v>
      </c>
      <c r="E15" s="163" t="str">
        <f>IFERROR(__xludf.DUMMYFUNCTION("IFERROR(VLOOKUP(C15,IMPORTRANGE(""https://docs.google.com/spreadsheets/d/1SQRLoxD_LXfQNfB7NOxI5jlxbkDlcNPwla_2gSTySP8/edit#gid=274515254"",""Users!$C$2:$D$122""),2,0),0)"),"プロビジョン解除")</f>
        <v>プロビジョン解除</v>
      </c>
    </row>
    <row r="16">
      <c r="A16" s="54" t="s">
        <v>4332</v>
      </c>
      <c r="C16" s="66" t="s">
        <v>4333</v>
      </c>
      <c r="D16" s="66" t="s">
        <v>4334</v>
      </c>
      <c r="E16" s="163" t="str">
        <f>IFERROR(__xludf.DUMMYFUNCTION("IFERROR(VLOOKUP(C16,IMPORTRANGE(""https://docs.google.com/spreadsheets/d/1SQRLoxD_LXfQNfB7NOxI5jlxbkDlcNPwla_2gSTySP8/edit#gid=274515254"",""Users!$C$2:$D$122""),2,0),0)"),"パスワード失効")</f>
        <v>パスワード失効</v>
      </c>
    </row>
    <row r="17">
      <c r="A17" s="54" t="s">
        <v>4335</v>
      </c>
      <c r="C17" s="66" t="s">
        <v>4336</v>
      </c>
      <c r="D17" s="66" t="s">
        <v>4337</v>
      </c>
      <c r="E17" s="163" t="str">
        <f>IFERROR(__xludf.DUMMYFUNCTION("IFERROR(VLOOKUP(C17,IMPORTRANGE(""https://docs.google.com/spreadsheets/d/1SQRLoxD_LXfQNfB7NOxI5jlxbkDlcNPwla_2gSTySP8/edit#gid=274515254"",""Users!$C$2:$D$122""),2,0),0)"),"プロビジョン済み")</f>
        <v>プロビジョン済み</v>
      </c>
    </row>
    <row r="18" ht="34.5" customHeight="1">
      <c r="A18" s="102" t="str">
        <f>IFERROR(__xludf.DUMMYFUNCTION("JOIN(""-"",""app"",SPLIT(LOWER( C18),"" ""))"),"app-showing-81-to-90-of-386-entries")</f>
        <v>app-showing-81-to-90-of-386-entries</v>
      </c>
      <c r="B18" s="160" t="s">
        <v>4338</v>
      </c>
      <c r="C18" s="146" t="s">
        <v>4339</v>
      </c>
      <c r="D18" s="154" t="s">
        <v>4340</v>
      </c>
      <c r="E18" s="115" t="s">
        <v>4341</v>
      </c>
    </row>
    <row r="19" ht="20.25" customHeight="1">
      <c r="A19" s="54" t="s">
        <v>4342</v>
      </c>
      <c r="B19" s="20" t="s">
        <v>4343</v>
      </c>
      <c r="C19" s="66" t="s">
        <v>4344</v>
      </c>
      <c r="D19" s="26" t="s">
        <v>4345</v>
      </c>
      <c r="E19" s="163" t="str">
        <f>IFERROR(__xludf.DUMMYFUNCTION("IFERROR(VLOOKUP(C19,IMPORTRANGE(""https://docs.google.com/spreadsheets/d/1SQRLoxD_LXfQNfB7NOxI5jlxbkDlcNPwla_2gSTySP8/edit#gid=274515254"",""Users!$C$2:$D$122""),2,0),0)"),"現場管理")</f>
        <v>現場管理</v>
      </c>
    </row>
    <row r="20">
      <c r="A20" s="119" t="s">
        <v>1474</v>
      </c>
      <c r="C20" s="26" t="s">
        <v>1476</v>
      </c>
      <c r="D20" s="26" t="s">
        <v>1737</v>
      </c>
      <c r="E20" s="163" t="str">
        <f>IFERROR(__xludf.DUMMYFUNCTION("IFERROR(VLOOKUP(C20,IMPORTRANGE(""https://docs.google.com/spreadsheets/d/1SQRLoxD_LXfQNfB7NOxI5jlxbkDlcNPwla_2gSTySP8/edit#gid=274515254"",""Users!$C$2:$D$122""),2,0),0)"),"作成者")</f>
        <v>作成者</v>
      </c>
    </row>
    <row r="21">
      <c r="A21" s="119" t="s">
        <v>4022</v>
      </c>
      <c r="C21" s="26" t="s">
        <v>4024</v>
      </c>
      <c r="D21" s="26" t="s">
        <v>4025</v>
      </c>
      <c r="E21" s="163" t="str">
        <f>IFERROR(__xludf.DUMMYFUNCTION("IFERROR(VLOOKUP(C21,IMPORTRANGE(""https://docs.google.com/spreadsheets/d/1SQRLoxD_LXfQNfB7NOxI5jlxbkDlcNPwla_2gSTySP8/edit#gid=274515254"",""Users!$C$2:$D$122""),2,0),0)"),"アプリケーション")</f>
        <v>アプリケーション</v>
      </c>
    </row>
    <row r="22">
      <c r="A22" s="119" t="s">
        <v>4346</v>
      </c>
      <c r="C22" s="26" t="s">
        <v>4347</v>
      </c>
      <c r="D22" s="26" t="s">
        <v>4348</v>
      </c>
      <c r="E22" s="163" t="str">
        <f>IFERROR(__xludf.DUMMYFUNCTION("IFERROR(VLOOKUP(C22,IMPORTRANGE(""https://docs.google.com/spreadsheets/d/1SQRLoxD_LXfQNfB7NOxI5jlxbkDlcNPwla_2gSTySP8/edit#gid=274515254"",""Users!$C$2:$D$122""),2,0),0)"),"新規役割")</f>
        <v>新規役割</v>
      </c>
    </row>
    <row r="23">
      <c r="A23" s="54" t="s">
        <v>4349</v>
      </c>
      <c r="C23" s="26" t="s">
        <v>4350</v>
      </c>
      <c r="D23" s="26" t="s">
        <v>4351</v>
      </c>
      <c r="E23" s="163" t="str">
        <f>IFERROR(__xludf.DUMMYFUNCTION("IFERROR(VLOOKUP(C23,IMPORTRANGE(""https://docs.google.com/spreadsheets/d/1SQRLoxD_LXfQNfB7NOxI5jlxbkDlcNPwla_2gSTySP8/edit#gid=274515254"",""Users!$C$2:$D$122""),2,0),0)"),"アプリケーション割り当てなし")</f>
        <v>アプリケーション割り当てなし</v>
      </c>
    </row>
    <row r="24">
      <c r="A24" s="119" t="s">
        <v>4352</v>
      </c>
      <c r="C24" s="26" t="s">
        <v>4353</v>
      </c>
      <c r="D24" s="26" t="s">
        <v>4354</v>
      </c>
      <c r="E24" s="163" t="str">
        <f>IFERROR(__xludf.DUMMYFUNCTION("IFERROR(VLOOKUP(C24,IMPORTRANGE(""https://docs.google.com/spreadsheets/d/1SQRLoxD_LXfQNfB7NOxI5jlxbkDlcNPwla_2gSTySP8/edit#gid=274515254"",""Users!$C$2:$D$122""),2,0),0)"),"割り当てユーザなし")</f>
        <v>割り当てユーザなし</v>
      </c>
    </row>
    <row r="25">
      <c r="A25" s="108" t="str">
        <f>IFERROR(__xludf.DUMMYFUNCTION("JOIN(""-"",""app"",SPLIT(LOWER( C25),"" ""))"),"app-create-new-role")</f>
        <v>app-create-new-role</v>
      </c>
      <c r="B25" s="105" t="s">
        <v>4355</v>
      </c>
      <c r="C25" s="106" t="s">
        <v>4356</v>
      </c>
      <c r="D25" s="106" t="s">
        <v>4357</v>
      </c>
      <c r="E25" s="115" t="s">
        <v>4358</v>
      </c>
    </row>
    <row r="26">
      <c r="A26" s="137" t="str">
        <f>IFERROR(__xludf.DUMMYFUNCTION("JOIN(""-"",""app"",SPLIT(LOWER( C26),"" ""))"),"app-create-rol-for")</f>
        <v>app-create-rol-for</v>
      </c>
      <c r="B26" s="105" t="s">
        <v>4359</v>
      </c>
      <c r="C26" s="106" t="s">
        <v>4360</v>
      </c>
      <c r="D26" s="106" t="s">
        <v>4361</v>
      </c>
      <c r="E26" s="115" t="s">
        <v>4362</v>
      </c>
    </row>
    <row r="27">
      <c r="A27" s="54" t="s">
        <v>4363</v>
      </c>
      <c r="B27" s="8" t="s">
        <v>4364</v>
      </c>
      <c r="C27" s="66" t="s">
        <v>4365</v>
      </c>
      <c r="D27" s="66" t="s">
        <v>4366</v>
      </c>
      <c r="E27" s="163" t="str">
        <f>IFERROR(__xludf.DUMMYFUNCTION("IFERROR(VLOOKUP(C27,IMPORTRANGE(""https://docs.google.com/spreadsheets/d/1SQRLoxD_LXfQNfB7NOxI5jlxbkDlcNPwla_2gSTySP8/edit#gid=274515254"",""Users!$C$2:$D$122""),2,0),0)"),"現場品質")</f>
        <v>現場品質</v>
      </c>
    </row>
    <row r="28">
      <c r="A28" s="54" t="s">
        <v>4367</v>
      </c>
      <c r="C28" s="66" t="s">
        <v>4368</v>
      </c>
      <c r="D28" s="26" t="s">
        <v>4369</v>
      </c>
      <c r="E28" s="163" t="str">
        <f>IFERROR(__xludf.DUMMYFUNCTION("IFERROR(VLOOKUP(C28,IMPORTRANGE(""https://docs.google.com/spreadsheets/d/1SQRLoxD_LXfQNfB7NOxI5jlxbkDlcNPwla_2gSTySP8/edit#gid=274515254"",""Users!$C$2:$D$122""),2,0),0)"),"アセット管理")</f>
        <v>アセット管理</v>
      </c>
    </row>
    <row r="29">
      <c r="A29" s="54" t="s">
        <v>4370</v>
      </c>
      <c r="C29" s="66" t="s">
        <v>2269</v>
      </c>
      <c r="D29" s="26" t="s">
        <v>2270</v>
      </c>
      <c r="E29" s="163" t="str">
        <f>IFERROR(__xludf.DUMMYFUNCTION("IFERROR(VLOOKUP(C29,IMPORTRANGE(""https://docs.google.com/spreadsheets/d/1SQRLoxD_LXfQNfB7NOxI5jlxbkDlcNPwla_2gSTySP8/edit#gid=274515254"",""Users!$C$2:$D$122""),2,0),0)"),"電気")</f>
        <v>電気</v>
      </c>
    </row>
    <row r="30">
      <c r="A30" s="54" t="s">
        <v>4371</v>
      </c>
      <c r="C30" s="26" t="s">
        <v>4372</v>
      </c>
      <c r="D30" s="26" t="s">
        <v>4373</v>
      </c>
      <c r="E30" s="163" t="str">
        <f>IFERROR(__xludf.DUMMYFUNCTION("IFERROR(VLOOKUP(C30,IMPORTRANGE(""https://docs.google.com/spreadsheets/d/1SQRLoxD_LXfQNfB7NOxI5jlxbkDlcNPwla_2gSTySP8/edit#gid=274515254"",""Users!$C$2:$D$122""),2,0),0)"),"関連アセット")</f>
        <v>関連アセット</v>
      </c>
    </row>
    <row r="31">
      <c r="A31" s="54" t="s">
        <v>4374</v>
      </c>
      <c r="C31" s="26" t="s">
        <v>4375</v>
      </c>
      <c r="D31" s="26" t="s">
        <v>4376</v>
      </c>
      <c r="E31" s="163" t="str">
        <f>IFERROR(__xludf.DUMMYFUNCTION("IFERROR(VLOOKUP(C31,IMPORTRANGE(""https://docs.google.com/spreadsheets/d/1SQRLoxD_LXfQNfB7NOxI5jlxbkDlcNPwla_2gSTySP8/edit#gid=274515254"",""Users!$C$2:$D$122""),2,0),0)"),"割り当てアセットなし")</f>
        <v>割り当てアセットなし</v>
      </c>
    </row>
    <row r="32">
      <c r="A32" s="119" t="s">
        <v>4377</v>
      </c>
      <c r="C32" s="26" t="s">
        <v>4378</v>
      </c>
      <c r="D32" s="26" t="s">
        <v>4379</v>
      </c>
      <c r="E32" s="163" t="str">
        <f>IFERROR(__xludf.DUMMYFUNCTION("IFERROR(VLOOKUP(C32,IMPORTRANGE(""https://docs.google.com/spreadsheets/d/1SQRLoxD_LXfQNfB7NOxI5jlxbkDlcNPwla_2gSTySP8/edit#gid=274515254"",""Users!$C$2:$D$122""),2,0),0)"),"新規チーム")</f>
        <v>新規チーム</v>
      </c>
    </row>
    <row r="33">
      <c r="A33" s="108" t="str">
        <f>IFERROR(__xludf.DUMMYFUNCTION("JOIN(""-"",""app"",SPLIT(LOWER( C33),"" ""))"),"app-create-team-for")</f>
        <v>app-create-team-for</v>
      </c>
      <c r="B33" s="103" t="s">
        <v>4380</v>
      </c>
      <c r="C33" s="122" t="s">
        <v>4381</v>
      </c>
      <c r="D33" s="122" t="s">
        <v>4382</v>
      </c>
      <c r="E33" s="115" t="s">
        <v>4383</v>
      </c>
    </row>
    <row r="34">
      <c r="A34" s="108" t="str">
        <f>IFERROR(__xludf.DUMMYFUNCTION("JOIN(""-"",""app"",SPLIT(LOWER( C34),"" ""))"),"app-select-parent-team-(optional)")</f>
        <v>app-select-parent-team-(optional)</v>
      </c>
      <c r="C34" s="122" t="s">
        <v>4384</v>
      </c>
      <c r="D34" s="122" t="s">
        <v>4385</v>
      </c>
      <c r="E34" s="115" t="s">
        <v>4386</v>
      </c>
    </row>
    <row r="35" ht="31.5" customHeight="1">
      <c r="A35" s="119" t="s">
        <v>4387</v>
      </c>
      <c r="B35" s="8" t="s">
        <v>4388</v>
      </c>
      <c r="C35" s="26" t="s">
        <v>4389</v>
      </c>
      <c r="D35" s="26" t="s">
        <v>4390</v>
      </c>
      <c r="E35" s="163" t="str">
        <f>IFERROR(__xludf.DUMMYFUNCTION("IFERROR(VLOOKUP(C35,IMPORTRANGE(""https://docs.google.com/spreadsheets/d/1SQRLoxD_LXfQNfB7NOxI5jlxbkDlcNPwla_2gSTySP8/edit#gid=274515254"",""Users!$C$2:$D$122""),2,0),0)"),"チームを編集")</f>
        <v>チームを編集</v>
      </c>
    </row>
    <row r="36">
      <c r="A36" s="119" t="s">
        <v>4391</v>
      </c>
      <c r="C36" s="26" t="s">
        <v>4392</v>
      </c>
      <c r="D36" s="26" t="s">
        <v>4393</v>
      </c>
      <c r="E36" s="163" t="str">
        <f>IFERROR(__xludf.DUMMYFUNCTION("IFERROR(VLOOKUP(C36,IMPORTRANGE(""https://docs.google.com/spreadsheets/d/1SQRLoxD_LXfQNfB7NOxI5jlxbkDlcNPwla_2gSTySP8/edit#gid=274515254"",""Users!$C$2:$D$122""),2,0),0)"),"チームを削除")</f>
        <v>チームを削除</v>
      </c>
    </row>
    <row r="37">
      <c r="A37" s="108" t="str">
        <f>IFERROR(__xludf.DUMMYFUNCTION("JOIN(""-"",""app"",SPLIT(LOWER( C37),"" ""))"),"app-are-you-sure-you-want-to-delete-the-team?")</f>
        <v>app-are-you-sure-you-want-to-delete-the-team?</v>
      </c>
      <c r="B37" s="105" t="s">
        <v>4394</v>
      </c>
      <c r="C37" s="106" t="s">
        <v>4395</v>
      </c>
      <c r="D37" s="106" t="s">
        <v>4396</v>
      </c>
      <c r="E37" s="115" t="s">
        <v>4397</v>
      </c>
    </row>
    <row r="38">
      <c r="A38" s="119" t="s">
        <v>4398</v>
      </c>
      <c r="B38" s="8" t="s">
        <v>4399</v>
      </c>
      <c r="C38" s="66" t="s">
        <v>4400</v>
      </c>
      <c r="D38" s="66" t="s">
        <v>4401</v>
      </c>
      <c r="E38" s="163" t="str">
        <f>IFERROR(__xludf.DUMMYFUNCTION("IFERROR(VLOOKUP(C38,IMPORTRANGE(""https://docs.google.com/spreadsheets/d/1SQRLoxD_LXfQNfB7NOxI5jlxbkDlcNPwla_2gSTySP8/edit#gid=274515254"",""Users!$C$2:$D$122""),2,0),0)"),"品質管理")</f>
        <v>品質管理</v>
      </c>
    </row>
    <row r="39">
      <c r="A39" s="54" t="s">
        <v>4402</v>
      </c>
      <c r="C39" s="66" t="s">
        <v>4403</v>
      </c>
      <c r="D39" s="66" t="s">
        <v>4404</v>
      </c>
      <c r="E39" s="163" t="str">
        <f>IFERROR(__xludf.DUMMYFUNCTION("IFERROR(VLOOKUP(C39,IMPORTRANGE(""https://docs.google.com/spreadsheets/d/1SQRLoxD_LXfQNfB7NOxI5jlxbkDlcNPwla_2gSTySP8/edit#gid=274515254"",""Users!$C$2:$D$122""),2,0),0)"),"土木チーム")</f>
        <v>土木チーム</v>
      </c>
    </row>
    <row r="40">
      <c r="A40" s="54" t="s">
        <v>4405</v>
      </c>
      <c r="C40" s="66" t="s">
        <v>4406</v>
      </c>
      <c r="D40" s="26" t="s">
        <v>4407</v>
      </c>
      <c r="E40" s="163" t="str">
        <f>IFERROR(__xludf.DUMMYFUNCTION("IFERROR(VLOOKUP(C40,IMPORTRANGE(""https://docs.google.com/spreadsheets/d/1SQRLoxD_LXfQNfB7NOxI5jlxbkDlcNPwla_2gSTySP8/edit#gid=274515254"",""Users!$C$2:$D$122""),2,0),0)"),"現場O&amp;M")</f>
        <v>現場O&amp;M</v>
      </c>
    </row>
    <row r="41">
      <c r="A41" s="54" t="s">
        <v>4408</v>
      </c>
      <c r="C41" s="66" t="s">
        <v>4409</v>
      </c>
      <c r="D41" s="66" t="s">
        <v>4410</v>
      </c>
      <c r="E41" s="163" t="str">
        <f>IFERROR(__xludf.DUMMYFUNCTION("IFERROR(VLOOKUP(C41,IMPORTRANGE(""https://docs.google.com/spreadsheets/d/1SQRLoxD_LXfQNfB7NOxI5jlxbkDlcNPwla_2gSTySP8/edit#gid=274515254"",""Users!$C$2:$D$122""),2,0),0)"),"現場作業")</f>
        <v>現場作業</v>
      </c>
    </row>
    <row r="42">
      <c r="A42" s="54" t="s">
        <v>4411</v>
      </c>
      <c r="C42" s="66" t="s">
        <v>4412</v>
      </c>
      <c r="D42" s="66" t="s">
        <v>4413</v>
      </c>
      <c r="E42" s="163" t="str">
        <f>IFERROR(__xludf.DUMMYFUNCTION("IFERROR(VLOOKUP(C42,IMPORTRANGE(""https://docs.google.com/spreadsheets/d/1SQRLoxD_LXfQNfB7NOxI5jlxbkDlcNPwla_2gSTySP8/edit#gid=274515254"",""Users!$C$2:$D$122""),2,0),0)"),"契約")</f>
        <v>契約</v>
      </c>
    </row>
    <row r="43">
      <c r="A43" s="119" t="s">
        <v>2141</v>
      </c>
      <c r="B43" s="20" t="s">
        <v>4414</v>
      </c>
      <c r="C43" s="66" t="s">
        <v>2143</v>
      </c>
      <c r="D43" s="66" t="s">
        <v>4323</v>
      </c>
      <c r="E43" s="163" t="str">
        <f>IFERROR(__xludf.DUMMYFUNCTION("IFERROR(VLOOKUP(C43,IMPORTRANGE(""https://docs.google.com/spreadsheets/d/1SQRLoxD_LXfQNfB7NOxI5jlxbkDlcNPwla_2gSTySP8/edit#gid=274515254"",""Users!$C$2:$D$122""),2,0),0)"),"ユーザーを招待")</f>
        <v>ユーザーを招待</v>
      </c>
    </row>
    <row r="44">
      <c r="A44" s="119" t="s">
        <v>2145</v>
      </c>
      <c r="C44" s="66" t="s">
        <v>2146</v>
      </c>
      <c r="D44" s="66" t="s">
        <v>4415</v>
      </c>
      <c r="E44" s="163" t="str">
        <f>IFERROR(__xludf.DUMMYFUNCTION("IFERROR(VLOOKUP(C44,IMPORTRANGE(""https://docs.google.com/spreadsheets/d/1SQRLoxD_LXfQNfB7NOxI5jlxbkDlcNPwla_2gSTySP8/edit#gid=274515254"",""Users!$C$2:$D$122""),2,0),0)"),"新規ユーザーを招待")</f>
        <v>新規ユーザーを招待</v>
      </c>
    </row>
    <row r="45">
      <c r="A45" s="119" t="s">
        <v>4416</v>
      </c>
      <c r="B45" s="8" t="s">
        <v>4417</v>
      </c>
      <c r="C45" s="66" t="s">
        <v>4418</v>
      </c>
      <c r="D45" s="26" t="s">
        <v>4419</v>
      </c>
      <c r="E45" s="163" t="str">
        <f>IFERROR(__xludf.DUMMYFUNCTION("IFERROR(VLOOKUP(C45,IMPORTRANGE(""https://docs.google.com/spreadsheets/d/1SQRLoxD_LXfQNfB7NOxI5jlxbkDlcNPwla_2gSTySP8/edit#gid=274515254"",""Users!$C$2:$D$122""),2,0),0)"),"最終表示日")</f>
        <v>最終表示日</v>
      </c>
    </row>
    <row r="46">
      <c r="A46" s="119" t="s">
        <v>4420</v>
      </c>
      <c r="C46" s="66" t="s">
        <v>4421</v>
      </c>
      <c r="D46" s="66" t="s">
        <v>4422</v>
      </c>
      <c r="E46" s="163" t="str">
        <f>IFERROR(__xludf.DUMMYFUNCTION("IFERROR(VLOOKUP(C46,IMPORTRANGE(""https://docs.google.com/spreadsheets/d/1SQRLoxD_LXfQNfB7NOxI5jlxbkDlcNPwla_2gSTySP8/edit#gid=274515254"",""Users!$C$2:$D$122""),2,0),0)"),"追加日")</f>
        <v>追加日</v>
      </c>
    </row>
    <row r="47">
      <c r="A47" s="119" t="s">
        <v>4423</v>
      </c>
      <c r="C47" s="66" t="s">
        <v>4424</v>
      </c>
      <c r="D47" s="26" t="s">
        <v>1600</v>
      </c>
      <c r="E47" s="163" t="str">
        <f>IFERROR(__xludf.DUMMYFUNCTION("IFERROR(VLOOKUP(C47,IMPORTRANGE(""https://docs.google.com/spreadsheets/d/1SQRLoxD_LXfQNfB7NOxI5jlxbkDlcNPwla_2gSTySP8/edit#gid=274515254"",""Users!$C$2:$D$122""),2,0),0)"),"メールID")</f>
        <v>メールID</v>
      </c>
    </row>
    <row r="48">
      <c r="A48" s="119" t="s">
        <v>2350</v>
      </c>
      <c r="C48" s="26" t="s">
        <v>1605</v>
      </c>
      <c r="D48" s="26" t="s">
        <v>2352</v>
      </c>
      <c r="E48" s="163" t="str">
        <f>IFERROR(__xludf.DUMMYFUNCTION("IFERROR(VLOOKUP(C48,IMPORTRANGE(""https://docs.google.com/spreadsheets/d/1SQRLoxD_LXfQNfB7NOxI5jlxbkDlcNPwla_2gSTySP8/edit#gid=274515254"",""Users!$C$2:$D$122""),2,0),0)"),"電話番号")</f>
        <v>電話番号</v>
      </c>
    </row>
    <row r="49">
      <c r="A49" s="119" t="s">
        <v>1732</v>
      </c>
      <c r="C49" s="66" t="s">
        <v>4425</v>
      </c>
      <c r="D49" s="66" t="s">
        <v>4426</v>
      </c>
      <c r="E49" s="163" t="str">
        <f>IFERROR(__xludf.DUMMYFUNCTION("IFERROR(VLOOKUP(C49,IMPORTRANGE(""https://docs.google.com/spreadsheets/d/1SQRLoxD_LXfQNfB7NOxI5jlxbkDlcNPwla_2gSTySP8/edit#gid=274515254"",""Users!$C$2:$D$122""),2,0),0)"),"見つかりません")</f>
        <v>見つかりません</v>
      </c>
    </row>
    <row r="50">
      <c r="A50" s="119" t="s">
        <v>3695</v>
      </c>
      <c r="C50" s="66" t="s">
        <v>3486</v>
      </c>
      <c r="D50" s="66" t="s">
        <v>3487</v>
      </c>
      <c r="E50" s="163" t="str">
        <f>IFERROR(__xludf.DUMMYFUNCTION("IFERROR(VLOOKUP(C50,IMPORTRANGE(""https://docs.google.com/spreadsheets/d/1SQRLoxD_LXfQNfB7NOxI5jlxbkDlcNPwla_2gSTySP8/edit#gid=274515254"",""Users!$C$2:$D$122""),2,0),0)"),"アセット")</f>
        <v>アセット</v>
      </c>
    </row>
    <row r="51">
      <c r="A51" s="119" t="s">
        <v>4427</v>
      </c>
      <c r="C51" s="66" t="s">
        <v>4428</v>
      </c>
      <c r="D51" s="66" t="s">
        <v>4429</v>
      </c>
      <c r="E51" s="163" t="str">
        <f>IFERROR(__xludf.DUMMYFUNCTION("IFERROR(VLOOKUP(C51,IMPORTRANGE(""https://docs.google.com/spreadsheets/d/1SQRLoxD_LXfQNfB7NOxI5jlxbkDlcNPwla_2gSTySP8/edit#gid=274515254"",""Users!$C$2:$D$122""),2,0),0)"),"権限")</f>
        <v>権限</v>
      </c>
    </row>
    <row r="52">
      <c r="A52" s="119" t="s">
        <v>4430</v>
      </c>
      <c r="C52" s="66" t="s">
        <v>4431</v>
      </c>
      <c r="D52" s="66" t="s">
        <v>4432</v>
      </c>
      <c r="E52" s="163" t="str">
        <f>IFERROR(__xludf.DUMMYFUNCTION("IFERROR(VLOOKUP(C52,IMPORTRANGE(""https://docs.google.com/spreadsheets/d/1SQRLoxD_LXfQNfB7NOxI5jlxbkDlcNPwla_2gSTySP8/edit#gid=274515254"",""Users!$C$2:$D$122""),2,0),0)"),"アセットの割り当て")</f>
        <v>アセットの割り当て</v>
      </c>
    </row>
    <row r="53">
      <c r="A53" s="119" t="s">
        <v>4433</v>
      </c>
      <c r="C53" s="66" t="s">
        <v>4434</v>
      </c>
      <c r="D53" s="66" t="s">
        <v>4435</v>
      </c>
      <c r="E53" s="163" t="str">
        <f>IFERROR(__xludf.DUMMYFUNCTION("IFERROR(VLOOKUP(C53,IMPORTRANGE(""https://docs.google.com/spreadsheets/d/1SQRLoxD_LXfQNfB7NOxI5jlxbkDlcNPwla_2gSTySP8/edit#gid=274515254"",""Users!$C$2:$D$122""),2,0),0)"),"アクセス")</f>
        <v>アクセス</v>
      </c>
    </row>
    <row r="54">
      <c r="A54" s="179" t="s">
        <v>1924</v>
      </c>
      <c r="C54" s="66" t="s">
        <v>1925</v>
      </c>
      <c r="D54" s="66" t="s">
        <v>1926</v>
      </c>
      <c r="E54" s="163" t="str">
        <f>IFERROR(__xludf.DUMMYFUNCTION("IFERROR(VLOOKUP(C54,IMPORTRANGE(""https://docs.google.com/spreadsheets/d/1SQRLoxD_LXfQNfB7NOxI5jlxbkDlcNPwla_2gSTySP8/edit#gid=274515254"",""Users!$C$2:$D$122""),2,0),0)"),"読み取り")</f>
        <v>読み取り</v>
      </c>
    </row>
    <row r="55">
      <c r="A55" s="179" t="s">
        <v>1927</v>
      </c>
      <c r="C55" s="66" t="s">
        <v>1928</v>
      </c>
      <c r="D55" s="66" t="s">
        <v>1929</v>
      </c>
      <c r="E55" s="163" t="str">
        <f>IFERROR(__xludf.DUMMYFUNCTION("IFERROR(VLOOKUP(C55,IMPORTRANGE(""https://docs.google.com/spreadsheets/d/1SQRLoxD_LXfQNfB7NOxI5jlxbkDlcNPwla_2gSTySP8/edit#gid=274515254"",""Users!$C$2:$D$122""),2,0),0)"),"書き込み")</f>
        <v>書き込み</v>
      </c>
    </row>
    <row r="56">
      <c r="A56" s="54" t="s">
        <v>4436</v>
      </c>
      <c r="B56" s="8" t="s">
        <v>4437</v>
      </c>
      <c r="C56" s="66" t="s">
        <v>4438</v>
      </c>
      <c r="D56" s="66" t="s">
        <v>4439</v>
      </c>
      <c r="E56" s="163" t="str">
        <f>IFERROR(__xludf.DUMMYFUNCTION("IFERROR(VLOOKUP(C56,IMPORTRANGE(""https://docs.google.com/spreadsheets/d/1SQRLoxD_LXfQNfB7NOxI5jlxbkDlcNPwla_2gSTySP8/edit#gid=274515254"",""Users!$C$2:$D$122""),2,0),0)"),"アセットの削除")</f>
        <v>アセットの削除</v>
      </c>
    </row>
    <row r="57">
      <c r="A57" s="119" t="s">
        <v>4440</v>
      </c>
      <c r="B57" s="8" t="s">
        <v>4441</v>
      </c>
      <c r="C57" s="66" t="s">
        <v>4442</v>
      </c>
      <c r="D57" s="66" t="s">
        <v>4443</v>
      </c>
      <c r="E57" s="163" t="str">
        <f>IFERROR(__xludf.DUMMYFUNCTION("IFERROR(VLOOKUP(C57,IMPORTRANGE(""https://docs.google.com/spreadsheets/d/1SQRLoxD_LXfQNfB7NOxI5jlxbkDlcNPwla_2gSTySP8/edit#gid=274515254"",""Users!$C$2:$D$122""),2,0),0)"),"アセット名検索")</f>
        <v>アセット名検索</v>
      </c>
    </row>
    <row r="58">
      <c r="A58" s="54" t="s">
        <v>4014</v>
      </c>
      <c r="B58" s="20" t="s">
        <v>4444</v>
      </c>
      <c r="C58" s="26" t="s">
        <v>1009</v>
      </c>
      <c r="D58" s="26" t="s">
        <v>2488</v>
      </c>
      <c r="E58" s="163" t="str">
        <f>IFERROR(__xludf.DUMMYFUNCTION("IFERROR(VLOOKUP(C58,IMPORTRANGE(""https://docs.google.com/spreadsheets/d/1SQRLoxD_LXfQNfB7NOxI5jlxbkDlcNPwla_2gSTySP8/edit#gid=274515254"",""Users!$C$2:$D$122""),2,0),0)"),"グループ")</f>
        <v>グループ</v>
      </c>
    </row>
    <row r="59">
      <c r="A59" s="54" t="s">
        <v>1872</v>
      </c>
      <c r="C59" s="26" t="s">
        <v>219</v>
      </c>
      <c r="D59" s="26" t="s">
        <v>220</v>
      </c>
      <c r="E59" s="163" t="str">
        <f>IFERROR(__xludf.DUMMYFUNCTION("IFERROR(VLOOKUP(C59,IMPORTRANGE(""https://docs.google.com/spreadsheets/d/1SQRLoxD_LXfQNfB7NOxI5jlxbkDlcNPwla_2gSTySP8/edit#gid=274515254"",""Users!$C$2:$D$122""),2,0),0)"),"検索")</f>
        <v>検索</v>
      </c>
    </row>
    <row r="60">
      <c r="A60" s="119" t="s">
        <v>4011</v>
      </c>
      <c r="C60" s="26" t="s">
        <v>4012</v>
      </c>
      <c r="D60" s="26" t="s">
        <v>4013</v>
      </c>
      <c r="E60" s="163" t="str">
        <f>IFERROR(__xludf.DUMMYFUNCTION("IFERROR(VLOOKUP(C60,IMPORTRANGE(""https://docs.google.com/spreadsheets/d/1SQRLoxD_LXfQNfB7NOxI5jlxbkDlcNPwla_2gSTySP8/edit#gid=274515254"",""Users!$C$2:$D$122""),2,0),0)"),"コンテナ")</f>
        <v>コンテナ</v>
      </c>
    </row>
    <row r="61">
      <c r="A61" s="54" t="s">
        <v>4445</v>
      </c>
      <c r="C61" s="26" t="s">
        <v>4446</v>
      </c>
      <c r="D61" s="26" t="s">
        <v>4447</v>
      </c>
      <c r="E61" s="163" t="str">
        <f>IFERROR(__xludf.DUMMYFUNCTION("IFERROR(VLOOKUP(C61,IMPORTRANGE(""https://docs.google.com/spreadsheets/d/1SQRLoxD_LXfQNfB7NOxI5jlxbkDlcNPwla_2gSTySP8/edit#gid=274515254"",""Users!$C$2:$D$122""),2,0),0)"),"割り当てコンテナなし")</f>
        <v>割り当てコンテナなし</v>
      </c>
    </row>
    <row r="62">
      <c r="A62" s="119" t="s">
        <v>4448</v>
      </c>
      <c r="C62" s="26" t="s">
        <v>4449</v>
      </c>
      <c r="D62" s="26" t="s">
        <v>4450</v>
      </c>
      <c r="E62" s="163" t="str">
        <f>IFERROR(__xludf.DUMMYFUNCTION("IFERROR(VLOOKUP(C62,IMPORTRANGE(""https://docs.google.com/spreadsheets/d/1SQRLoxD_LXfQNfB7NOxI5jlxbkDlcNPwla_2gSTySP8/edit#gid=274515254"",""Users!$C$2:$D$122""),2,0),0)"),"グループを割り当て")</f>
        <v>グループを割り当て</v>
      </c>
    </row>
    <row r="63">
      <c r="A63" s="119" t="s">
        <v>4451</v>
      </c>
      <c r="B63" s="20" t="s">
        <v>4452</v>
      </c>
      <c r="C63" s="26" t="s">
        <v>4453</v>
      </c>
      <c r="D63" s="26" t="s">
        <v>4454</v>
      </c>
      <c r="E63" s="163" t="str">
        <f>IFERROR(__xludf.DUMMYFUNCTION("IFERROR(VLOOKUP(C63,IMPORTRANGE(""https://docs.google.com/spreadsheets/d/1SQRLoxD_LXfQNfB7NOxI5jlxbkDlcNPwla_2gSTySP8/edit#gid=274515254"",""Users!$C$2:$D$122""),2,0),0)"),"グループ名検索")</f>
        <v>グループ名検索</v>
      </c>
    </row>
    <row r="64">
      <c r="A64" s="54" t="s">
        <v>268</v>
      </c>
      <c r="C64" s="26" t="s">
        <v>269</v>
      </c>
      <c r="D64" s="26" t="s">
        <v>270</v>
      </c>
      <c r="E64" s="163" t="str">
        <f>IFERROR(__xludf.DUMMYFUNCTION("IFERROR(VLOOKUP(C64,IMPORTRANGE(""https://docs.google.com/spreadsheets/d/1SQRLoxD_LXfQNfB7NOxI5jlxbkDlcNPwla_2gSTySP8/edit#gid=274515254"",""Users!$C$2:$D$122""),2,0),0)"),"キャンセル")</f>
        <v>キャンセル</v>
      </c>
    </row>
    <row r="65">
      <c r="A65" s="54" t="s">
        <v>524</v>
      </c>
      <c r="C65" s="26" t="s">
        <v>146</v>
      </c>
      <c r="D65" s="26" t="s">
        <v>147</v>
      </c>
      <c r="E65" s="163" t="str">
        <f>IFERROR(__xludf.DUMMYFUNCTION("IFERROR(VLOOKUP(C65,IMPORTRANGE(""https://docs.google.com/spreadsheets/d/1SQRLoxD_LXfQNfB7NOxI5jlxbkDlcNPwla_2gSTySP8/edit#gid=274515254"",""Users!$C$2:$D$122""),2,0),0)"),"保存")</f>
        <v>保存</v>
      </c>
    </row>
    <row r="66" ht="20.25" customHeight="1">
      <c r="A66" s="119" t="s">
        <v>4455</v>
      </c>
      <c r="B66" s="8" t="s">
        <v>4456</v>
      </c>
      <c r="C66" s="9" t="s">
        <v>4457</v>
      </c>
      <c r="D66" s="9" t="s">
        <v>4458</v>
      </c>
      <c r="E66" s="163" t="str">
        <f>IFERROR(__xludf.DUMMYFUNCTION("IFERROR(VLOOKUP(C66,IMPORTRANGE(""https://docs.google.com/spreadsheets/d/1SQRLoxD_LXfQNfB7NOxI5jlxbkDlcNPwla_2gSTySP8/edit#gid=274515254"",""Users!$C$2:$D$122""),2,0),0)"),"コンテナを割り当て")</f>
        <v>コンテナを割り当て</v>
      </c>
    </row>
    <row r="67" ht="27.75" customHeight="1">
      <c r="A67" s="119" t="s">
        <v>4154</v>
      </c>
      <c r="C67" s="9" t="s">
        <v>2834</v>
      </c>
      <c r="D67" s="9" t="s">
        <v>2835</v>
      </c>
      <c r="E67" s="163" t="str">
        <f>IFERROR(__xludf.DUMMYFUNCTION("IFERROR(VLOOKUP(C67,IMPORTRANGE(""https://docs.google.com/spreadsheets/d/1SQRLoxD_LXfQNfB7NOxI5jlxbkDlcNPwla_2gSTySP8/edit#gid=274515254"",""Users!$C$2:$D$122""),2,0),0)"),"結果が見つかりません")</f>
        <v>結果が見つかりません</v>
      </c>
    </row>
    <row r="68">
      <c r="A68" s="54" t="s">
        <v>2126</v>
      </c>
      <c r="B68" s="8" t="s">
        <v>4459</v>
      </c>
      <c r="C68" s="26" t="s">
        <v>2128</v>
      </c>
      <c r="D68" s="26" t="s">
        <v>4460</v>
      </c>
      <c r="E68" s="163" t="str">
        <f>IFERROR(__xludf.DUMMYFUNCTION("IFERROR(VLOOKUP(C68,IMPORTRANGE(""https://docs.google.com/spreadsheets/d/1SQRLoxD_LXfQNfB7NOxI5jlxbkDlcNPwla_2gSTySP8/edit#gid=274515254"",""Users!$C$2:$D$122""),2,0),0)"),"コア")</f>
        <v>コア</v>
      </c>
    </row>
    <row r="69">
      <c r="A69" s="119" t="s">
        <v>4461</v>
      </c>
      <c r="C69" s="66" t="s">
        <v>4462</v>
      </c>
      <c r="D69" s="26" t="s">
        <v>4463</v>
      </c>
      <c r="E69" s="163" t="str">
        <f>IFERROR(__xludf.DUMMYFUNCTION("IFERROR(VLOOKUP(C69,IMPORTRANGE(""https://docs.google.com/spreadsheets/d/1SQRLoxD_LXfQNfB7NOxI5jlxbkDlcNPwla_2gSTySP8/edit#gid=274515254"",""Users!$C$2:$D$122""),2,0),0)"),"画像をアップロード")</f>
        <v>画像をアップロード</v>
      </c>
    </row>
    <row r="70">
      <c r="A70" s="119" t="s">
        <v>4464</v>
      </c>
      <c r="C70" s="66" t="s">
        <v>4465</v>
      </c>
      <c r="D70" s="26" t="s">
        <v>4466</v>
      </c>
      <c r="E70" s="163" t="str">
        <f>IFERROR(__xludf.DUMMYFUNCTION("IFERROR(VLOOKUP(C70,IMPORTRANGE(""https://docs.google.com/spreadsheets/d/1SQRLoxD_LXfQNfB7NOxI5jlxbkDlcNPwla_2gSTySP8/edit#gid=274515254"",""Users!$C$2:$D$122""),2,0),0)"),"プロジェクトへの画像アップロードを許可")</f>
        <v>プロジェクトへの画像アップロードを許可</v>
      </c>
    </row>
    <row r="71">
      <c r="A71" s="119" t="s">
        <v>4467</v>
      </c>
      <c r="C71" s="66" t="s">
        <v>4468</v>
      </c>
      <c r="D71" s="66" t="s">
        <v>4469</v>
      </c>
      <c r="E71" s="163" t="str">
        <f>IFERROR(__xludf.DUMMYFUNCTION("IFERROR(VLOOKUP(C71,IMPORTRANGE(""https://docs.google.com/spreadsheets/d/1SQRLoxD_LXfQNfB7NOxI5jlxbkDlcNPwla_2gSTySP8/edit#gid=274515254"",""Users!$C$2:$D$122""),2,0),0)"),"レポートをダウンロード")</f>
        <v>レポートをダウンロード</v>
      </c>
    </row>
    <row r="72">
      <c r="A72" s="119" t="s">
        <v>4470</v>
      </c>
      <c r="C72" s="66" t="s">
        <v>4471</v>
      </c>
      <c r="D72" s="26" t="s">
        <v>4472</v>
      </c>
      <c r="E72" s="163" t="str">
        <f>IFERROR(__xludf.DUMMYFUNCTION("IFERROR(VLOOKUP(C72,IMPORTRANGE(""https://docs.google.com/spreadsheets/d/1SQRLoxD_LXfQNfB7NOxI5jlxbkDlcNPwla_2gSTySP8/edit#gid=274515254"",""Users!$C$2:$D$122""),2,0),0)"),"アクセス可能なプロジェクトに対して、オルソ画像、dsm、dtmなどのレポートのダウンロードを許可。")</f>
        <v>アクセス可能なプロジェクトに対して、オルソ画像、dsm、dtmなどのレポートのダウンロードを許可。</v>
      </c>
    </row>
    <row r="73">
      <c r="A73" s="54" t="s">
        <v>4473</v>
      </c>
      <c r="C73" s="66" t="s">
        <v>4474</v>
      </c>
      <c r="D73" s="66" t="s">
        <v>4475</v>
      </c>
      <c r="E73" s="163" t="str">
        <f>IFERROR(__xludf.DUMMYFUNCTION("IFERROR(VLOOKUP(C73,IMPORTRANGE(""https://docs.google.com/spreadsheets/d/1SQRLoxD_LXfQNfB7NOxI5jlxbkDlcNPwla_2gSTySP8/edit#gid=274515254"",""Users!$C$2:$D$122""),2,0),0)"),"レポートを修正")</f>
        <v>レポートを修正</v>
      </c>
    </row>
    <row r="74">
      <c r="A74" s="54" t="s">
        <v>4476</v>
      </c>
      <c r="C74" s="66" t="s">
        <v>4477</v>
      </c>
      <c r="D74" s="26" t="s">
        <v>4478</v>
      </c>
      <c r="E74" s="163" t="str">
        <f>IFERROR(__xludf.DUMMYFUNCTION("IFERROR(VLOOKUP(C74,IMPORTRANGE(""https://docs.google.com/spreadsheets/d/1SQRLoxD_LXfQNfB7NOxI5jlxbkDlcNPwla_2gSTySP8/edit#gid=274515254"",""Users!$C$2:$D$122""),2,0),0)"),"アクセス可能なプロジェクトに対してレポートの追加または削除を許可")</f>
        <v>アクセス可能なプロジェクトに対してレポートの追加または削除を許可</v>
      </c>
    </row>
    <row r="75">
      <c r="A75" s="119" t="s">
        <v>2141</v>
      </c>
      <c r="C75" s="66" t="s">
        <v>2143</v>
      </c>
      <c r="D75" s="66" t="s">
        <v>4479</v>
      </c>
      <c r="E75" s="163" t="str">
        <f>IFERROR(__xludf.DUMMYFUNCTION("IFERROR(VLOOKUP(C75,IMPORTRANGE(""https://docs.google.com/spreadsheets/d/1SQRLoxD_LXfQNfB7NOxI5jlxbkDlcNPwla_2gSTySP8/edit#gid=274515254"",""Users!$C$2:$D$122""),2,0),0)"),"ユーザーを招待")</f>
        <v>ユーザーを招待</v>
      </c>
    </row>
    <row r="76">
      <c r="A76" s="119" t="s">
        <v>4480</v>
      </c>
      <c r="C76" s="26" t="s">
        <v>4481</v>
      </c>
      <c r="D76" s="26" t="s">
        <v>4482</v>
      </c>
      <c r="E76" s="163" t="str">
        <f>IFERROR(__xludf.DUMMYFUNCTION("IFERROR(VLOOKUP(C76,IMPORTRANGE(""https://docs.google.com/spreadsheets/d/1SQRLoxD_LXfQNfB7NOxI5jlxbkDlcNPwla_2gSTySP8/edit#gid=274515254"",""Users!$C$2:$D$122""),2,0),0)"),"ユーザーにユーザのオンボーディングを許可")</f>
        <v>ユーザーにユーザのオンボーディングを許可</v>
      </c>
    </row>
    <row r="77">
      <c r="A77" s="54" t="s">
        <v>4483</v>
      </c>
      <c r="B77" s="8" t="s">
        <v>4484</v>
      </c>
      <c r="C77" s="66" t="s">
        <v>4485</v>
      </c>
      <c r="D77" s="66" t="s">
        <v>4486</v>
      </c>
      <c r="E77" s="163" t="str">
        <f>IFERROR(__xludf.DUMMYFUNCTION("IFERROR(VLOOKUP(C77,IMPORTRANGE(""https://docs.google.com/spreadsheets/d/1SQRLoxD_LXfQNfB7NOxI5jlxbkDlcNPwla_2gSTySP8/edit#gid=274515254"",""Users!$C$2:$D$122""),2,0),0)"),"ゲストユーザーを追加")</f>
        <v>ゲストユーザーを追加</v>
      </c>
    </row>
    <row r="78">
      <c r="A78" s="54" t="s">
        <v>4487</v>
      </c>
      <c r="C78" s="66" t="s">
        <v>4488</v>
      </c>
      <c r="D78" s="66" t="s">
        <v>4489</v>
      </c>
      <c r="E78" s="163" t="str">
        <f>IFERROR(__xludf.DUMMYFUNCTION("IFERROR(VLOOKUP(C78,IMPORTRANGE(""https://docs.google.com/spreadsheets/d/1SQRLoxD_LXfQNfB7NOxI5jlxbkDlcNPwla_2gSTySP8/edit#gid=274515254"",""Users!$C$2:$D$122""),2,0),0)"),"ユーザーに別の組織からのユーザーのオンボーディングを許可")</f>
        <v>ユーザーに別の組織からのユーザーのオンボーディングを許可</v>
      </c>
    </row>
    <row r="79">
      <c r="A79" s="54" t="s">
        <v>4490</v>
      </c>
      <c r="C79" s="180" t="s">
        <v>4491</v>
      </c>
      <c r="D79" s="66" t="s">
        <v>4492</v>
      </c>
      <c r="E79" s="163" t="str">
        <f>IFERROR(__xludf.DUMMYFUNCTION("IFERROR(VLOOKUP(C79,IMPORTRANGE(""https://docs.google.com/spreadsheets/d/1SQRLoxD_LXfQNfB7NOxI5jlxbkDlcNPwla_2gSTySP8/edit#gid=274515254"",""Users!$C$2:$D$122""),2,0),0)"),"アセットを作成")</f>
        <v>アセットを作成</v>
      </c>
    </row>
    <row r="80">
      <c r="A80" s="54" t="s">
        <v>4493</v>
      </c>
      <c r="C80" s="180" t="s">
        <v>4494</v>
      </c>
      <c r="D80" s="66" t="s">
        <v>4495</v>
      </c>
      <c r="E80" s="163" t="str">
        <f>IFERROR(__xludf.DUMMYFUNCTION("IFERROR(VLOOKUP(C80,IMPORTRANGE(""https://docs.google.com/spreadsheets/d/1SQRLoxD_LXfQNfB7NOxI5jlxbkDlcNPwla_2gSTySP8/edit#gid=274515254"",""Users!$C$2:$D$122""),2,0),0)"),"ユーザーにアセット作成を許可")</f>
        <v>ユーザーにアセット作成を許可</v>
      </c>
    </row>
    <row r="81">
      <c r="A81" s="54" t="s">
        <v>4496</v>
      </c>
      <c r="C81" s="180" t="s">
        <v>4497</v>
      </c>
      <c r="D81" s="26" t="s">
        <v>4498</v>
      </c>
      <c r="E81" s="163" t="str">
        <f>IFERROR(__xludf.DUMMYFUNCTION("IFERROR(VLOOKUP(C81,IMPORTRANGE(""https://docs.google.com/spreadsheets/d/1SQRLoxD_LXfQNfB7NOxI5jlxbkDlcNPwla_2gSTySP8/edit#gid=274515254"",""Users!$C$2:$D$122""),2,0),0)"),"コンテナを作成")</f>
        <v>コンテナを作成</v>
      </c>
    </row>
    <row r="82">
      <c r="A82" s="54" t="s">
        <v>4499</v>
      </c>
      <c r="C82" s="180" t="s">
        <v>4500</v>
      </c>
      <c r="D82" s="66" t="s">
        <v>4501</v>
      </c>
      <c r="E82" s="163" t="str">
        <f>IFERROR(__xludf.DUMMYFUNCTION("IFERROR(VLOOKUP(C82,IMPORTRANGE(""https://docs.google.com/spreadsheets/d/1SQRLoxD_LXfQNfB7NOxI5jlxbkDlcNPwla_2gSTySP8/edit#gid=274515254"",""Users!$C$2:$D$122""),2,0),0)"),"ユーザーにコンテナ作成を許可")</f>
        <v>ユーザーにコンテナ作成を許可</v>
      </c>
    </row>
    <row r="83">
      <c r="A83" s="54" t="s">
        <v>4502</v>
      </c>
      <c r="C83" s="180" t="s">
        <v>4503</v>
      </c>
      <c r="D83" s="66" t="s">
        <v>4504</v>
      </c>
      <c r="E83" s="163" t="str">
        <f>IFERROR(__xludf.DUMMYFUNCTION("IFERROR(VLOOKUP(C83,IMPORTRANGE(""https://docs.google.com/spreadsheets/d/1SQRLoxD_LXfQNfB7NOxI5jlxbkDlcNPwla_2gSTySP8/edit#gid=274515254"",""Users!$C$2:$D$122""),2,0),0)"),"役割を作成")</f>
        <v>役割を作成</v>
      </c>
    </row>
    <row r="84">
      <c r="A84" s="54" t="s">
        <v>4505</v>
      </c>
      <c r="C84" s="180" t="s">
        <v>4506</v>
      </c>
      <c r="D84" s="66" t="s">
        <v>4507</v>
      </c>
      <c r="E84" s="163" t="str">
        <f>IFERROR(__xludf.DUMMYFUNCTION("IFERROR(VLOOKUP(C84,IMPORTRANGE(""https://docs.google.com/spreadsheets/d/1SQRLoxD_LXfQNfB7NOxI5jlxbkDlcNPwla_2gSTySP8/edit#gid=274515254"",""Users!$C$2:$D$122""),2,0),0)"),"ユーザーに役割作成を許可")</f>
        <v>ユーザーに役割作成を許可</v>
      </c>
    </row>
    <row r="85">
      <c r="A85" s="54" t="s">
        <v>4508</v>
      </c>
      <c r="C85" s="180" t="s">
        <v>4509</v>
      </c>
      <c r="D85" s="66" t="s">
        <v>4510</v>
      </c>
      <c r="E85" s="163" t="str">
        <f>IFERROR(__xludf.DUMMYFUNCTION("IFERROR(VLOOKUP(C85,IMPORTRANGE(""https://docs.google.com/spreadsheets/d/1SQRLoxD_LXfQNfB7NOxI5jlxbkDlcNPwla_2gSTySP8/edit#gid=274515254"",""Users!$C$2:$D$122""),2,0),0)"),"役割を修正")</f>
        <v>役割を修正</v>
      </c>
    </row>
    <row r="86">
      <c r="A86" s="54" t="s">
        <v>4511</v>
      </c>
      <c r="C86" s="180" t="s">
        <v>4512</v>
      </c>
      <c r="D86" s="26" t="s">
        <v>4513</v>
      </c>
      <c r="E86" s="163" t="str">
        <f>IFERROR(__xludf.DUMMYFUNCTION("IFERROR(VLOOKUP(C86,IMPORTRANGE(""https://docs.google.com/spreadsheets/d/1SQRLoxD_LXfQNfB7NOxI5jlxbkDlcNPwla_2gSTySP8/edit#gid=274515254"",""Users!$C$2:$D$122""),2,0),0)"),"ユーザーに役割修正を許可")</f>
        <v>ユーザーに役割修正を許可</v>
      </c>
    </row>
    <row r="87">
      <c r="A87" s="54" t="s">
        <v>4514</v>
      </c>
      <c r="C87" s="180" t="s">
        <v>4515</v>
      </c>
      <c r="D87" s="66" t="s">
        <v>4516</v>
      </c>
      <c r="E87" s="163" t="str">
        <f>IFERROR(__xludf.DUMMYFUNCTION("IFERROR(VLOOKUP(C87,IMPORTRANGE(""https://docs.google.com/spreadsheets/d/1SQRLoxD_LXfQNfB7NOxI5jlxbkDlcNPwla_2gSTySP8/edit#gid=274515254"",""Users!$C$2:$D$122""),2,0),0)"),"チームを作成")</f>
        <v>チームを作成</v>
      </c>
    </row>
    <row r="88">
      <c r="A88" s="54" t="s">
        <v>4517</v>
      </c>
      <c r="C88" s="180" t="s">
        <v>4518</v>
      </c>
      <c r="D88" s="66" t="s">
        <v>4519</v>
      </c>
      <c r="E88" s="163" t="str">
        <f>IFERROR(__xludf.DUMMYFUNCTION("IFERROR(VLOOKUP(C88,IMPORTRANGE(""https://docs.google.com/spreadsheets/d/1SQRLoxD_LXfQNfB7NOxI5jlxbkDlcNPwla_2gSTySP8/edit#gid=274515254"",""Users!$C$2:$D$122""),2,0),0)"),"ユーザーにチーム作成を許可")</f>
        <v>ユーザーにチーム作成を許可</v>
      </c>
    </row>
    <row r="89">
      <c r="A89" s="54" t="s">
        <v>4520</v>
      </c>
      <c r="C89" s="180" t="s">
        <v>4521</v>
      </c>
      <c r="D89" s="66" t="s">
        <v>4522</v>
      </c>
      <c r="E89" s="163" t="str">
        <f>IFERROR(__xludf.DUMMYFUNCTION("IFERROR(VLOOKUP(C89,IMPORTRANGE(""https://docs.google.com/spreadsheets/d/1SQRLoxD_LXfQNfB7NOxI5jlxbkDlcNPwla_2gSTySP8/edit#gid=274515254"",""Users!$C$2:$D$122""),2,0),0)"),"チームを修正")</f>
        <v>チームを修正</v>
      </c>
    </row>
    <row r="90">
      <c r="A90" s="54" t="s">
        <v>4523</v>
      </c>
      <c r="C90" s="180" t="s">
        <v>4524</v>
      </c>
      <c r="D90" s="66" t="s">
        <v>4525</v>
      </c>
      <c r="E90" s="163" t="str">
        <f>IFERROR(__xludf.DUMMYFUNCTION("IFERROR(VLOOKUP(C90,IMPORTRANGE(""https://docs.google.com/spreadsheets/d/1SQRLoxD_LXfQNfB7NOxI5jlxbkDlcNPwla_2gSTySP8/edit#gid=274515254"",""Users!$C$2:$D$122""),2,0),0)"),"ユーザーにチーム修正を許可")</f>
        <v>ユーザーにチーム修正を許可</v>
      </c>
    </row>
    <row r="91">
      <c r="A91" s="119" t="s">
        <v>4526</v>
      </c>
      <c r="B91" s="8" t="s">
        <v>4527</v>
      </c>
      <c r="C91" s="66" t="s">
        <v>4528</v>
      </c>
      <c r="D91" s="66" t="s">
        <v>4529</v>
      </c>
      <c r="E91" s="163" t="str">
        <f>IFERROR(__xludf.DUMMYFUNCTION("IFERROR(VLOOKUP(C91,IMPORTRANGE(""https://docs.google.com/spreadsheets/d/1SQRLoxD_LXfQNfB7NOxI5jlxbkDlcNPwla_2gSTySP8/edit#gid=274515254"",""Users!$C$2:$D$122""),2,0),0)"),"権限の保存")</f>
        <v>権限の保存</v>
      </c>
    </row>
    <row r="92">
      <c r="A92" s="119" t="s">
        <v>4530</v>
      </c>
      <c r="B92" s="8" t="s">
        <v>4531</v>
      </c>
      <c r="C92" s="26" t="s">
        <v>4532</v>
      </c>
      <c r="D92" s="26" t="s">
        <v>4532</v>
      </c>
      <c r="E92" s="163" t="str">
        <f>IFERROR(__xludf.DUMMYFUNCTION("IFERROR(VLOOKUP(C92,IMPORTRANGE(""https://docs.google.com/spreadsheets/d/1SQRLoxD_LXfQNfB7NOxI5jlxbkDlcNPwla_2gSTySP8/edit#gid=274515254"",""Users!$C$2:$D$122""),2,0),0)"),"サーム")</f>
        <v>サーム</v>
      </c>
    </row>
    <row r="93">
      <c r="A93" s="54" t="s">
        <v>4533</v>
      </c>
      <c r="C93" s="66" t="s">
        <v>4534</v>
      </c>
      <c r="D93" s="66" t="s">
        <v>4535</v>
      </c>
      <c r="E93" s="163" t="str">
        <f>IFERROR(__xludf.DUMMYFUNCTION("IFERROR(VLOOKUP(C93,IMPORTRANGE(""https://docs.google.com/spreadsheets/d/1SQRLoxD_LXfQNfB7NOxI5jlxbkDlcNPwla_2gSTySP8/edit#gid=274515254"",""Users!$C$2:$D$122""),2,0),0)"),"アクセスマップビューワー")</f>
        <v>アクセスマップビューワー</v>
      </c>
    </row>
    <row r="94">
      <c r="A94" s="54" t="s">
        <v>4536</v>
      </c>
      <c r="C94" s="66" t="s">
        <v>4537</v>
      </c>
      <c r="D94" s="66" t="s">
        <v>4538</v>
      </c>
      <c r="E94" s="163" t="str">
        <f>IFERROR(__xludf.DUMMYFUNCTION("IFERROR(VLOOKUP(C94,IMPORTRANGE(""https://docs.google.com/spreadsheets/d/1SQRLoxD_LXfQNfB7NOxI5jlxbkDlcNPwla_2gSTySP8/edit#gid=274515254"",""Users!$C$2:$D$122""),2,0),0)"),"マップビューワーと情報を交換する")</f>
        <v>マップビューワーと情報を交換する</v>
      </c>
    </row>
    <row r="95">
      <c r="A95" s="54" t="s">
        <v>4539</v>
      </c>
      <c r="C95" s="66" t="s">
        <v>4540</v>
      </c>
      <c r="D95" s="66" t="s">
        <v>4541</v>
      </c>
      <c r="E95" s="163" t="str">
        <f>IFERROR(__xludf.DUMMYFUNCTION("IFERROR(VLOOKUP(C95,IMPORTRANGE(""https://docs.google.com/spreadsheets/d/1SQRLoxD_LXfQNfB7NOxI5jlxbkDlcNPwla_2gSTySP8/edit#gid=274515254"",""Users!$C$2:$D$122""),2,0),0)"),"新規ビューを作成")</f>
        <v>新規ビューを作成</v>
      </c>
    </row>
    <row r="96">
      <c r="A96" s="54" t="s">
        <v>4542</v>
      </c>
      <c r="C96" s="66" t="s">
        <v>4543</v>
      </c>
      <c r="D96" s="66" t="s">
        <v>4544</v>
      </c>
      <c r="E96" s="163" t="str">
        <f>IFERROR(__xludf.DUMMYFUNCTION("IFERROR(VLOOKUP(C96,IMPORTRANGE(""https://docs.google.com/spreadsheets/d/1SQRLoxD_LXfQNfB7NOxI5jlxbkDlcNPwla_2gSTySP8/edit#gid=274515254"",""Users!$C$2:$D$122""),2,0),0)"),"利用可能なデータセットから新規ビューを作成")</f>
        <v>利用可能なデータセットから新規ビューを作成</v>
      </c>
    </row>
    <row r="97">
      <c r="A97" s="54" t="s">
        <v>1730</v>
      </c>
      <c r="B97" s="8" t="s">
        <v>4545</v>
      </c>
      <c r="C97" s="26" t="s">
        <v>379</v>
      </c>
      <c r="D97" s="26" t="s">
        <v>379</v>
      </c>
      <c r="E97" s="163" t="str">
        <f>IFERROR(__xludf.DUMMYFUNCTION("IFERROR(VLOOKUP(C97,IMPORTRANGE(""https://docs.google.com/spreadsheets/d/1SQRLoxD_LXfQNfB7NOxI5jlxbkDlcNPwla_2gSTySP8/edit#gid=274515254"",""Users!$C$2:$D$122""),2,0),0)"),"テラ")</f>
        <v>テラ</v>
      </c>
    </row>
    <row r="98">
      <c r="A98" s="54" t="s">
        <v>4546</v>
      </c>
      <c r="C98" s="66" t="s">
        <v>4547</v>
      </c>
      <c r="D98" s="66" t="s">
        <v>4548</v>
      </c>
      <c r="E98" s="163" t="str">
        <f>IFERROR(__xludf.DUMMYFUNCTION("IFERROR(VLOOKUP(C98,IMPORTRANGE(""https://docs.google.com/spreadsheets/d/1SQRLoxD_LXfQNfB7NOxI5jlxbkDlcNPwla_2gSTySP8/edit#gid=274515254"",""Users!$C$2:$D$122""),2,0),0)"),"GISツール")</f>
        <v>GISツール</v>
      </c>
    </row>
    <row r="99">
      <c r="A99" s="54" t="s">
        <v>4549</v>
      </c>
      <c r="C99" s="66" t="s">
        <v>4550</v>
      </c>
      <c r="D99" s="26" t="s">
        <v>4551</v>
      </c>
      <c r="E99" s="163" t="str">
        <f>IFERROR(__xludf.DUMMYFUNCTION("IFERROR(VLOOKUP(C99,IMPORTRANGE(""https://docs.google.com/spreadsheets/d/1SQRLoxD_LXfQNfB7NOxI5jlxbkDlcNPwla_2gSTySP8/edit#gid=274515254"",""Users!$C$2:$D$122""),2,0),0)"),"容量計算 (基準高度のみ) および標高プロファイルなどの基本GISツールにアクセス")</f>
        <v>容量計算 (基準高度のみ) および標高プロファイルなどの基本GISツールにアクセス</v>
      </c>
    </row>
    <row r="100">
      <c r="A100" s="54" t="s">
        <v>4552</v>
      </c>
      <c r="C100" s="66" t="s">
        <v>4553</v>
      </c>
      <c r="D100" s="66" t="s">
        <v>4554</v>
      </c>
      <c r="E100" s="163" t="str">
        <f>IFERROR(__xludf.DUMMYFUNCTION("IFERROR(VLOOKUP(C100,IMPORTRANGE(""https://docs.google.com/spreadsheets/d/1SQRLoxD_LXfQNfB7NOxI5jlxbkDlcNPwla_2gSTySP8/edit#gid=274515254"",""Users!$C$2:$D$122""),2,0),0)"),"高度なGISツール")</f>
        <v>高度なGISツール</v>
      </c>
    </row>
    <row r="101">
      <c r="A101" s="54" t="s">
        <v>4555</v>
      </c>
      <c r="C101" s="66" t="s">
        <v>4556</v>
      </c>
      <c r="D101" s="26" t="s">
        <v>4557</v>
      </c>
      <c r="E101" s="163" t="str">
        <f>IFERROR(__xludf.DUMMYFUNCTION("IFERROR(VLOOKUP(C101,IMPORTRANGE(""https://docs.google.com/spreadsheets/d/1SQRLoxD_LXfQNfB7NOxI5jlxbkDlcNPwla_2gSTySP8/edit#gid=274515254"",""Users!$C$2:$D$122""),2,0),0)"),"全基本ツール＋三角測量による容積、地対地容積計算")</f>
        <v>全基本ツール＋三角測量による容積、地対地容積計算</v>
      </c>
    </row>
    <row r="102">
      <c r="A102" s="54" t="s">
        <v>4558</v>
      </c>
      <c r="C102" s="66" t="s">
        <v>4559</v>
      </c>
      <c r="D102" s="26" t="s">
        <v>4560</v>
      </c>
      <c r="E102" s="163" t="str">
        <f>IFERROR(__xludf.DUMMYFUNCTION("IFERROR(VLOOKUP(C102,IMPORTRANGE(""https://docs.google.com/spreadsheets/d/1SQRLoxD_LXfQNfB7NOxI5jlxbkDlcNPwla_2gSTySP8/edit#gid=274515254"",""Users!$C$2:$D$122""),2,0),0)"),"特徴を修正")</f>
        <v>特徴を修正</v>
      </c>
    </row>
    <row r="103">
      <c r="A103" s="54" t="s">
        <v>4561</v>
      </c>
      <c r="C103" s="66" t="s">
        <v>4562</v>
      </c>
      <c r="D103" s="26" t="s">
        <v>4563</v>
      </c>
      <c r="E103" s="163" t="str">
        <f>IFERROR(__xludf.DUMMYFUNCTION("IFERROR(VLOOKUP(C103,IMPORTRANGE(""https://docs.google.com/spreadsheets/d/1SQRLoxD_LXfQNfB7NOxI5jlxbkDlcNPwla_2gSTySP8/edit#gid=274515254"",""Users!$C$2:$D$122""),2,0),0)"),"特徴の追加、更新、削除機能")</f>
        <v>特徴の追加、更新、削除機能</v>
      </c>
    </row>
    <row r="104">
      <c r="A104" s="54" t="s">
        <v>4564</v>
      </c>
      <c r="C104" s="66" t="s">
        <v>4565</v>
      </c>
      <c r="D104" s="26" t="s">
        <v>4566</v>
      </c>
      <c r="E104" s="163" t="str">
        <f>IFERROR(__xludf.DUMMYFUNCTION("IFERROR(VLOOKUP(C104,IMPORTRANGE(""https://docs.google.com/spreadsheets/d/1SQRLoxD_LXfQNfB7NOxI5jlxbkDlcNPwla_2gSTySP8/edit#gid=274515254"",""Users!$C$2:$D$122""),2,0),0)"),"特徴タイプを修正")</f>
        <v>特徴タイプを修正</v>
      </c>
    </row>
    <row r="105">
      <c r="A105" s="54" t="s">
        <v>4567</v>
      </c>
      <c r="C105" s="66" t="s">
        <v>4568</v>
      </c>
      <c r="D105" s="26" t="s">
        <v>4569</v>
      </c>
      <c r="E105" s="163" t="str">
        <f>IFERROR(__xludf.DUMMYFUNCTION("IFERROR(VLOOKUP(C105,IMPORTRANGE(""https://docs.google.com/spreadsheets/d/1SQRLoxD_LXfQNfB7NOxI5jlxbkDlcNPwla_2gSTySP8/edit#gid=274515254"",""Users!$C$2:$D$122""),2,0),0)"),"特徴タイプおよび特徴タイプグループの追加、更新、削除機能")</f>
        <v>特徴タイプおよび特徴タイプグループの追加、更新、削除機能</v>
      </c>
    </row>
    <row r="106">
      <c r="A106" s="119" t="s">
        <v>2131</v>
      </c>
      <c r="B106" s="8" t="s">
        <v>4570</v>
      </c>
      <c r="C106" s="66" t="s">
        <v>2132</v>
      </c>
      <c r="D106" s="66" t="s">
        <v>2133</v>
      </c>
      <c r="E106" s="163" t="str">
        <f>IFERROR(__xludf.DUMMYFUNCTION("IFERROR(VLOOKUP(C106,IMPORTRANGE(""https://docs.google.com/spreadsheets/d/1SQRLoxD_LXfQNfB7NOxI5jlxbkDlcNPwla_2gSTySP8/edit#gid=274515254"",""Users!$C$2:$D$122""),2,0),0)"),"処理中")</f>
        <v>処理中</v>
      </c>
    </row>
    <row r="107">
      <c r="A107" s="54" t="s">
        <v>4571</v>
      </c>
      <c r="C107" s="66" t="s">
        <v>4572</v>
      </c>
      <c r="D107" s="26" t="s">
        <v>4573</v>
      </c>
      <c r="E107" s="163" t="str">
        <f>IFERROR(__xludf.DUMMYFUNCTION("IFERROR(VLOOKUP(C107,IMPORTRANGE(""https://docs.google.com/spreadsheets/d/1SQRLoxD_LXfQNfB7NOxI5jlxbkDlcNPwla_2gSTySP8/edit#gid=274515254"",""Users!$C$2:$D$122""),2,0),0)"),"地勢処理")</f>
        <v>地勢処理</v>
      </c>
    </row>
    <row r="108">
      <c r="A108" s="54" t="s">
        <v>4574</v>
      </c>
      <c r="C108" s="66" t="s">
        <v>4575</v>
      </c>
      <c r="D108" s="26" t="s">
        <v>4576</v>
      </c>
      <c r="E108" s="163" t="str">
        <f>IFERROR(__xludf.DUMMYFUNCTION("IFERROR(VLOOKUP(C108,IMPORTRANGE(""https://docs.google.com/spreadsheets/d/1SQRLoxD_LXfQNfB7NOxI5jlxbkDlcNPwla_2gSTySP8/edit#gid=274515254"",""Users!$C$2:$D$122""),2,0),0)"),"視覚的および一般的地勢データを処理")</f>
        <v>視覚的および一般的地勢データを処理</v>
      </c>
    </row>
    <row r="109">
      <c r="A109" s="54" t="s">
        <v>4577</v>
      </c>
      <c r="C109" s="66" t="s">
        <v>4578</v>
      </c>
      <c r="D109" s="66" t="s">
        <v>4579</v>
      </c>
      <c r="E109" s="163" t="str">
        <f>IFERROR(__xludf.DUMMYFUNCTION("IFERROR(VLOOKUP(C109,IMPORTRANGE(""https://docs.google.com/spreadsheets/d/1SQRLoxD_LXfQNfB7NOxI5jlxbkDlcNPwla_2gSTySP8/edit#gid=274515254"",""Users!$C$2:$D$122""),2,0),0)"),"サーマル処理")</f>
        <v>サーマル処理</v>
      </c>
    </row>
    <row r="110">
      <c r="A110" s="54" t="s">
        <v>4580</v>
      </c>
      <c r="C110" s="66" t="s">
        <v>4581</v>
      </c>
      <c r="D110" s="66" t="s">
        <v>4582</v>
      </c>
      <c r="E110" s="163" t="str">
        <f>IFERROR(__xludf.DUMMYFUNCTION("IFERROR(VLOOKUP(C110,IMPORTRANGE(""https://docs.google.com/spreadsheets/d/1SQRLoxD_LXfQNfB7NOxI5jlxbkDlcNPwla_2gSTySP8/edit#gid=274515254"",""Users!$C$2:$D$122""),2,0),0)"),"サーマルデータ処理")</f>
        <v>サーマルデータ処理</v>
      </c>
    </row>
    <row r="111">
      <c r="A111" s="54" t="s">
        <v>4583</v>
      </c>
      <c r="B111" s="8" t="s">
        <v>4584</v>
      </c>
      <c r="C111" s="26" t="s">
        <v>4585</v>
      </c>
      <c r="D111" s="26" t="s">
        <v>4586</v>
      </c>
      <c r="E111" s="163" t="str">
        <f>IFERROR(__xludf.DUMMYFUNCTION("IFERROR(VLOOKUP(C111,IMPORTRANGE(""https://docs.google.com/spreadsheets/d/1SQRLoxD_LXfQNfB7NOxI5jlxbkDlcNPwla_2gSTySP8/edit#gid=274515254"",""Users!$C$2:$D$122""),2,0),0)"),"ミッションおよびリンクアプリ")</f>
        <v>ミッションおよびリンクアプリ</v>
      </c>
    </row>
    <row r="112">
      <c r="A112" s="54" t="s">
        <v>4587</v>
      </c>
      <c r="C112" s="66" t="s">
        <v>4588</v>
      </c>
      <c r="D112" s="66" t="s">
        <v>4589</v>
      </c>
      <c r="E112" s="163" t="str">
        <f>IFERROR(__xludf.DUMMYFUNCTION("IFERROR(VLOOKUP(C112,IMPORTRANGE(""https://docs.google.com/spreadsheets/d/1SQRLoxD_LXfQNfB7NOxI5jlxbkDlcNPwla_2gSTySP8/edit#gid=274515254"",""Users!$C$2:$D$122""),2,0),0)"),"ミッションを修正")</f>
        <v>ミッションを修正</v>
      </c>
    </row>
    <row r="113">
      <c r="A113" s="54" t="s">
        <v>4590</v>
      </c>
      <c r="C113" s="66" t="s">
        <v>4591</v>
      </c>
      <c r="D113" s="26" t="s">
        <v>4592</v>
      </c>
      <c r="E113" s="163" t="str">
        <f>IFERROR(__xludf.DUMMYFUNCTION("IFERROR(VLOOKUP(C113,IMPORTRANGE(""https://docs.google.com/spreadsheets/d/1SQRLoxD_LXfQNfB7NOxI5jlxbkDlcNPwla_2gSTySP8/edit#gid=274515254"",""Users!$C$2:$D$122""),2,0),0)"),"ミッションの作成、更新、または削除")</f>
        <v>ミッションの作成、更新、または削除</v>
      </c>
    </row>
    <row r="114">
      <c r="A114" s="54" t="s">
        <v>4593</v>
      </c>
      <c r="C114" s="66" t="s">
        <v>4594</v>
      </c>
      <c r="D114" s="66" t="s">
        <v>4595</v>
      </c>
      <c r="E114" s="163" t="str">
        <f>IFERROR(__xludf.DUMMYFUNCTION("IFERROR(VLOOKUP(C114,IMPORTRANGE(""https://docs.google.com/spreadsheets/d/1SQRLoxD_LXfQNfB7NOxI5jlxbkDlcNPwla_2gSTySP8/edit#gid=274515254"",""Users!$C$2:$D$122""),2,0),0)"),"ミッションをフライ")</f>
        <v>ミッションをフライ</v>
      </c>
    </row>
    <row r="115">
      <c r="A115" s="54" t="s">
        <v>4596</v>
      </c>
      <c r="C115" s="66" t="s">
        <v>4597</v>
      </c>
      <c r="D115" s="26" t="s">
        <v>4598</v>
      </c>
      <c r="E115" s="163" t="str">
        <f>IFERROR(__xludf.DUMMYFUNCTION("IFERROR(VLOOKUP(C115,IMPORTRANGE(""https://docs.google.com/spreadsheets/d/1SQRLoxD_LXfQNfB7NOxI5jlxbkDlcNPwla_2gSTySP8/edit#gid=274515254"",""Users!$C$2:$D$122""),2,0),0)"),"リンクアプリケーションにアクセスし、利用可能なミッションをフライ")</f>
        <v>リンクアプリケーションにアクセスし、利用可能なミッションをフライ</v>
      </c>
    </row>
    <row r="116">
      <c r="A116" s="54" t="s">
        <v>3916</v>
      </c>
      <c r="B116" s="8" t="s">
        <v>4599</v>
      </c>
      <c r="C116" s="66" t="s">
        <v>985</v>
      </c>
      <c r="D116" s="66" t="s">
        <v>985</v>
      </c>
      <c r="E116" s="163" t="str">
        <f>IFERROR(__xludf.DUMMYFUNCTION("IFERROR(VLOOKUP(C116,IMPORTRANGE(""https://docs.google.com/spreadsheets/d/1SQRLoxD_LXfQNfB7NOxI5jlxbkDlcNPwla_2gSTySP8/edit#gid=274515254"",""Users!$C$2:$D$122""),2,0),0)"),"Vault")</f>
        <v>Vault</v>
      </c>
    </row>
    <row r="117">
      <c r="A117" s="54" t="s">
        <v>4600</v>
      </c>
      <c r="C117" s="66" t="s">
        <v>4601</v>
      </c>
      <c r="D117" s="66" t="s">
        <v>4602</v>
      </c>
      <c r="E117" s="163" t="str">
        <f>IFERROR(__xludf.DUMMYFUNCTION("IFERROR(VLOOKUP(C117,IMPORTRANGE(""https://docs.google.com/spreadsheets/d/1SQRLoxD_LXfQNfB7NOxI5jlxbkDlcNPwla_2gSTySP8/edit#gid=274515254"",""Users!$C$2:$D$122""),2,0),0)"),"項目を作成／修正")</f>
        <v>項目を作成／修正</v>
      </c>
    </row>
    <row r="118">
      <c r="A118" s="54" t="s">
        <v>4603</v>
      </c>
      <c r="C118" s="66" t="s">
        <v>4604</v>
      </c>
      <c r="D118" s="26" t="s">
        <v>4605</v>
      </c>
      <c r="E118" s="163" t="str">
        <f>IFERROR(__xludf.DUMMYFUNCTION("IFERROR(VLOOKUP(C118,IMPORTRANGE(""https://docs.google.com/spreadsheets/d/1SQRLoxD_LXfQNfB7NOxI5jlxbkDlcNPwla_2gSTySP8/edit#gid=274515254"",""Users!$C$2:$D$122""),2,0),0)"),"ファイル／フォルダを作成、更新、または削除")</f>
        <v>ファイル／フォルダを作成、更新、または削除</v>
      </c>
    </row>
    <row r="119" ht="21.75" customHeight="1">
      <c r="A119" s="54" t="s">
        <v>4606</v>
      </c>
      <c r="B119" s="8" t="s">
        <v>4607</v>
      </c>
      <c r="C119" s="66" t="s">
        <v>4608</v>
      </c>
      <c r="D119" s="66" t="s">
        <v>4609</v>
      </c>
      <c r="E119" s="163" t="str">
        <f>IFERROR(__xludf.DUMMYFUNCTION("IFERROR(VLOOKUP(C119,IMPORTRANGE(""https://docs.google.com/spreadsheets/d/1SQRLoxD_LXfQNfB7NOxI5jlxbkDlcNPwla_2gSTySP8/edit#gid=274515254"",""Users!$C$2:$D$122""),2,0),0)"),"チケット作成／修正")</f>
        <v>チケット作成／修正</v>
      </c>
    </row>
    <row r="120" ht="18.75" customHeight="1">
      <c r="A120" s="54" t="s">
        <v>4610</v>
      </c>
      <c r="C120" s="66" t="s">
        <v>4611</v>
      </c>
      <c r="D120" s="26" t="s">
        <v>4612</v>
      </c>
      <c r="E120" s="163" t="str">
        <f>IFERROR(__xludf.DUMMYFUNCTION("IFERROR(VLOOKUP(C120,IMPORTRANGE(""https://docs.google.com/spreadsheets/d/1SQRLoxD_LXfQNfB7NOxI5jlxbkDlcNPwla_2gSTySP8/edit#gid=274515254"",""Users!$C$2:$D$122""),2,0),0)"),"チケットの作成、更新、または削除")</f>
        <v>チケットの作成、更新、または削除</v>
      </c>
    </row>
    <row r="121">
      <c r="A121" s="54" t="s">
        <v>4613</v>
      </c>
      <c r="B121" s="8" t="s">
        <v>4614</v>
      </c>
      <c r="C121" s="66" t="s">
        <v>4615</v>
      </c>
      <c r="D121" s="66" t="s">
        <v>4616</v>
      </c>
      <c r="E121" s="163" t="str">
        <f>IFERROR(__xludf.DUMMYFUNCTION("IFERROR(VLOOKUP(C121,IMPORTRANGE(""https://docs.google.com/spreadsheets/d/1SQRLoxD_LXfQNfB7NOxI5jlxbkDlcNPwla_2gSTySP8/edit#gid=274515254"",""Users!$C$2:$D$122""),2,0),0)"),"テスト")</f>
        <v>テスト</v>
      </c>
    </row>
    <row r="122">
      <c r="A122" s="181" t="s">
        <v>4617</v>
      </c>
      <c r="B122" s="182"/>
      <c r="C122" s="183" t="s">
        <v>2158</v>
      </c>
      <c r="D122" s="161" t="s">
        <v>2159</v>
      </c>
      <c r="E122" s="163" t="str">
        <f>IFERROR(__xludf.DUMMYFUNCTION("IFERROR(VLOOKUP(C122,IMPORTRANGE(""https://docs.google.com/spreadsheets/d/1SQRLoxD_LXfQNfB7NOxI5jlxbkDlcNPwla_2gSTySP8/edit#gid=274515254"",""Users!$C$2:$D$122""),2,0),0)"),"メールアドレスを入力してEnterキーを押す")</f>
        <v>メールアドレスを入力してEnterキーを押す</v>
      </c>
    </row>
    <row r="123">
      <c r="A123" s="108" t="s">
        <v>4618</v>
      </c>
      <c r="B123" s="106"/>
      <c r="C123" s="161" t="s">
        <v>4619</v>
      </c>
      <c r="D123" s="161" t="s">
        <v>2165</v>
      </c>
      <c r="E123" s="163" t="str">
        <f>IFERROR(__xludf.DUMMYFUNCTION("IFERROR(VLOOKUP(C123,IMPORTRANGE(""https://docs.google.com/spreadsheets/d/1SQRLoxD_LXfQNfB7NOxI5jlxbkDlcNPwla_2gSTySP8/edit#gid=274515254"",""Users!$C$2:$D$122""),2,0),0)"),"タイプ名")</f>
        <v>タイプ名</v>
      </c>
    </row>
    <row r="124">
      <c r="A124" s="108" t="s">
        <v>487</v>
      </c>
      <c r="B124" s="106"/>
      <c r="C124" s="161" t="s">
        <v>489</v>
      </c>
      <c r="D124" s="161" t="s">
        <v>490</v>
      </c>
      <c r="E124" s="163" t="str">
        <f>IFERROR(__xludf.DUMMYFUNCTION("IFERROR(VLOOKUP(C124,IMPORTRANGE(""https://docs.google.com/spreadsheets/d/1SQRLoxD_LXfQNfB7NOxI5jlxbkDlcNPwla_2gSTySP8/edit#gid=274515254"",""Users!$C$2:$D$122""),2,0),0)"),"フォーム名")</f>
        <v>フォーム名</v>
      </c>
    </row>
    <row r="125">
      <c r="A125" s="108" t="s">
        <v>4620</v>
      </c>
      <c r="B125" s="106"/>
      <c r="C125" s="161" t="s">
        <v>1524</v>
      </c>
      <c r="D125" s="161" t="s">
        <v>1525</v>
      </c>
      <c r="E125" s="163" t="str">
        <f>IFERROR(__xludf.DUMMYFUNCTION("IFERROR(VLOOKUP(C125,IMPORTRANGE(""https://docs.google.com/spreadsheets/d/1SQRLoxD_LXfQNfB7NOxI5jlxbkDlcNPwla_2gSTySP8/edit#gid=274515254"",""Users!$C$2:$D$122""),2,0),0)"),"ここにフォームの説明を入力")</f>
        <v>ここにフォームの説明を入力</v>
      </c>
    </row>
    <row r="126">
      <c r="A126" s="108" t="s">
        <v>4621</v>
      </c>
      <c r="B126" s="106"/>
      <c r="C126" s="161" t="s">
        <v>4622</v>
      </c>
      <c r="D126" s="161" t="s">
        <v>4623</v>
      </c>
      <c r="E126" s="163" t="str">
        <f>IFERROR(__xludf.DUMMYFUNCTION("IFERROR(VLOOKUP(C126,IMPORTRANGE(""https://docs.google.com/spreadsheets/d/1SQRLoxD_LXfQNfB7NOxI5jlxbkDlcNPwla_2gSTySP8/edit#gid=274515254"",""Users!$C$2:$D$122""),2,0),0)"),"プロパティ入力")</f>
        <v>プロパティ入力</v>
      </c>
    </row>
    <row r="127">
      <c r="A127" s="108" t="s">
        <v>4624</v>
      </c>
      <c r="B127" s="106"/>
      <c r="C127" s="161" t="s">
        <v>4625</v>
      </c>
      <c r="D127" s="161" t="s">
        <v>4626</v>
      </c>
      <c r="E127" s="163" t="str">
        <f>IFERROR(__xludf.DUMMYFUNCTION("IFERROR(VLOOKUP(C127,IMPORTRANGE(""https://docs.google.com/spreadsheets/d/1SQRLoxD_LXfQNfB7NOxI5jlxbkDlcNPwla_2gSTySP8/edit#gid=274515254"",""Users!$C$2:$D$122""),2,0),0)"),"バージョン名")</f>
        <v>バージョン名</v>
      </c>
    </row>
    <row r="128">
      <c r="A128" s="108" t="s">
        <v>4627</v>
      </c>
      <c r="B128" s="106"/>
      <c r="C128" s="161" t="s">
        <v>4628</v>
      </c>
      <c r="D128" s="161" t="s">
        <v>4629</v>
      </c>
      <c r="E128" s="163" t="str">
        <f>IFERROR(__xludf.DUMMYFUNCTION("IFERROR(VLOOKUP(C128,IMPORTRANGE(""https://docs.google.com/spreadsheets/d/1SQRLoxD_LXfQNfB7NOxI5jlxbkDlcNPwla_2gSTySP8/edit#gid=274515254"",""Users!$C$2:$D$122""),2,0),0)"),"期間")</f>
        <v>期間</v>
      </c>
    </row>
    <row r="129">
      <c r="A129" s="108" t="s">
        <v>4630</v>
      </c>
      <c r="B129" s="106"/>
      <c r="C129" s="161" t="s">
        <v>4631</v>
      </c>
      <c r="D129" s="161" t="s">
        <v>4632</v>
      </c>
      <c r="E129" s="163" t="str">
        <f>IFERROR(__xludf.DUMMYFUNCTION("IFERROR(VLOOKUP(C129,IMPORTRANGE(""https://docs.google.com/spreadsheets/d/1SQRLoxD_LXfQNfB7NOxI5jlxbkDlcNPwla_2gSTySP8/edit#gid=274515254"",""Users!$C$2:$D$122""),2,0),0)"),"旧パスワードを入力")</f>
        <v>旧パスワードを入力</v>
      </c>
    </row>
    <row r="130">
      <c r="A130" s="108" t="s">
        <v>4633</v>
      </c>
      <c r="B130" s="106"/>
      <c r="C130" s="161" t="s">
        <v>4634</v>
      </c>
      <c r="D130" s="161" t="s">
        <v>4635</v>
      </c>
      <c r="E130" s="115" t="s">
        <v>4636</v>
      </c>
    </row>
    <row r="131">
      <c r="A131" s="108" t="s">
        <v>4637</v>
      </c>
      <c r="B131" s="106"/>
      <c r="C131" s="161" t="s">
        <v>1374</v>
      </c>
      <c r="D131" s="184" t="s">
        <v>1375</v>
      </c>
      <c r="E131" s="115" t="s">
        <v>4638</v>
      </c>
    </row>
    <row r="132">
      <c r="A132" s="108" t="s">
        <v>4639</v>
      </c>
      <c r="B132" s="106"/>
      <c r="C132" s="161" t="s">
        <v>4640</v>
      </c>
      <c r="D132" s="161" t="s">
        <v>4641</v>
      </c>
      <c r="E132" s="115" t="s">
        <v>4642</v>
      </c>
    </row>
    <row r="133">
      <c r="A133" s="108" t="s">
        <v>4643</v>
      </c>
      <c r="B133" s="106"/>
      <c r="C133" s="161" t="s">
        <v>4644</v>
      </c>
      <c r="D133" s="161" t="s">
        <v>4645</v>
      </c>
      <c r="E133" s="115" t="s">
        <v>4646</v>
      </c>
    </row>
    <row r="134">
      <c r="A134" s="108" t="s">
        <v>4647</v>
      </c>
      <c r="B134" s="106"/>
      <c r="C134" s="161" t="s">
        <v>4648</v>
      </c>
      <c r="D134" s="161" t="s">
        <v>4649</v>
      </c>
      <c r="E134" s="115" t="s">
        <v>4650</v>
      </c>
    </row>
    <row r="135">
      <c r="A135" s="108" t="str">
        <f>IFERROR(__xludf.DUMMYFUNCTION("JOIN(""-"",""app"",SPLIT(LOWER( C135),"" ""))"),"app-users-will-receive-an-email-to-signup-your-organization.")</f>
        <v>app-users-will-receive-an-email-to-signup-your-organization.</v>
      </c>
      <c r="B135" s="106"/>
      <c r="C135" s="161" t="s">
        <v>4651</v>
      </c>
      <c r="D135" s="161" t="s">
        <v>2150</v>
      </c>
      <c r="E135" s="115" t="s">
        <v>4652</v>
      </c>
    </row>
    <row r="136">
      <c r="A136" s="108" t="str">
        <f>IFERROR(__xludf.DUMMYFUNCTION("JOIN(""-"",""app"",SPLIT(LOWER( C136),"" ""))"),"app-users-from-other-organizations-will-be-added-as-a-guest-in-your-organization,-you-can-add-them-to-resources-/-teams-as-usual.")</f>
        <v>app-users-from-other-organizations-will-be-added-as-a-guest-in-your-organization,-you-can-add-them-to-resources-/-teams-as-usual.</v>
      </c>
      <c r="B136" s="106"/>
      <c r="C136" s="161" t="s">
        <v>4653</v>
      </c>
      <c r="D136" s="161" t="s">
        <v>2173</v>
      </c>
      <c r="E136" s="115" t="s">
        <v>4654</v>
      </c>
    </row>
    <row r="137">
      <c r="A137" s="137" t="str">
        <f>IFERROR(__xludf.DUMMYFUNCTION("JOIN(""-"",""app"",SPLIT(LOWER( C137),"" ""))"),"app-note")</f>
        <v>app-note</v>
      </c>
      <c r="B137" s="106"/>
      <c r="C137" s="161" t="s">
        <v>2167</v>
      </c>
      <c r="D137" s="161" t="s">
        <v>2168</v>
      </c>
      <c r="E137" s="115" t="s">
        <v>2169</v>
      </c>
    </row>
    <row r="138">
      <c r="A138" s="137" t="str">
        <f>IFERROR(__xludf.DUMMYFUNCTION("JOIN(""-"",""app"",SPLIT(LOWER( C138),"" ""))"),"app-create-role-for")</f>
        <v>app-create-role-for</v>
      </c>
      <c r="B138" s="106"/>
      <c r="C138" s="161" t="s">
        <v>4655</v>
      </c>
      <c r="D138" s="161" t="s">
        <v>4361</v>
      </c>
      <c r="E138" s="115" t="s">
        <v>4362</v>
      </c>
    </row>
    <row r="139">
      <c r="A139" s="137" t="str">
        <f>IFERROR(__xludf.DUMMYFUNCTION("JOIN(""-"",""app"",SPLIT(LOWER( C139),"" ""))"),"app-edit-role-for")</f>
        <v>app-edit-role-for</v>
      </c>
      <c r="B139" s="106"/>
      <c r="C139" s="161" t="s">
        <v>4656</v>
      </c>
      <c r="D139" s="161" t="s">
        <v>4657</v>
      </c>
      <c r="E139" s="115" t="s">
        <v>4658</v>
      </c>
    </row>
    <row r="140">
      <c r="A140" s="137" t="str">
        <f>IFERROR(__xludf.DUMMYFUNCTION("JOIN(""-"",""app"",SPLIT(LOWER( C140),"" ""))"),"app-role-color-/-icon")</f>
        <v>app-role-color-/-icon</v>
      </c>
      <c r="B140" s="106"/>
      <c r="C140" s="161" t="s">
        <v>4659</v>
      </c>
      <c r="D140" s="161" t="s">
        <v>4660</v>
      </c>
      <c r="E140" s="115" t="s">
        <v>4661</v>
      </c>
    </row>
    <row r="141">
      <c r="A141" s="137" t="str">
        <f>IFERROR(__xludf.DUMMYFUNCTION("JOIN(""-"",""app"",SPLIT(LOWER( C141),"" ""))"),"app-team-color-/-icon")</f>
        <v>app-team-color-/-icon</v>
      </c>
      <c r="B141" s="106"/>
      <c r="C141" s="161" t="s">
        <v>4662</v>
      </c>
      <c r="D141" s="161" t="s">
        <v>4663</v>
      </c>
      <c r="E141" s="115" t="s">
        <v>4664</v>
      </c>
    </row>
    <row r="142">
      <c r="A142" s="137" t="str">
        <f>IFERROR(__xludf.DUMMYFUNCTION("JOIN(""-"",""app"",SPLIT(LOWER( C142),"" ""))"),"app-edit-team-for")</f>
        <v>app-edit-team-for</v>
      </c>
      <c r="B142" s="106"/>
      <c r="C142" s="161" t="s">
        <v>4665</v>
      </c>
      <c r="D142" s="161" t="s">
        <v>4666</v>
      </c>
      <c r="E142" s="115" t="s">
        <v>4667</v>
      </c>
    </row>
    <row r="143">
      <c r="A143" s="137" t="str">
        <f>IFERROR(__xludf.DUMMYFUNCTION("JOIN(""-"",""app"",SPLIT(LOWER( C143),"" ""))"),"app-edit-role")</f>
        <v>app-edit-role</v>
      </c>
      <c r="B143" s="106"/>
      <c r="C143" s="161" t="s">
        <v>4668</v>
      </c>
      <c r="D143" s="161" t="s">
        <v>4669</v>
      </c>
      <c r="E143" s="115" t="s">
        <v>4670</v>
      </c>
    </row>
    <row r="144">
      <c r="A144" s="137" t="str">
        <f>IFERROR(__xludf.DUMMYFUNCTION("JOIN(""-"",""app"",SPLIT(LOWER( C144),"" ""))"),"app-delete-role")</f>
        <v>app-delete-role</v>
      </c>
      <c r="B144" s="106"/>
      <c r="C144" s="161" t="s">
        <v>4671</v>
      </c>
      <c r="D144" s="161" t="s">
        <v>4672</v>
      </c>
      <c r="E144" s="115" t="s">
        <v>4673</v>
      </c>
    </row>
    <row r="145">
      <c r="A145" s="137" t="str">
        <f>IFERROR(__xludf.DUMMYFUNCTION("JOIN(""-"",""app"",SPLIT(LOWER( C145),"" ""))"),"app-new-ticket")</f>
        <v>app-new-ticket</v>
      </c>
      <c r="B145" s="106"/>
      <c r="C145" s="161" t="s">
        <v>2829</v>
      </c>
      <c r="D145" s="161" t="s">
        <v>951</v>
      </c>
      <c r="E145" s="115" t="s">
        <v>2830</v>
      </c>
    </row>
    <row r="146">
      <c r="A146" s="46"/>
      <c r="B146" s="7"/>
      <c r="C146" s="7"/>
      <c r="D146" s="7"/>
    </row>
    <row r="147">
      <c r="A147" s="46"/>
      <c r="B147" s="7"/>
      <c r="C147" s="7"/>
      <c r="D147" s="7"/>
    </row>
    <row r="148">
      <c r="A148" s="46"/>
      <c r="B148" s="7"/>
      <c r="C148" s="7"/>
      <c r="D148" s="7"/>
    </row>
    <row r="149">
      <c r="A149" s="46"/>
      <c r="B149" s="7"/>
      <c r="C149" s="7"/>
      <c r="D149" s="7"/>
    </row>
    <row r="150">
      <c r="A150" s="46"/>
      <c r="B150" s="7"/>
      <c r="C150" s="7"/>
      <c r="D150" s="7"/>
    </row>
    <row r="151">
      <c r="A151" s="46"/>
      <c r="B151" s="7"/>
      <c r="C151" s="7"/>
      <c r="D151" s="7"/>
    </row>
    <row r="152">
      <c r="A152" s="46"/>
      <c r="B152" s="7"/>
      <c r="C152" s="7"/>
      <c r="D152" s="7"/>
    </row>
    <row r="153">
      <c r="A153" s="46"/>
      <c r="B153" s="7"/>
      <c r="C153" s="7"/>
      <c r="D153" s="7"/>
    </row>
    <row r="154">
      <c r="A154" s="46"/>
      <c r="B154" s="7"/>
      <c r="C154" s="7"/>
      <c r="D154" s="7"/>
    </row>
    <row r="155">
      <c r="A155" s="46"/>
      <c r="B155" s="7"/>
      <c r="C155" s="7"/>
      <c r="D155" s="7"/>
    </row>
    <row r="156">
      <c r="A156" s="46"/>
      <c r="B156" s="7"/>
      <c r="C156" s="7"/>
      <c r="D156" s="7"/>
    </row>
    <row r="157">
      <c r="A157" s="46"/>
      <c r="B157" s="7"/>
      <c r="C157" s="7"/>
      <c r="D157" s="7"/>
    </row>
    <row r="158">
      <c r="A158" s="46"/>
      <c r="B158" s="7"/>
      <c r="C158" s="7"/>
      <c r="D158" s="7"/>
    </row>
    <row r="159">
      <c r="A159" s="46"/>
      <c r="B159" s="7"/>
      <c r="C159" s="7"/>
      <c r="D159" s="7"/>
    </row>
    <row r="160">
      <c r="A160" s="46"/>
      <c r="B160" s="7"/>
      <c r="C160" s="7"/>
      <c r="D160" s="7"/>
    </row>
    <row r="161">
      <c r="A161" s="46"/>
      <c r="B161" s="7"/>
      <c r="C161" s="7"/>
      <c r="D161" s="7"/>
    </row>
    <row r="162">
      <c r="A162" s="46"/>
      <c r="B162" s="7"/>
      <c r="C162" s="7"/>
      <c r="D162" s="7"/>
    </row>
    <row r="163">
      <c r="A163" s="46"/>
      <c r="B163" s="7"/>
      <c r="C163" s="7"/>
      <c r="D163" s="7"/>
    </row>
    <row r="164">
      <c r="A164" s="46"/>
      <c r="B164" s="7"/>
      <c r="C164" s="7"/>
      <c r="D164" s="7"/>
    </row>
    <row r="165">
      <c r="A165" s="46"/>
      <c r="B165" s="7"/>
      <c r="C165" s="7"/>
      <c r="D165" s="7"/>
    </row>
    <row r="166">
      <c r="A166" s="46"/>
      <c r="B166" s="7"/>
      <c r="C166" s="7"/>
      <c r="D166" s="7"/>
    </row>
    <row r="167">
      <c r="A167" s="46"/>
      <c r="B167" s="7"/>
      <c r="C167" s="7"/>
      <c r="D167" s="7"/>
    </row>
    <row r="168">
      <c r="A168" s="46"/>
      <c r="B168" s="7"/>
      <c r="C168" s="7"/>
      <c r="D168" s="7"/>
    </row>
    <row r="169">
      <c r="A169" s="46"/>
      <c r="B169" s="7"/>
      <c r="C169" s="7"/>
      <c r="D169" s="7"/>
    </row>
    <row r="170">
      <c r="A170" s="46"/>
      <c r="B170" s="7"/>
      <c r="C170" s="7"/>
      <c r="D170" s="7"/>
    </row>
    <row r="171">
      <c r="A171" s="46"/>
      <c r="B171" s="7"/>
      <c r="C171" s="7"/>
      <c r="D171" s="7"/>
    </row>
    <row r="172">
      <c r="A172" s="46"/>
      <c r="B172" s="7"/>
      <c r="C172" s="7"/>
      <c r="D172" s="7"/>
    </row>
    <row r="173">
      <c r="A173" s="46"/>
      <c r="B173" s="7"/>
      <c r="C173" s="7"/>
      <c r="D173" s="7"/>
    </row>
    <row r="174">
      <c r="A174" s="46"/>
      <c r="B174" s="7"/>
      <c r="C174" s="7"/>
      <c r="D174" s="7"/>
    </row>
    <row r="175">
      <c r="A175" s="46"/>
      <c r="B175" s="7"/>
      <c r="C175" s="7"/>
      <c r="D175" s="7"/>
    </row>
    <row r="176">
      <c r="A176" s="46"/>
      <c r="B176" s="7"/>
      <c r="C176" s="7"/>
      <c r="D176" s="7"/>
    </row>
    <row r="177">
      <c r="A177" s="46"/>
      <c r="B177" s="7"/>
      <c r="C177" s="7"/>
      <c r="D177" s="7"/>
    </row>
    <row r="178">
      <c r="A178" s="46"/>
      <c r="B178" s="7"/>
      <c r="C178" s="7"/>
      <c r="D178" s="7"/>
    </row>
    <row r="179">
      <c r="A179" s="46"/>
      <c r="B179" s="7"/>
      <c r="C179" s="7"/>
      <c r="D179" s="7"/>
    </row>
    <row r="180">
      <c r="A180" s="46"/>
      <c r="B180" s="7"/>
      <c r="C180" s="7"/>
      <c r="D180" s="7"/>
    </row>
    <row r="181">
      <c r="A181" s="46"/>
      <c r="B181" s="7"/>
      <c r="C181" s="7"/>
      <c r="D181" s="7"/>
    </row>
    <row r="182">
      <c r="A182" s="46"/>
      <c r="B182" s="7"/>
      <c r="C182" s="7"/>
      <c r="D182" s="7"/>
    </row>
    <row r="183">
      <c r="A183" s="46"/>
      <c r="B183" s="7"/>
      <c r="C183" s="7"/>
      <c r="D183" s="7"/>
    </row>
    <row r="184">
      <c r="A184" s="46"/>
      <c r="B184" s="7"/>
      <c r="C184" s="7"/>
      <c r="D184" s="7"/>
    </row>
    <row r="185">
      <c r="A185" s="46"/>
      <c r="B185" s="7"/>
      <c r="C185" s="7"/>
      <c r="D185" s="7"/>
    </row>
    <row r="186">
      <c r="A186" s="46"/>
      <c r="B186" s="7"/>
      <c r="C186" s="7"/>
      <c r="D186" s="7"/>
    </row>
    <row r="187">
      <c r="A187" s="46"/>
      <c r="B187" s="7"/>
      <c r="C187" s="7"/>
      <c r="D187" s="7"/>
    </row>
    <row r="188">
      <c r="A188" s="46"/>
      <c r="B188" s="7"/>
      <c r="C188" s="7"/>
      <c r="D188" s="7"/>
    </row>
    <row r="189">
      <c r="A189" s="46"/>
      <c r="B189" s="7"/>
      <c r="C189" s="7"/>
      <c r="D189" s="7"/>
    </row>
    <row r="190">
      <c r="A190" s="46"/>
      <c r="B190" s="7"/>
      <c r="C190" s="7"/>
      <c r="D190" s="7"/>
    </row>
    <row r="191">
      <c r="A191" s="46"/>
      <c r="B191" s="7"/>
      <c r="C191" s="7"/>
      <c r="D191" s="7"/>
    </row>
    <row r="192">
      <c r="A192" s="46"/>
      <c r="B192" s="7"/>
      <c r="C192" s="7"/>
      <c r="D192" s="7"/>
    </row>
    <row r="193">
      <c r="A193" s="46"/>
      <c r="B193" s="7"/>
      <c r="C193" s="7"/>
      <c r="D193" s="7"/>
    </row>
    <row r="194">
      <c r="A194" s="46"/>
      <c r="B194" s="7"/>
      <c r="C194" s="7"/>
      <c r="D194" s="7"/>
    </row>
    <row r="195">
      <c r="A195" s="46"/>
      <c r="B195" s="7"/>
      <c r="C195" s="7"/>
      <c r="D195" s="7"/>
    </row>
    <row r="196">
      <c r="A196" s="46"/>
      <c r="B196" s="7"/>
      <c r="C196" s="7"/>
      <c r="D196" s="7"/>
    </row>
    <row r="197">
      <c r="A197" s="46"/>
      <c r="B197" s="7"/>
      <c r="C197" s="7"/>
      <c r="D197" s="7"/>
    </row>
    <row r="198">
      <c r="A198" s="46"/>
      <c r="B198" s="7"/>
      <c r="C198" s="7"/>
      <c r="D198" s="7"/>
    </row>
    <row r="199">
      <c r="A199" s="46"/>
      <c r="B199" s="7"/>
      <c r="C199" s="7"/>
      <c r="D199" s="7"/>
    </row>
    <row r="200">
      <c r="A200" s="46"/>
      <c r="B200" s="7"/>
      <c r="C200" s="7"/>
      <c r="D200" s="7"/>
    </row>
    <row r="201">
      <c r="A201" s="46"/>
      <c r="B201" s="7"/>
      <c r="C201" s="7"/>
      <c r="D201" s="7"/>
    </row>
    <row r="202">
      <c r="A202" s="46"/>
      <c r="B202" s="7"/>
      <c r="C202" s="7"/>
      <c r="D202" s="7"/>
    </row>
    <row r="203">
      <c r="A203" s="46"/>
      <c r="B203" s="7"/>
      <c r="C203" s="7"/>
      <c r="D203" s="7"/>
    </row>
    <row r="204">
      <c r="A204" s="46"/>
      <c r="B204" s="7"/>
      <c r="C204" s="7"/>
      <c r="D204" s="7"/>
    </row>
    <row r="205">
      <c r="A205" s="46"/>
      <c r="B205" s="7"/>
      <c r="C205" s="7"/>
      <c r="D205" s="7"/>
    </row>
    <row r="206">
      <c r="A206" s="46"/>
      <c r="B206" s="7"/>
      <c r="C206" s="7"/>
      <c r="D206" s="7"/>
    </row>
    <row r="207">
      <c r="A207" s="46"/>
      <c r="B207" s="7"/>
      <c r="C207" s="7"/>
      <c r="D207" s="7"/>
    </row>
    <row r="208">
      <c r="A208" s="46"/>
      <c r="B208" s="7"/>
      <c r="C208" s="7"/>
      <c r="D208" s="7"/>
    </row>
    <row r="209">
      <c r="A209" s="46"/>
      <c r="B209" s="7"/>
      <c r="C209" s="7"/>
      <c r="D209" s="7"/>
    </row>
    <row r="210">
      <c r="A210" s="46"/>
      <c r="B210" s="7"/>
      <c r="C210" s="7"/>
      <c r="D210" s="7"/>
    </row>
    <row r="211">
      <c r="A211" s="46"/>
      <c r="B211" s="7"/>
      <c r="C211" s="7"/>
      <c r="D211" s="7"/>
    </row>
    <row r="212">
      <c r="A212" s="46"/>
      <c r="B212" s="7"/>
      <c r="C212" s="7"/>
      <c r="D212" s="7"/>
    </row>
    <row r="213">
      <c r="A213" s="46"/>
      <c r="B213" s="7"/>
      <c r="C213" s="7"/>
      <c r="D213" s="7"/>
    </row>
    <row r="214">
      <c r="A214" s="46"/>
      <c r="B214" s="7"/>
      <c r="C214" s="7"/>
      <c r="D214" s="7"/>
    </row>
    <row r="215">
      <c r="A215" s="46"/>
      <c r="B215" s="7"/>
      <c r="C215" s="7"/>
      <c r="D215" s="7"/>
    </row>
    <row r="216">
      <c r="A216" s="46"/>
      <c r="B216" s="7"/>
      <c r="C216" s="7"/>
      <c r="D216" s="7"/>
    </row>
    <row r="217">
      <c r="A217" s="46"/>
      <c r="B217" s="7"/>
      <c r="C217" s="7"/>
      <c r="D217" s="7"/>
    </row>
    <row r="218">
      <c r="A218" s="46"/>
      <c r="B218" s="7"/>
      <c r="C218" s="7"/>
      <c r="D218" s="7"/>
    </row>
    <row r="219">
      <c r="A219" s="46"/>
      <c r="B219" s="7"/>
      <c r="C219" s="7"/>
      <c r="D219" s="7"/>
    </row>
    <row r="220">
      <c r="A220" s="46"/>
      <c r="B220" s="7"/>
      <c r="C220" s="7"/>
      <c r="D220" s="7"/>
    </row>
    <row r="221">
      <c r="A221" s="46"/>
      <c r="B221" s="7"/>
      <c r="C221" s="7"/>
      <c r="D221" s="7"/>
    </row>
    <row r="222">
      <c r="A222" s="46"/>
      <c r="B222" s="7"/>
      <c r="C222" s="7"/>
      <c r="D222" s="7"/>
    </row>
    <row r="223">
      <c r="A223" s="46"/>
      <c r="B223" s="7"/>
      <c r="C223" s="7"/>
      <c r="D223" s="7"/>
    </row>
    <row r="224">
      <c r="A224" s="46"/>
      <c r="B224" s="7"/>
      <c r="C224" s="7"/>
      <c r="D224" s="7"/>
    </row>
    <row r="225">
      <c r="A225" s="46"/>
      <c r="B225" s="7"/>
      <c r="C225" s="7"/>
      <c r="D225" s="7"/>
    </row>
    <row r="226">
      <c r="A226" s="46"/>
      <c r="B226" s="7"/>
      <c r="C226" s="7"/>
      <c r="D226" s="7"/>
    </row>
    <row r="227">
      <c r="A227" s="46"/>
      <c r="B227" s="7"/>
      <c r="C227" s="7"/>
      <c r="D227" s="7"/>
    </row>
    <row r="228">
      <c r="A228" s="46"/>
      <c r="B228" s="7"/>
      <c r="C228" s="7"/>
      <c r="D228" s="7"/>
    </row>
    <row r="229">
      <c r="A229" s="46"/>
      <c r="B229" s="7"/>
      <c r="C229" s="7"/>
      <c r="D229" s="7"/>
    </row>
    <row r="230">
      <c r="A230" s="46"/>
      <c r="B230" s="7"/>
      <c r="C230" s="7"/>
      <c r="D230" s="7"/>
    </row>
    <row r="231">
      <c r="A231" s="46"/>
      <c r="B231" s="7"/>
      <c r="C231" s="7"/>
      <c r="D231" s="7"/>
    </row>
    <row r="232">
      <c r="A232" s="46"/>
      <c r="B232" s="7"/>
      <c r="C232" s="7"/>
      <c r="D232" s="7"/>
    </row>
    <row r="233">
      <c r="A233" s="46"/>
      <c r="B233" s="7"/>
      <c r="C233" s="7"/>
      <c r="D233" s="7"/>
    </row>
    <row r="234">
      <c r="A234" s="46"/>
      <c r="B234" s="7"/>
      <c r="C234" s="7"/>
      <c r="D234" s="7"/>
    </row>
    <row r="235">
      <c r="A235" s="46"/>
      <c r="B235" s="7"/>
      <c r="C235" s="7"/>
      <c r="D235" s="7"/>
    </row>
    <row r="236">
      <c r="A236" s="46"/>
      <c r="B236" s="7"/>
      <c r="C236" s="7"/>
      <c r="D236" s="7"/>
    </row>
    <row r="237">
      <c r="A237" s="46"/>
      <c r="B237" s="7"/>
      <c r="C237" s="7"/>
      <c r="D237" s="7"/>
    </row>
    <row r="238">
      <c r="A238" s="46"/>
      <c r="B238" s="7"/>
      <c r="C238" s="7"/>
      <c r="D238" s="7"/>
    </row>
    <row r="239">
      <c r="A239" s="46"/>
      <c r="B239" s="7"/>
      <c r="C239" s="7"/>
      <c r="D239" s="7"/>
    </row>
    <row r="240">
      <c r="A240" s="46"/>
      <c r="B240" s="7"/>
      <c r="C240" s="7"/>
      <c r="D240" s="7"/>
    </row>
    <row r="241">
      <c r="A241" s="46"/>
      <c r="B241" s="7"/>
      <c r="C241" s="7"/>
      <c r="D241" s="7"/>
    </row>
    <row r="242">
      <c r="A242" s="46"/>
      <c r="B242" s="7"/>
      <c r="C242" s="7"/>
      <c r="D242" s="7"/>
    </row>
    <row r="243">
      <c r="A243" s="46"/>
      <c r="B243" s="7"/>
      <c r="C243" s="7"/>
      <c r="D243" s="7"/>
    </row>
    <row r="244">
      <c r="A244" s="46"/>
      <c r="B244" s="7"/>
      <c r="C244" s="7"/>
      <c r="D244" s="7"/>
    </row>
    <row r="245">
      <c r="A245" s="46"/>
      <c r="B245" s="7"/>
      <c r="C245" s="7"/>
      <c r="D245" s="7"/>
    </row>
    <row r="246">
      <c r="A246" s="46"/>
      <c r="B246" s="7"/>
      <c r="C246" s="7"/>
      <c r="D246" s="7"/>
    </row>
    <row r="247">
      <c r="A247" s="46"/>
      <c r="B247" s="7"/>
      <c r="C247" s="7"/>
      <c r="D247" s="7"/>
    </row>
    <row r="248">
      <c r="A248" s="46"/>
      <c r="B248" s="7"/>
      <c r="C248" s="7"/>
      <c r="D248" s="7"/>
    </row>
    <row r="249">
      <c r="A249" s="46"/>
      <c r="B249" s="7"/>
      <c r="C249" s="7"/>
      <c r="D249" s="7"/>
    </row>
    <row r="250">
      <c r="A250" s="46"/>
      <c r="B250" s="7"/>
      <c r="C250" s="7"/>
      <c r="D250" s="7"/>
    </row>
    <row r="251">
      <c r="A251" s="46"/>
      <c r="B251" s="7"/>
      <c r="C251" s="7"/>
      <c r="D251" s="7"/>
    </row>
    <row r="252">
      <c r="A252" s="46"/>
      <c r="B252" s="7"/>
      <c r="C252" s="7"/>
      <c r="D252" s="7"/>
    </row>
    <row r="253">
      <c r="A253" s="46"/>
      <c r="B253" s="7"/>
      <c r="C253" s="7"/>
      <c r="D253" s="7"/>
    </row>
    <row r="254">
      <c r="A254" s="46"/>
      <c r="B254" s="7"/>
      <c r="C254" s="7"/>
      <c r="D254" s="7"/>
    </row>
    <row r="255">
      <c r="A255" s="46"/>
      <c r="B255" s="7"/>
      <c r="C255" s="7"/>
      <c r="D255" s="7"/>
    </row>
    <row r="256">
      <c r="A256" s="46"/>
      <c r="B256" s="7"/>
      <c r="C256" s="7"/>
      <c r="D256" s="7"/>
    </row>
    <row r="257">
      <c r="A257" s="46"/>
      <c r="B257" s="7"/>
      <c r="C257" s="7"/>
      <c r="D257" s="7"/>
    </row>
    <row r="258">
      <c r="A258" s="46"/>
      <c r="B258" s="7"/>
      <c r="C258" s="7"/>
      <c r="D258" s="7"/>
    </row>
    <row r="259">
      <c r="A259" s="46"/>
      <c r="B259" s="7"/>
      <c r="C259" s="7"/>
      <c r="D259" s="7"/>
    </row>
    <row r="260">
      <c r="A260" s="46"/>
      <c r="B260" s="7"/>
      <c r="C260" s="7"/>
      <c r="D260" s="7"/>
    </row>
    <row r="261">
      <c r="A261" s="46"/>
      <c r="B261" s="7"/>
      <c r="C261" s="7"/>
      <c r="D261" s="7"/>
    </row>
    <row r="262">
      <c r="A262" s="46"/>
      <c r="B262" s="7"/>
      <c r="C262" s="7"/>
      <c r="D262" s="7"/>
    </row>
    <row r="263">
      <c r="A263" s="46"/>
      <c r="B263" s="7"/>
      <c r="C263" s="7"/>
      <c r="D263" s="7"/>
    </row>
    <row r="264">
      <c r="A264" s="46"/>
      <c r="B264" s="7"/>
      <c r="C264" s="7"/>
      <c r="D264" s="7"/>
    </row>
    <row r="265">
      <c r="A265" s="46"/>
      <c r="B265" s="7"/>
      <c r="C265" s="7"/>
      <c r="D265" s="7"/>
    </row>
    <row r="266">
      <c r="A266" s="46"/>
      <c r="B266" s="7"/>
      <c r="C266" s="7"/>
      <c r="D266" s="7"/>
    </row>
    <row r="267">
      <c r="A267" s="46"/>
      <c r="B267" s="7"/>
      <c r="C267" s="7"/>
      <c r="D267" s="7"/>
    </row>
    <row r="268">
      <c r="A268" s="46"/>
      <c r="B268" s="7"/>
      <c r="C268" s="7"/>
      <c r="D268" s="7"/>
    </row>
    <row r="269">
      <c r="A269" s="46"/>
      <c r="B269" s="7"/>
      <c r="C269" s="7"/>
      <c r="D269" s="7"/>
    </row>
    <row r="270">
      <c r="A270" s="46"/>
      <c r="B270" s="7"/>
      <c r="C270" s="7"/>
      <c r="D270" s="7"/>
    </row>
    <row r="271">
      <c r="A271" s="46"/>
      <c r="B271" s="7"/>
      <c r="C271" s="7"/>
      <c r="D271" s="7"/>
    </row>
    <row r="272">
      <c r="A272" s="46"/>
      <c r="B272" s="7"/>
      <c r="C272" s="7"/>
      <c r="D272" s="7"/>
    </row>
    <row r="273">
      <c r="A273" s="46"/>
      <c r="B273" s="7"/>
      <c r="C273" s="7"/>
      <c r="D273" s="7"/>
    </row>
    <row r="274">
      <c r="A274" s="46"/>
      <c r="B274" s="7"/>
      <c r="C274" s="7"/>
      <c r="D274" s="7"/>
    </row>
    <row r="275">
      <c r="A275" s="46"/>
      <c r="B275" s="7"/>
      <c r="C275" s="7"/>
      <c r="D275" s="7"/>
    </row>
    <row r="276">
      <c r="A276" s="46"/>
      <c r="B276" s="7"/>
      <c r="C276" s="7"/>
      <c r="D276" s="7"/>
    </row>
    <row r="277">
      <c r="A277" s="46"/>
      <c r="B277" s="7"/>
      <c r="C277" s="7"/>
      <c r="D277" s="7"/>
    </row>
    <row r="278">
      <c r="A278" s="46"/>
      <c r="B278" s="7"/>
      <c r="C278" s="7"/>
      <c r="D278" s="7"/>
    </row>
    <row r="279">
      <c r="A279" s="46"/>
      <c r="B279" s="7"/>
      <c r="C279" s="7"/>
      <c r="D279" s="7"/>
    </row>
    <row r="280">
      <c r="A280" s="46"/>
      <c r="B280" s="7"/>
      <c r="C280" s="7"/>
      <c r="D280" s="7"/>
    </row>
    <row r="281">
      <c r="A281" s="46"/>
      <c r="B281" s="7"/>
      <c r="C281" s="7"/>
      <c r="D281" s="7"/>
    </row>
    <row r="282">
      <c r="A282" s="46"/>
      <c r="B282" s="7"/>
      <c r="C282" s="7"/>
      <c r="D282" s="7"/>
    </row>
    <row r="283">
      <c r="A283" s="46"/>
      <c r="B283" s="7"/>
      <c r="C283" s="7"/>
      <c r="D283" s="7"/>
    </row>
    <row r="284">
      <c r="A284" s="46"/>
      <c r="B284" s="7"/>
      <c r="C284" s="7"/>
      <c r="D284" s="7"/>
    </row>
    <row r="285">
      <c r="A285" s="46"/>
      <c r="B285" s="7"/>
      <c r="C285" s="7"/>
      <c r="D285" s="7"/>
    </row>
    <row r="286">
      <c r="A286" s="46"/>
      <c r="B286" s="7"/>
      <c r="C286" s="7"/>
      <c r="D286" s="7"/>
    </row>
    <row r="287">
      <c r="A287" s="46"/>
      <c r="B287" s="7"/>
      <c r="C287" s="7"/>
      <c r="D287" s="7"/>
    </row>
    <row r="288">
      <c r="A288" s="46"/>
      <c r="B288" s="7"/>
      <c r="C288" s="7"/>
      <c r="D288" s="7"/>
    </row>
    <row r="289">
      <c r="A289" s="46"/>
      <c r="B289" s="7"/>
      <c r="C289" s="7"/>
      <c r="D289" s="7"/>
    </row>
    <row r="290">
      <c r="A290" s="46"/>
      <c r="B290" s="7"/>
      <c r="C290" s="7"/>
      <c r="D290" s="7"/>
    </row>
    <row r="291">
      <c r="A291" s="46"/>
      <c r="B291" s="7"/>
      <c r="C291" s="7"/>
      <c r="D291" s="7"/>
    </row>
    <row r="292">
      <c r="A292" s="46"/>
      <c r="B292" s="7"/>
      <c r="C292" s="7"/>
      <c r="D292" s="7"/>
    </row>
    <row r="293">
      <c r="A293" s="46"/>
      <c r="B293" s="7"/>
      <c r="C293" s="7"/>
      <c r="D293" s="7"/>
    </row>
    <row r="294">
      <c r="A294" s="46"/>
      <c r="B294" s="7"/>
      <c r="C294" s="7"/>
      <c r="D294" s="7"/>
    </row>
    <row r="295">
      <c r="A295" s="46"/>
      <c r="B295" s="7"/>
      <c r="C295" s="7"/>
      <c r="D295" s="7"/>
    </row>
    <row r="296">
      <c r="A296" s="46"/>
      <c r="B296" s="7"/>
      <c r="C296" s="7"/>
      <c r="D296" s="7"/>
    </row>
    <row r="297">
      <c r="A297" s="46"/>
      <c r="B297" s="7"/>
      <c r="C297" s="7"/>
      <c r="D297" s="7"/>
    </row>
    <row r="298">
      <c r="A298" s="46"/>
      <c r="B298" s="7"/>
      <c r="C298" s="7"/>
      <c r="D298" s="7"/>
    </row>
    <row r="299">
      <c r="A299" s="46"/>
      <c r="B299" s="7"/>
      <c r="C299" s="7"/>
      <c r="D299" s="7"/>
    </row>
    <row r="300">
      <c r="A300" s="46"/>
      <c r="B300" s="7"/>
      <c r="C300" s="7"/>
      <c r="D300" s="7"/>
    </row>
    <row r="301">
      <c r="A301" s="46"/>
      <c r="B301" s="7"/>
      <c r="C301" s="7"/>
      <c r="D301" s="7"/>
    </row>
    <row r="302">
      <c r="A302" s="46"/>
      <c r="B302" s="7"/>
      <c r="C302" s="7"/>
      <c r="D302" s="7"/>
    </row>
    <row r="303">
      <c r="A303" s="46"/>
      <c r="B303" s="7"/>
      <c r="C303" s="7"/>
      <c r="D303" s="7"/>
    </row>
    <row r="304">
      <c r="A304" s="46"/>
      <c r="B304" s="7"/>
      <c r="C304" s="7"/>
      <c r="D304" s="7"/>
    </row>
    <row r="305">
      <c r="A305" s="46"/>
      <c r="B305" s="7"/>
      <c r="C305" s="7"/>
      <c r="D305" s="7"/>
    </row>
    <row r="306">
      <c r="A306" s="46"/>
      <c r="B306" s="7"/>
      <c r="C306" s="7"/>
      <c r="D306" s="7"/>
    </row>
    <row r="307">
      <c r="A307" s="46"/>
      <c r="B307" s="7"/>
      <c r="C307" s="7"/>
      <c r="D307" s="7"/>
    </row>
    <row r="308">
      <c r="A308" s="46"/>
      <c r="B308" s="7"/>
      <c r="C308" s="7"/>
      <c r="D308" s="7"/>
    </row>
    <row r="309">
      <c r="A309" s="46"/>
      <c r="B309" s="7"/>
      <c r="C309" s="7"/>
      <c r="D309" s="7"/>
    </row>
    <row r="310">
      <c r="A310" s="46"/>
      <c r="B310" s="7"/>
      <c r="C310" s="7"/>
      <c r="D310" s="7"/>
    </row>
    <row r="311">
      <c r="A311" s="46"/>
      <c r="B311" s="7"/>
      <c r="C311" s="7"/>
      <c r="D311" s="7"/>
    </row>
    <row r="312">
      <c r="A312" s="46"/>
      <c r="B312" s="7"/>
      <c r="C312" s="7"/>
      <c r="D312" s="7"/>
    </row>
    <row r="313">
      <c r="A313" s="46"/>
      <c r="B313" s="7"/>
      <c r="C313" s="7"/>
      <c r="D313" s="7"/>
    </row>
    <row r="314">
      <c r="A314" s="46"/>
      <c r="B314" s="7"/>
      <c r="C314" s="7"/>
      <c r="D314" s="7"/>
    </row>
    <row r="315">
      <c r="A315" s="46"/>
      <c r="B315" s="7"/>
      <c r="C315" s="7"/>
      <c r="D315" s="7"/>
    </row>
    <row r="316">
      <c r="A316" s="46"/>
      <c r="B316" s="7"/>
      <c r="C316" s="7"/>
      <c r="D316" s="7"/>
    </row>
    <row r="317">
      <c r="A317" s="46"/>
      <c r="B317" s="7"/>
      <c r="C317" s="7"/>
      <c r="D317" s="7"/>
    </row>
    <row r="318">
      <c r="A318" s="46"/>
      <c r="B318" s="7"/>
      <c r="C318" s="7"/>
      <c r="D318" s="7"/>
    </row>
    <row r="319">
      <c r="A319" s="46"/>
      <c r="B319" s="7"/>
      <c r="C319" s="7"/>
      <c r="D319" s="7"/>
    </row>
    <row r="320">
      <c r="A320" s="46"/>
      <c r="B320" s="7"/>
      <c r="C320" s="7"/>
      <c r="D320" s="7"/>
    </row>
    <row r="321">
      <c r="A321" s="46"/>
      <c r="B321" s="7"/>
      <c r="C321" s="7"/>
      <c r="D321" s="7"/>
    </row>
    <row r="322">
      <c r="A322" s="46"/>
      <c r="B322" s="7"/>
      <c r="C322" s="7"/>
      <c r="D322" s="7"/>
    </row>
    <row r="323">
      <c r="A323" s="46"/>
      <c r="B323" s="7"/>
      <c r="C323" s="7"/>
      <c r="D323" s="7"/>
    </row>
    <row r="324">
      <c r="A324" s="46"/>
      <c r="B324" s="7"/>
      <c r="C324" s="7"/>
      <c r="D324" s="7"/>
    </row>
    <row r="325">
      <c r="A325" s="46"/>
      <c r="B325" s="7"/>
      <c r="C325" s="7"/>
      <c r="D325" s="7"/>
    </row>
    <row r="326">
      <c r="A326" s="46"/>
      <c r="B326" s="7"/>
      <c r="C326" s="7"/>
      <c r="D326" s="7"/>
    </row>
    <row r="327">
      <c r="A327" s="46"/>
      <c r="B327" s="7"/>
      <c r="C327" s="7"/>
      <c r="D327" s="7"/>
    </row>
    <row r="328">
      <c r="A328" s="46"/>
      <c r="B328" s="7"/>
      <c r="C328" s="7"/>
      <c r="D328" s="7"/>
    </row>
    <row r="329">
      <c r="A329" s="46"/>
      <c r="B329" s="7"/>
      <c r="C329" s="7"/>
      <c r="D329" s="7"/>
    </row>
    <row r="330">
      <c r="A330" s="46"/>
      <c r="B330" s="7"/>
      <c r="C330" s="7"/>
      <c r="D330" s="7"/>
    </row>
    <row r="331">
      <c r="A331" s="46"/>
      <c r="B331" s="7"/>
      <c r="C331" s="7"/>
      <c r="D331" s="7"/>
    </row>
    <row r="332">
      <c r="A332" s="46"/>
      <c r="B332" s="7"/>
      <c r="C332" s="7"/>
      <c r="D332" s="7"/>
    </row>
    <row r="333">
      <c r="A333" s="46"/>
      <c r="B333" s="7"/>
      <c r="C333" s="7"/>
      <c r="D333" s="7"/>
    </row>
    <row r="334">
      <c r="A334" s="46"/>
      <c r="B334" s="7"/>
      <c r="C334" s="7"/>
      <c r="D334" s="7"/>
    </row>
    <row r="335">
      <c r="A335" s="46"/>
      <c r="B335" s="7"/>
      <c r="C335" s="7"/>
      <c r="D335" s="7"/>
    </row>
    <row r="336">
      <c r="A336" s="46"/>
      <c r="B336" s="7"/>
      <c r="C336" s="7"/>
      <c r="D336" s="7"/>
    </row>
    <row r="337">
      <c r="A337" s="46"/>
      <c r="B337" s="7"/>
      <c r="C337" s="7"/>
      <c r="D337" s="7"/>
    </row>
    <row r="338">
      <c r="A338" s="46"/>
      <c r="B338" s="7"/>
      <c r="C338" s="7"/>
      <c r="D338" s="7"/>
    </row>
    <row r="339">
      <c r="A339" s="46"/>
      <c r="B339" s="7"/>
      <c r="C339" s="7"/>
      <c r="D339" s="7"/>
    </row>
    <row r="340">
      <c r="A340" s="46"/>
      <c r="B340" s="7"/>
      <c r="C340" s="7"/>
      <c r="D340" s="7"/>
    </row>
    <row r="341">
      <c r="A341" s="46"/>
      <c r="B341" s="7"/>
      <c r="C341" s="7"/>
      <c r="D341" s="7"/>
    </row>
    <row r="342">
      <c r="A342" s="46"/>
      <c r="B342" s="7"/>
      <c r="C342" s="7"/>
      <c r="D342" s="7"/>
    </row>
    <row r="343">
      <c r="A343" s="46"/>
      <c r="B343" s="7"/>
      <c r="C343" s="7"/>
      <c r="D343" s="7"/>
    </row>
    <row r="344">
      <c r="A344" s="46"/>
      <c r="B344" s="7"/>
      <c r="C344" s="7"/>
      <c r="D344" s="7"/>
    </row>
    <row r="345">
      <c r="A345" s="46"/>
      <c r="B345" s="7"/>
      <c r="C345" s="7"/>
      <c r="D345" s="7"/>
    </row>
    <row r="346">
      <c r="A346" s="46"/>
      <c r="B346" s="7"/>
      <c r="C346" s="7"/>
      <c r="D346" s="7"/>
    </row>
    <row r="347">
      <c r="A347" s="46"/>
      <c r="B347" s="7"/>
      <c r="C347" s="7"/>
      <c r="D347" s="7"/>
    </row>
    <row r="348">
      <c r="A348" s="46"/>
      <c r="B348" s="7"/>
      <c r="C348" s="7"/>
      <c r="D348" s="7"/>
    </row>
    <row r="349">
      <c r="A349" s="46"/>
      <c r="B349" s="7"/>
      <c r="C349" s="7"/>
      <c r="D349" s="7"/>
    </row>
    <row r="350">
      <c r="A350" s="46"/>
      <c r="B350" s="7"/>
      <c r="C350" s="7"/>
      <c r="D350" s="7"/>
    </row>
    <row r="351">
      <c r="A351" s="46"/>
      <c r="B351" s="7"/>
      <c r="C351" s="7"/>
      <c r="D351" s="7"/>
    </row>
    <row r="352">
      <c r="A352" s="46"/>
      <c r="B352" s="7"/>
      <c r="C352" s="7"/>
      <c r="D352" s="7"/>
    </row>
    <row r="353">
      <c r="A353" s="46"/>
      <c r="B353" s="7"/>
      <c r="C353" s="7"/>
      <c r="D353" s="7"/>
    </row>
    <row r="354">
      <c r="A354" s="46"/>
      <c r="B354" s="7"/>
      <c r="C354" s="7"/>
      <c r="D354" s="7"/>
    </row>
    <row r="355">
      <c r="A355" s="46"/>
      <c r="B355" s="7"/>
      <c r="C355" s="7"/>
      <c r="D355" s="7"/>
    </row>
    <row r="356">
      <c r="A356" s="46"/>
      <c r="B356" s="7"/>
      <c r="C356" s="7"/>
      <c r="D356" s="7"/>
    </row>
    <row r="357">
      <c r="A357" s="46"/>
      <c r="B357" s="7"/>
      <c r="C357" s="7"/>
      <c r="D357" s="7"/>
    </row>
    <row r="358">
      <c r="A358" s="46"/>
      <c r="B358" s="7"/>
      <c r="C358" s="7"/>
      <c r="D358" s="7"/>
    </row>
    <row r="359">
      <c r="A359" s="46"/>
      <c r="B359" s="7"/>
      <c r="C359" s="7"/>
      <c r="D359" s="7"/>
    </row>
    <row r="360">
      <c r="A360" s="46"/>
      <c r="B360" s="7"/>
      <c r="C360" s="7"/>
      <c r="D360" s="7"/>
    </row>
    <row r="361">
      <c r="A361" s="46"/>
      <c r="B361" s="7"/>
      <c r="C361" s="7"/>
      <c r="D361" s="7"/>
    </row>
    <row r="362">
      <c r="A362" s="46"/>
      <c r="B362" s="7"/>
      <c r="C362" s="7"/>
      <c r="D362" s="7"/>
    </row>
    <row r="363">
      <c r="A363" s="46"/>
      <c r="B363" s="7"/>
      <c r="C363" s="7"/>
      <c r="D363" s="7"/>
    </row>
    <row r="364">
      <c r="A364" s="46"/>
      <c r="B364" s="7"/>
      <c r="C364" s="7"/>
      <c r="D364" s="7"/>
    </row>
    <row r="365">
      <c r="A365" s="46"/>
      <c r="B365" s="7"/>
      <c r="C365" s="7"/>
      <c r="D365" s="7"/>
    </row>
    <row r="366">
      <c r="A366" s="46"/>
      <c r="B366" s="7"/>
      <c r="C366" s="7"/>
      <c r="D366" s="7"/>
    </row>
    <row r="367">
      <c r="A367" s="46"/>
      <c r="B367" s="7"/>
      <c r="C367" s="7"/>
      <c r="D367" s="7"/>
    </row>
    <row r="368">
      <c r="A368" s="46"/>
      <c r="B368" s="7"/>
      <c r="C368" s="7"/>
      <c r="D368" s="7"/>
    </row>
    <row r="369">
      <c r="A369" s="46"/>
      <c r="B369" s="7"/>
      <c r="C369" s="7"/>
      <c r="D369" s="7"/>
    </row>
    <row r="370">
      <c r="A370" s="46"/>
      <c r="B370" s="7"/>
      <c r="C370" s="7"/>
      <c r="D370" s="7"/>
    </row>
    <row r="371">
      <c r="A371" s="46"/>
      <c r="B371" s="7"/>
      <c r="C371" s="7"/>
      <c r="D371" s="7"/>
    </row>
    <row r="372">
      <c r="A372" s="46"/>
      <c r="B372" s="7"/>
      <c r="C372" s="7"/>
      <c r="D372" s="7"/>
    </row>
    <row r="373">
      <c r="A373" s="46"/>
      <c r="B373" s="7"/>
      <c r="C373" s="7"/>
      <c r="D373" s="7"/>
    </row>
    <row r="374">
      <c r="A374" s="46"/>
      <c r="B374" s="7"/>
      <c r="C374" s="7"/>
      <c r="D374" s="7"/>
    </row>
    <row r="375">
      <c r="A375" s="46"/>
      <c r="B375" s="7"/>
      <c r="C375" s="7"/>
      <c r="D375" s="7"/>
    </row>
    <row r="376">
      <c r="A376" s="46"/>
      <c r="B376" s="7"/>
      <c r="C376" s="7"/>
      <c r="D376" s="7"/>
    </row>
    <row r="377">
      <c r="A377" s="46"/>
      <c r="B377" s="7"/>
      <c r="C377" s="7"/>
      <c r="D377" s="7"/>
    </row>
    <row r="378">
      <c r="A378" s="46"/>
      <c r="B378" s="7"/>
      <c r="C378" s="7"/>
      <c r="D378" s="7"/>
    </row>
    <row r="379">
      <c r="A379" s="46"/>
      <c r="B379" s="7"/>
      <c r="C379" s="7"/>
      <c r="D379" s="7"/>
    </row>
    <row r="380">
      <c r="A380" s="46"/>
      <c r="B380" s="7"/>
      <c r="C380" s="7"/>
      <c r="D380" s="7"/>
    </row>
    <row r="381">
      <c r="A381" s="46"/>
      <c r="B381" s="7"/>
      <c r="C381" s="7"/>
      <c r="D381" s="7"/>
    </row>
    <row r="382">
      <c r="A382" s="46"/>
      <c r="B382" s="7"/>
      <c r="C382" s="7"/>
      <c r="D382" s="7"/>
    </row>
    <row r="383">
      <c r="A383" s="46"/>
      <c r="B383" s="7"/>
      <c r="C383" s="7"/>
      <c r="D383" s="7"/>
    </row>
    <row r="384">
      <c r="A384" s="46"/>
      <c r="B384" s="7"/>
      <c r="C384" s="7"/>
      <c r="D384" s="7"/>
    </row>
    <row r="385">
      <c r="A385" s="46"/>
      <c r="B385" s="7"/>
      <c r="C385" s="7"/>
      <c r="D385" s="7"/>
    </row>
    <row r="386">
      <c r="A386" s="46"/>
      <c r="B386" s="7"/>
      <c r="C386" s="7"/>
      <c r="D386" s="7"/>
    </row>
    <row r="387">
      <c r="A387" s="46"/>
      <c r="B387" s="7"/>
      <c r="C387" s="7"/>
      <c r="D387" s="7"/>
    </row>
    <row r="388">
      <c r="A388" s="46"/>
      <c r="B388" s="7"/>
      <c r="C388" s="7"/>
      <c r="D388" s="7"/>
    </row>
    <row r="389">
      <c r="A389" s="46"/>
      <c r="B389" s="7"/>
      <c r="C389" s="7"/>
      <c r="D389" s="7"/>
    </row>
    <row r="390">
      <c r="A390" s="46"/>
      <c r="B390" s="7"/>
      <c r="C390" s="7"/>
      <c r="D390" s="7"/>
    </row>
    <row r="391">
      <c r="A391" s="46"/>
      <c r="B391" s="7"/>
      <c r="C391" s="7"/>
      <c r="D391" s="7"/>
    </row>
    <row r="392">
      <c r="A392" s="46"/>
      <c r="B392" s="7"/>
      <c r="C392" s="7"/>
      <c r="D392" s="7"/>
    </row>
    <row r="393">
      <c r="A393" s="46"/>
      <c r="B393" s="7"/>
      <c r="C393" s="7"/>
      <c r="D393" s="7"/>
    </row>
    <row r="394">
      <c r="A394" s="46"/>
      <c r="B394" s="7"/>
      <c r="C394" s="7"/>
      <c r="D394" s="7"/>
    </row>
    <row r="395">
      <c r="A395" s="46"/>
      <c r="B395" s="7"/>
      <c r="C395" s="7"/>
      <c r="D395" s="7"/>
    </row>
    <row r="396">
      <c r="A396" s="46"/>
      <c r="B396" s="7"/>
      <c r="C396" s="7"/>
      <c r="D396" s="7"/>
    </row>
    <row r="397">
      <c r="A397" s="46"/>
      <c r="B397" s="7"/>
      <c r="C397" s="7"/>
      <c r="D397" s="7"/>
    </row>
    <row r="398">
      <c r="A398" s="46"/>
      <c r="B398" s="7"/>
      <c r="C398" s="7"/>
      <c r="D398" s="7"/>
    </row>
    <row r="399">
      <c r="A399" s="46"/>
      <c r="B399" s="7"/>
      <c r="C399" s="7"/>
      <c r="D399" s="7"/>
    </row>
    <row r="400">
      <c r="A400" s="46"/>
      <c r="B400" s="7"/>
      <c r="C400" s="7"/>
      <c r="D400" s="7"/>
    </row>
    <row r="401">
      <c r="A401" s="46"/>
      <c r="B401" s="7"/>
      <c r="C401" s="7"/>
      <c r="D401" s="7"/>
    </row>
    <row r="402">
      <c r="A402" s="46"/>
      <c r="B402" s="7"/>
      <c r="C402" s="7"/>
      <c r="D402" s="7"/>
    </row>
    <row r="403">
      <c r="A403" s="46"/>
      <c r="B403" s="7"/>
      <c r="C403" s="7"/>
      <c r="D403" s="7"/>
    </row>
    <row r="404">
      <c r="A404" s="46"/>
      <c r="B404" s="7"/>
      <c r="C404" s="7"/>
      <c r="D404" s="7"/>
    </row>
    <row r="405">
      <c r="A405" s="46"/>
      <c r="B405" s="7"/>
      <c r="C405" s="7"/>
      <c r="D405" s="7"/>
    </row>
    <row r="406">
      <c r="A406" s="46"/>
      <c r="B406" s="7"/>
      <c r="C406" s="7"/>
      <c r="D406" s="7"/>
    </row>
    <row r="407">
      <c r="A407" s="46"/>
      <c r="B407" s="7"/>
      <c r="C407" s="7"/>
      <c r="D407" s="7"/>
    </row>
    <row r="408">
      <c r="A408" s="46"/>
      <c r="B408" s="7"/>
      <c r="C408" s="7"/>
      <c r="D408" s="7"/>
    </row>
    <row r="409">
      <c r="A409" s="46"/>
      <c r="B409" s="7"/>
      <c r="C409" s="7"/>
      <c r="D409" s="7"/>
    </row>
    <row r="410">
      <c r="A410" s="46"/>
      <c r="B410" s="7"/>
      <c r="C410" s="7"/>
      <c r="D410" s="7"/>
    </row>
    <row r="411">
      <c r="A411" s="46"/>
      <c r="B411" s="7"/>
      <c r="C411" s="7"/>
      <c r="D411" s="7"/>
    </row>
    <row r="412">
      <c r="A412" s="46"/>
      <c r="B412" s="7"/>
      <c r="C412" s="7"/>
      <c r="D412" s="7"/>
    </row>
    <row r="413">
      <c r="A413" s="46"/>
      <c r="B413" s="7"/>
      <c r="C413" s="7"/>
      <c r="D413" s="7"/>
    </row>
    <row r="414">
      <c r="A414" s="46"/>
      <c r="B414" s="7"/>
      <c r="C414" s="7"/>
      <c r="D414" s="7"/>
    </row>
    <row r="415">
      <c r="A415" s="46"/>
      <c r="B415" s="7"/>
      <c r="C415" s="7"/>
      <c r="D415" s="7"/>
    </row>
    <row r="416">
      <c r="A416" s="46"/>
      <c r="B416" s="7"/>
      <c r="C416" s="7"/>
      <c r="D416" s="7"/>
    </row>
    <row r="417">
      <c r="A417" s="46"/>
      <c r="B417" s="7"/>
      <c r="C417" s="7"/>
      <c r="D417" s="7"/>
    </row>
    <row r="418">
      <c r="A418" s="46"/>
      <c r="B418" s="7"/>
      <c r="C418" s="7"/>
      <c r="D418" s="7"/>
    </row>
    <row r="419">
      <c r="A419" s="46"/>
      <c r="B419" s="7"/>
      <c r="C419" s="7"/>
      <c r="D419" s="7"/>
    </row>
    <row r="420">
      <c r="A420" s="46"/>
      <c r="B420" s="7"/>
      <c r="C420" s="7"/>
      <c r="D420" s="7"/>
    </row>
    <row r="421">
      <c r="A421" s="46"/>
      <c r="B421" s="7"/>
      <c r="C421" s="7"/>
      <c r="D421" s="7"/>
    </row>
    <row r="422">
      <c r="A422" s="46"/>
      <c r="B422" s="7"/>
      <c r="C422" s="7"/>
      <c r="D422" s="7"/>
    </row>
    <row r="423">
      <c r="A423" s="46"/>
      <c r="B423" s="7"/>
      <c r="C423" s="7"/>
      <c r="D423" s="7"/>
    </row>
    <row r="424">
      <c r="A424" s="46"/>
      <c r="B424" s="7"/>
      <c r="C424" s="7"/>
      <c r="D424" s="7"/>
    </row>
    <row r="425">
      <c r="A425" s="46"/>
      <c r="B425" s="7"/>
      <c r="C425" s="7"/>
      <c r="D425" s="7"/>
    </row>
    <row r="426">
      <c r="A426" s="46"/>
      <c r="B426" s="7"/>
      <c r="C426" s="7"/>
      <c r="D426" s="7"/>
    </row>
    <row r="427">
      <c r="A427" s="46"/>
      <c r="B427" s="7"/>
      <c r="C427" s="7"/>
      <c r="D427" s="7"/>
    </row>
    <row r="428">
      <c r="A428" s="46"/>
      <c r="B428" s="7"/>
      <c r="C428" s="7"/>
      <c r="D428" s="7"/>
    </row>
    <row r="429">
      <c r="A429" s="46"/>
      <c r="B429" s="7"/>
      <c r="C429" s="7"/>
      <c r="D429" s="7"/>
    </row>
    <row r="430">
      <c r="A430" s="46"/>
      <c r="B430" s="7"/>
      <c r="C430" s="7"/>
      <c r="D430" s="7"/>
    </row>
    <row r="431">
      <c r="A431" s="46"/>
      <c r="B431" s="7"/>
      <c r="C431" s="7"/>
      <c r="D431" s="7"/>
    </row>
    <row r="432">
      <c r="A432" s="46"/>
      <c r="B432" s="7"/>
      <c r="C432" s="7"/>
      <c r="D432" s="7"/>
    </row>
    <row r="433">
      <c r="A433" s="46"/>
      <c r="B433" s="7"/>
      <c r="C433" s="7"/>
      <c r="D433" s="7"/>
    </row>
    <row r="434">
      <c r="A434" s="46"/>
      <c r="B434" s="7"/>
      <c r="C434" s="7"/>
      <c r="D434" s="7"/>
    </row>
    <row r="435">
      <c r="A435" s="46"/>
      <c r="B435" s="7"/>
      <c r="C435" s="7"/>
      <c r="D435" s="7"/>
    </row>
    <row r="436">
      <c r="A436" s="46"/>
      <c r="B436" s="7"/>
      <c r="C436" s="7"/>
      <c r="D436" s="7"/>
    </row>
    <row r="437">
      <c r="A437" s="46"/>
      <c r="B437" s="7"/>
      <c r="C437" s="7"/>
      <c r="D437" s="7"/>
    </row>
    <row r="438">
      <c r="A438" s="46"/>
      <c r="B438" s="7"/>
      <c r="C438" s="7"/>
      <c r="D438" s="7"/>
    </row>
    <row r="439">
      <c r="A439" s="46"/>
      <c r="B439" s="7"/>
      <c r="C439" s="7"/>
      <c r="D439" s="7"/>
    </row>
    <row r="440">
      <c r="A440" s="46"/>
      <c r="B440" s="7"/>
      <c r="C440" s="7"/>
      <c r="D440" s="7"/>
    </row>
    <row r="441">
      <c r="A441" s="46"/>
      <c r="B441" s="7"/>
      <c r="C441" s="7"/>
      <c r="D441" s="7"/>
    </row>
    <row r="442">
      <c r="A442" s="46"/>
      <c r="B442" s="7"/>
      <c r="C442" s="7"/>
      <c r="D442" s="7"/>
    </row>
    <row r="443">
      <c r="A443" s="46"/>
      <c r="B443" s="7"/>
      <c r="C443" s="7"/>
      <c r="D443" s="7"/>
    </row>
    <row r="444">
      <c r="A444" s="46"/>
      <c r="B444" s="7"/>
      <c r="C444" s="7"/>
      <c r="D444" s="7"/>
    </row>
    <row r="445">
      <c r="A445" s="46"/>
      <c r="B445" s="7"/>
      <c r="C445" s="7"/>
      <c r="D445" s="7"/>
    </row>
    <row r="446">
      <c r="A446" s="46"/>
      <c r="B446" s="7"/>
      <c r="C446" s="7"/>
      <c r="D446" s="7"/>
    </row>
    <row r="447">
      <c r="A447" s="46"/>
      <c r="B447" s="7"/>
      <c r="C447" s="7"/>
      <c r="D447" s="7"/>
    </row>
    <row r="448">
      <c r="A448" s="46"/>
      <c r="B448" s="7"/>
      <c r="C448" s="7"/>
      <c r="D448" s="7"/>
    </row>
    <row r="449">
      <c r="A449" s="46"/>
      <c r="B449" s="7"/>
      <c r="C449" s="7"/>
      <c r="D449" s="7"/>
    </row>
    <row r="450">
      <c r="A450" s="46"/>
      <c r="B450" s="7"/>
      <c r="C450" s="7"/>
      <c r="D450" s="7"/>
    </row>
    <row r="451">
      <c r="A451" s="46"/>
      <c r="B451" s="7"/>
      <c r="C451" s="7"/>
      <c r="D451" s="7"/>
    </row>
    <row r="452">
      <c r="A452" s="46"/>
      <c r="B452" s="7"/>
      <c r="C452" s="7"/>
      <c r="D452" s="7"/>
    </row>
    <row r="453">
      <c r="A453" s="46"/>
      <c r="B453" s="7"/>
      <c r="C453" s="7"/>
      <c r="D453" s="7"/>
    </row>
    <row r="454">
      <c r="A454" s="46"/>
      <c r="B454" s="7"/>
      <c r="C454" s="7"/>
      <c r="D454" s="7"/>
    </row>
    <row r="455">
      <c r="A455" s="46"/>
      <c r="B455" s="7"/>
      <c r="C455" s="7"/>
      <c r="D455" s="7"/>
    </row>
    <row r="456">
      <c r="A456" s="46"/>
      <c r="B456" s="7"/>
      <c r="C456" s="7"/>
      <c r="D456" s="7"/>
    </row>
    <row r="457">
      <c r="A457" s="46"/>
      <c r="B457" s="7"/>
      <c r="C457" s="7"/>
      <c r="D457" s="7"/>
    </row>
    <row r="458">
      <c r="A458" s="46"/>
      <c r="B458" s="7"/>
      <c r="C458" s="7"/>
      <c r="D458" s="7"/>
    </row>
    <row r="459">
      <c r="A459" s="46"/>
      <c r="B459" s="7"/>
      <c r="C459" s="7"/>
      <c r="D459" s="7"/>
    </row>
    <row r="460">
      <c r="A460" s="46"/>
      <c r="B460" s="7"/>
      <c r="C460" s="7"/>
      <c r="D460" s="7"/>
    </row>
    <row r="461">
      <c r="A461" s="46"/>
      <c r="B461" s="7"/>
      <c r="C461" s="7"/>
      <c r="D461" s="7"/>
    </row>
    <row r="462">
      <c r="A462" s="46"/>
      <c r="B462" s="7"/>
      <c r="C462" s="7"/>
      <c r="D462" s="7"/>
    </row>
    <row r="463">
      <c r="A463" s="46"/>
      <c r="B463" s="7"/>
      <c r="C463" s="7"/>
      <c r="D463" s="7"/>
    </row>
    <row r="464">
      <c r="A464" s="46"/>
      <c r="B464" s="7"/>
      <c r="C464" s="7"/>
      <c r="D464" s="7"/>
    </row>
    <row r="465">
      <c r="A465" s="46"/>
      <c r="B465" s="7"/>
      <c r="C465" s="7"/>
      <c r="D465" s="7"/>
    </row>
    <row r="466">
      <c r="A466" s="46"/>
      <c r="B466" s="7"/>
      <c r="C466" s="7"/>
      <c r="D466" s="7"/>
    </row>
    <row r="467">
      <c r="A467" s="46"/>
      <c r="B467" s="7"/>
      <c r="C467" s="7"/>
      <c r="D467" s="7"/>
    </row>
    <row r="468">
      <c r="A468" s="46"/>
      <c r="B468" s="7"/>
      <c r="C468" s="7"/>
      <c r="D468" s="7"/>
    </row>
    <row r="469">
      <c r="A469" s="46"/>
      <c r="B469" s="7"/>
      <c r="C469" s="7"/>
      <c r="D469" s="7"/>
    </row>
    <row r="470">
      <c r="A470" s="46"/>
      <c r="B470" s="7"/>
      <c r="C470" s="7"/>
      <c r="D470" s="7"/>
    </row>
    <row r="471">
      <c r="A471" s="46"/>
      <c r="B471" s="7"/>
      <c r="C471" s="7"/>
      <c r="D471" s="7"/>
    </row>
    <row r="472">
      <c r="A472" s="46"/>
      <c r="B472" s="7"/>
      <c r="C472" s="7"/>
      <c r="D472" s="7"/>
    </row>
    <row r="473">
      <c r="A473" s="46"/>
      <c r="B473" s="7"/>
      <c r="C473" s="7"/>
      <c r="D473" s="7"/>
    </row>
    <row r="474">
      <c r="A474" s="46"/>
      <c r="B474" s="7"/>
      <c r="C474" s="7"/>
      <c r="D474" s="7"/>
    </row>
    <row r="475">
      <c r="A475" s="46"/>
      <c r="B475" s="7"/>
      <c r="C475" s="7"/>
      <c r="D475" s="7"/>
    </row>
    <row r="476">
      <c r="A476" s="46"/>
      <c r="B476" s="7"/>
      <c r="C476" s="7"/>
      <c r="D476" s="7"/>
    </row>
    <row r="477">
      <c r="A477" s="46"/>
      <c r="B477" s="7"/>
      <c r="C477" s="7"/>
      <c r="D477" s="7"/>
    </row>
    <row r="478">
      <c r="A478" s="46"/>
      <c r="B478" s="7"/>
      <c r="C478" s="7"/>
      <c r="D478" s="7"/>
    </row>
    <row r="479">
      <c r="A479" s="46"/>
      <c r="B479" s="7"/>
      <c r="C479" s="7"/>
      <c r="D479" s="7"/>
    </row>
    <row r="480">
      <c r="A480" s="46"/>
      <c r="B480" s="7"/>
      <c r="C480" s="7"/>
      <c r="D480" s="7"/>
    </row>
    <row r="481">
      <c r="A481" s="46"/>
      <c r="B481" s="7"/>
      <c r="C481" s="7"/>
      <c r="D481" s="7"/>
    </row>
    <row r="482">
      <c r="A482" s="46"/>
      <c r="B482" s="7"/>
      <c r="C482" s="7"/>
      <c r="D482" s="7"/>
    </row>
    <row r="483">
      <c r="A483" s="46"/>
      <c r="B483" s="7"/>
      <c r="C483" s="7"/>
      <c r="D483" s="7"/>
    </row>
    <row r="484">
      <c r="A484" s="46"/>
      <c r="B484" s="7"/>
      <c r="C484" s="7"/>
      <c r="D484" s="7"/>
    </row>
    <row r="485">
      <c r="A485" s="46"/>
      <c r="B485" s="7"/>
      <c r="C485" s="7"/>
      <c r="D485" s="7"/>
    </row>
    <row r="486">
      <c r="A486" s="46"/>
      <c r="B486" s="7"/>
      <c r="C486" s="7"/>
      <c r="D486" s="7"/>
    </row>
    <row r="487">
      <c r="A487" s="46"/>
      <c r="B487" s="7"/>
      <c r="C487" s="7"/>
      <c r="D487" s="7"/>
    </row>
    <row r="488">
      <c r="A488" s="46"/>
      <c r="B488" s="7"/>
      <c r="C488" s="7"/>
      <c r="D488" s="7"/>
    </row>
    <row r="489">
      <c r="A489" s="46"/>
      <c r="B489" s="7"/>
      <c r="C489" s="7"/>
      <c r="D489" s="7"/>
    </row>
    <row r="490">
      <c r="A490" s="46"/>
      <c r="B490" s="7"/>
      <c r="C490" s="7"/>
      <c r="D490" s="7"/>
    </row>
    <row r="491">
      <c r="A491" s="46"/>
      <c r="B491" s="7"/>
      <c r="C491" s="7"/>
      <c r="D491" s="7"/>
    </row>
    <row r="492">
      <c r="A492" s="46"/>
      <c r="B492" s="7"/>
      <c r="C492" s="7"/>
      <c r="D492" s="7"/>
    </row>
    <row r="493">
      <c r="A493" s="46"/>
      <c r="B493" s="7"/>
      <c r="C493" s="7"/>
      <c r="D493" s="7"/>
    </row>
    <row r="494">
      <c r="A494" s="46"/>
      <c r="B494" s="7"/>
      <c r="C494" s="7"/>
      <c r="D494" s="7"/>
    </row>
    <row r="495">
      <c r="A495" s="46"/>
      <c r="B495" s="7"/>
      <c r="C495" s="7"/>
      <c r="D495" s="7"/>
    </row>
    <row r="496">
      <c r="A496" s="46"/>
      <c r="B496" s="7"/>
      <c r="C496" s="7"/>
      <c r="D496" s="7"/>
    </row>
    <row r="497">
      <c r="A497" s="46"/>
      <c r="B497" s="7"/>
      <c r="C497" s="7"/>
      <c r="D497" s="7"/>
    </row>
    <row r="498">
      <c r="A498" s="46"/>
      <c r="B498" s="7"/>
      <c r="C498" s="7"/>
      <c r="D498" s="7"/>
    </row>
    <row r="499">
      <c r="A499" s="46"/>
      <c r="B499" s="7"/>
      <c r="C499" s="7"/>
      <c r="D499" s="7"/>
    </row>
    <row r="500">
      <c r="A500" s="46"/>
      <c r="B500" s="7"/>
      <c r="C500" s="7"/>
      <c r="D500" s="7"/>
    </row>
    <row r="501">
      <c r="A501" s="46"/>
      <c r="B501" s="7"/>
      <c r="C501" s="7"/>
      <c r="D501" s="7"/>
    </row>
    <row r="502">
      <c r="A502" s="46"/>
      <c r="B502" s="7"/>
      <c r="C502" s="7"/>
      <c r="D502" s="7"/>
    </row>
    <row r="503">
      <c r="A503" s="46"/>
      <c r="B503" s="7"/>
      <c r="C503" s="7"/>
      <c r="D503" s="7"/>
    </row>
    <row r="504">
      <c r="A504" s="46"/>
      <c r="B504" s="7"/>
      <c r="C504" s="7"/>
      <c r="D504" s="7"/>
    </row>
    <row r="505">
      <c r="A505" s="46"/>
      <c r="B505" s="7"/>
      <c r="C505" s="7"/>
      <c r="D505" s="7"/>
    </row>
    <row r="506">
      <c r="A506" s="46"/>
      <c r="B506" s="7"/>
      <c r="C506" s="7"/>
      <c r="D506" s="7"/>
    </row>
    <row r="507">
      <c r="A507" s="46"/>
      <c r="B507" s="7"/>
      <c r="C507" s="7"/>
      <c r="D507" s="7"/>
    </row>
    <row r="508">
      <c r="A508" s="46"/>
      <c r="B508" s="7"/>
      <c r="C508" s="7"/>
      <c r="D508" s="7"/>
    </row>
    <row r="509">
      <c r="A509" s="46"/>
      <c r="B509" s="7"/>
      <c r="C509" s="7"/>
      <c r="D509" s="7"/>
    </row>
    <row r="510">
      <c r="A510" s="46"/>
      <c r="B510" s="7"/>
      <c r="C510" s="7"/>
      <c r="D510" s="7"/>
    </row>
    <row r="511">
      <c r="A511" s="46"/>
      <c r="B511" s="7"/>
      <c r="C511" s="7"/>
      <c r="D511" s="7"/>
    </row>
    <row r="512">
      <c r="A512" s="46"/>
      <c r="B512" s="7"/>
      <c r="C512" s="7"/>
      <c r="D512" s="7"/>
    </row>
    <row r="513">
      <c r="A513" s="46"/>
      <c r="B513" s="7"/>
      <c r="C513" s="7"/>
      <c r="D513" s="7"/>
    </row>
    <row r="514">
      <c r="A514" s="46"/>
      <c r="B514" s="7"/>
      <c r="C514" s="7"/>
      <c r="D514" s="7"/>
    </row>
    <row r="515">
      <c r="A515" s="46"/>
      <c r="B515" s="7"/>
      <c r="C515" s="7"/>
      <c r="D515" s="7"/>
    </row>
    <row r="516">
      <c r="A516" s="46"/>
      <c r="B516" s="7"/>
      <c r="C516" s="7"/>
      <c r="D516" s="7"/>
    </row>
    <row r="517">
      <c r="A517" s="46"/>
      <c r="B517" s="7"/>
      <c r="C517" s="7"/>
      <c r="D517" s="7"/>
    </row>
    <row r="518">
      <c r="A518" s="46"/>
      <c r="B518" s="7"/>
      <c r="C518" s="7"/>
      <c r="D518" s="7"/>
    </row>
    <row r="519">
      <c r="A519" s="46"/>
      <c r="B519" s="7"/>
      <c r="C519" s="7"/>
      <c r="D519" s="7"/>
    </row>
    <row r="520">
      <c r="A520" s="46"/>
      <c r="B520" s="7"/>
      <c r="C520" s="7"/>
      <c r="D520" s="7"/>
    </row>
    <row r="521">
      <c r="A521" s="46"/>
      <c r="B521" s="7"/>
      <c r="C521" s="7"/>
      <c r="D521" s="7"/>
    </row>
    <row r="522">
      <c r="A522" s="46"/>
      <c r="B522" s="7"/>
      <c r="C522" s="7"/>
      <c r="D522" s="7"/>
    </row>
    <row r="523">
      <c r="A523" s="46"/>
      <c r="B523" s="7"/>
      <c r="C523" s="7"/>
      <c r="D523" s="7"/>
    </row>
    <row r="524">
      <c r="A524" s="46"/>
      <c r="B524" s="7"/>
      <c r="C524" s="7"/>
      <c r="D524" s="7"/>
    </row>
    <row r="525">
      <c r="A525" s="46"/>
      <c r="B525" s="7"/>
      <c r="C525" s="7"/>
      <c r="D525" s="7"/>
    </row>
    <row r="526">
      <c r="A526" s="46"/>
      <c r="B526" s="7"/>
      <c r="C526" s="7"/>
      <c r="D526" s="7"/>
    </row>
    <row r="527">
      <c r="A527" s="46"/>
      <c r="B527" s="7"/>
      <c r="C527" s="7"/>
      <c r="D527" s="7"/>
    </row>
    <row r="528">
      <c r="A528" s="46"/>
      <c r="B528" s="7"/>
      <c r="C528" s="7"/>
      <c r="D528" s="7"/>
    </row>
    <row r="529">
      <c r="A529" s="46"/>
      <c r="B529" s="7"/>
      <c r="C529" s="7"/>
      <c r="D529" s="7"/>
    </row>
    <row r="530">
      <c r="A530" s="46"/>
      <c r="B530" s="7"/>
      <c r="C530" s="7"/>
      <c r="D530" s="7"/>
    </row>
    <row r="531">
      <c r="A531" s="46"/>
      <c r="B531" s="7"/>
      <c r="C531" s="7"/>
      <c r="D531" s="7"/>
    </row>
    <row r="532">
      <c r="A532" s="46"/>
      <c r="B532" s="7"/>
      <c r="C532" s="7"/>
      <c r="D532" s="7"/>
    </row>
    <row r="533">
      <c r="A533" s="46"/>
      <c r="B533" s="7"/>
      <c r="C533" s="7"/>
      <c r="D533" s="7"/>
    </row>
    <row r="534">
      <c r="A534" s="46"/>
      <c r="B534" s="7"/>
      <c r="C534" s="7"/>
      <c r="D534" s="7"/>
    </row>
    <row r="535">
      <c r="A535" s="46"/>
      <c r="B535" s="7"/>
      <c r="C535" s="7"/>
      <c r="D535" s="7"/>
    </row>
    <row r="536">
      <c r="A536" s="46"/>
      <c r="B536" s="7"/>
      <c r="C536" s="7"/>
      <c r="D536" s="7"/>
    </row>
    <row r="537">
      <c r="A537" s="46"/>
      <c r="B537" s="7"/>
      <c r="C537" s="7"/>
      <c r="D537" s="7"/>
    </row>
    <row r="538">
      <c r="A538" s="46"/>
      <c r="B538" s="7"/>
      <c r="C538" s="7"/>
      <c r="D538" s="7"/>
    </row>
    <row r="539">
      <c r="A539" s="46"/>
      <c r="B539" s="7"/>
      <c r="C539" s="7"/>
      <c r="D539" s="7"/>
    </row>
    <row r="540">
      <c r="A540" s="46"/>
      <c r="B540" s="7"/>
      <c r="C540" s="7"/>
      <c r="D540" s="7"/>
    </row>
    <row r="541">
      <c r="A541" s="46"/>
      <c r="B541" s="7"/>
      <c r="C541" s="7"/>
      <c r="D541" s="7"/>
    </row>
    <row r="542">
      <c r="A542" s="46"/>
      <c r="B542" s="7"/>
      <c r="C542" s="7"/>
      <c r="D542" s="7"/>
    </row>
    <row r="543">
      <c r="A543" s="46"/>
      <c r="B543" s="7"/>
      <c r="C543" s="7"/>
      <c r="D543" s="7"/>
    </row>
    <row r="544">
      <c r="A544" s="46"/>
      <c r="B544" s="7"/>
      <c r="C544" s="7"/>
      <c r="D544" s="7"/>
    </row>
    <row r="545">
      <c r="A545" s="46"/>
      <c r="B545" s="7"/>
      <c r="C545" s="7"/>
      <c r="D545" s="7"/>
    </row>
    <row r="546">
      <c r="A546" s="46"/>
      <c r="B546" s="7"/>
      <c r="C546" s="7"/>
      <c r="D546" s="7"/>
    </row>
    <row r="547">
      <c r="A547" s="46"/>
      <c r="B547" s="7"/>
      <c r="C547" s="7"/>
      <c r="D547" s="7"/>
    </row>
    <row r="548">
      <c r="A548" s="46"/>
      <c r="B548" s="7"/>
      <c r="C548" s="7"/>
      <c r="D548" s="7"/>
    </row>
    <row r="549">
      <c r="A549" s="46"/>
      <c r="B549" s="7"/>
      <c r="C549" s="7"/>
      <c r="D549" s="7"/>
    </row>
    <row r="550">
      <c r="A550" s="46"/>
      <c r="B550" s="7"/>
      <c r="C550" s="7"/>
      <c r="D550" s="7"/>
    </row>
    <row r="551">
      <c r="A551" s="46"/>
      <c r="B551" s="7"/>
      <c r="C551" s="7"/>
      <c r="D551" s="7"/>
    </row>
    <row r="552">
      <c r="A552" s="46"/>
      <c r="B552" s="7"/>
      <c r="C552" s="7"/>
      <c r="D552" s="7"/>
    </row>
    <row r="553">
      <c r="A553" s="46"/>
      <c r="B553" s="7"/>
      <c r="C553" s="7"/>
      <c r="D553" s="7"/>
    </row>
    <row r="554">
      <c r="A554" s="46"/>
      <c r="B554" s="7"/>
      <c r="C554" s="7"/>
      <c r="D554" s="7"/>
    </row>
    <row r="555">
      <c r="A555" s="46"/>
      <c r="B555" s="7"/>
      <c r="C555" s="7"/>
      <c r="D555" s="7"/>
    </row>
    <row r="556">
      <c r="A556" s="46"/>
      <c r="B556" s="7"/>
      <c r="C556" s="7"/>
      <c r="D556" s="7"/>
    </row>
    <row r="557">
      <c r="A557" s="46"/>
      <c r="B557" s="7"/>
      <c r="C557" s="7"/>
      <c r="D557" s="7"/>
    </row>
    <row r="558">
      <c r="A558" s="46"/>
      <c r="B558" s="7"/>
      <c r="C558" s="7"/>
      <c r="D558" s="7"/>
    </row>
    <row r="559">
      <c r="A559" s="46"/>
      <c r="B559" s="7"/>
      <c r="C559" s="7"/>
      <c r="D559" s="7"/>
    </row>
    <row r="560">
      <c r="A560" s="46"/>
      <c r="B560" s="7"/>
      <c r="C560" s="7"/>
      <c r="D560" s="7"/>
    </row>
    <row r="561">
      <c r="A561" s="46"/>
      <c r="B561" s="7"/>
      <c r="C561" s="7"/>
      <c r="D561" s="7"/>
    </row>
    <row r="562">
      <c r="A562" s="46"/>
      <c r="B562" s="7"/>
      <c r="C562" s="7"/>
      <c r="D562" s="7"/>
    </row>
    <row r="563">
      <c r="A563" s="46"/>
      <c r="B563" s="7"/>
      <c r="C563" s="7"/>
      <c r="D563" s="7"/>
    </row>
    <row r="564">
      <c r="A564" s="46"/>
      <c r="B564" s="7"/>
      <c r="C564" s="7"/>
      <c r="D564" s="7"/>
    </row>
    <row r="565">
      <c r="A565" s="46"/>
      <c r="B565" s="7"/>
      <c r="C565" s="7"/>
      <c r="D565" s="7"/>
    </row>
    <row r="566">
      <c r="A566" s="46"/>
      <c r="B566" s="7"/>
      <c r="C566" s="7"/>
      <c r="D566" s="7"/>
    </row>
    <row r="567">
      <c r="A567" s="46"/>
      <c r="B567" s="7"/>
      <c r="C567" s="7"/>
      <c r="D567" s="7"/>
    </row>
    <row r="568">
      <c r="A568" s="46"/>
      <c r="B568" s="7"/>
      <c r="C568" s="7"/>
      <c r="D568" s="7"/>
    </row>
    <row r="569">
      <c r="A569" s="46"/>
      <c r="B569" s="7"/>
      <c r="C569" s="7"/>
      <c r="D569" s="7"/>
    </row>
    <row r="570">
      <c r="A570" s="46"/>
      <c r="B570" s="7"/>
      <c r="C570" s="7"/>
      <c r="D570" s="7"/>
    </row>
    <row r="571">
      <c r="A571" s="46"/>
      <c r="B571" s="7"/>
      <c r="C571" s="7"/>
      <c r="D571" s="7"/>
    </row>
    <row r="572">
      <c r="A572" s="46"/>
      <c r="B572" s="7"/>
      <c r="C572" s="7"/>
      <c r="D572" s="7"/>
    </row>
    <row r="573">
      <c r="A573" s="46"/>
      <c r="B573" s="7"/>
      <c r="C573" s="7"/>
      <c r="D573" s="7"/>
    </row>
    <row r="574">
      <c r="A574" s="46"/>
      <c r="B574" s="7"/>
      <c r="C574" s="7"/>
      <c r="D574" s="7"/>
    </row>
    <row r="575">
      <c r="A575" s="46"/>
      <c r="B575" s="7"/>
      <c r="C575" s="7"/>
      <c r="D575" s="7"/>
    </row>
    <row r="576">
      <c r="A576" s="46"/>
      <c r="B576" s="7"/>
      <c r="C576" s="7"/>
      <c r="D576" s="7"/>
    </row>
    <row r="577">
      <c r="A577" s="46"/>
      <c r="B577" s="7"/>
      <c r="C577" s="7"/>
      <c r="D577" s="7"/>
    </row>
    <row r="578">
      <c r="A578" s="46"/>
      <c r="B578" s="7"/>
      <c r="C578" s="7"/>
      <c r="D578" s="7"/>
    </row>
    <row r="579">
      <c r="A579" s="46"/>
      <c r="B579" s="7"/>
      <c r="C579" s="7"/>
      <c r="D579" s="7"/>
    </row>
    <row r="580">
      <c r="A580" s="46"/>
      <c r="B580" s="7"/>
      <c r="C580" s="7"/>
      <c r="D580" s="7"/>
    </row>
    <row r="581">
      <c r="A581" s="46"/>
      <c r="B581" s="7"/>
      <c r="C581" s="7"/>
      <c r="D581" s="7"/>
    </row>
    <row r="582">
      <c r="A582" s="46"/>
      <c r="B582" s="7"/>
      <c r="C582" s="7"/>
      <c r="D582" s="7"/>
    </row>
    <row r="583">
      <c r="A583" s="46"/>
      <c r="B583" s="7"/>
      <c r="C583" s="7"/>
      <c r="D583" s="7"/>
    </row>
    <row r="584">
      <c r="A584" s="46"/>
      <c r="B584" s="7"/>
      <c r="C584" s="7"/>
      <c r="D584" s="7"/>
    </row>
    <row r="585">
      <c r="A585" s="46"/>
      <c r="B585" s="7"/>
      <c r="C585" s="7"/>
      <c r="D585" s="7"/>
    </row>
    <row r="586">
      <c r="A586" s="46"/>
      <c r="B586" s="7"/>
      <c r="C586" s="7"/>
      <c r="D586" s="7"/>
    </row>
    <row r="587">
      <c r="A587" s="46"/>
      <c r="B587" s="7"/>
      <c r="C587" s="7"/>
      <c r="D587" s="7"/>
    </row>
    <row r="588">
      <c r="A588" s="46"/>
      <c r="B588" s="7"/>
      <c r="C588" s="7"/>
      <c r="D588" s="7"/>
    </row>
    <row r="589">
      <c r="A589" s="46"/>
      <c r="B589" s="7"/>
      <c r="C589" s="7"/>
      <c r="D589" s="7"/>
    </row>
    <row r="590">
      <c r="A590" s="46"/>
      <c r="B590" s="7"/>
      <c r="C590" s="7"/>
      <c r="D590" s="7"/>
    </row>
    <row r="591">
      <c r="A591" s="46"/>
      <c r="B591" s="7"/>
      <c r="C591" s="7"/>
      <c r="D591" s="7"/>
    </row>
    <row r="592">
      <c r="A592" s="46"/>
      <c r="B592" s="7"/>
      <c r="C592" s="7"/>
      <c r="D592" s="7"/>
    </row>
    <row r="593">
      <c r="A593" s="46"/>
      <c r="B593" s="7"/>
      <c r="C593" s="7"/>
      <c r="D593" s="7"/>
    </row>
    <row r="594">
      <c r="A594" s="46"/>
      <c r="B594" s="7"/>
      <c r="C594" s="7"/>
      <c r="D594" s="7"/>
    </row>
    <row r="595">
      <c r="A595" s="46"/>
      <c r="B595" s="7"/>
      <c r="C595" s="7"/>
      <c r="D595" s="7"/>
    </row>
    <row r="596">
      <c r="A596" s="46"/>
      <c r="B596" s="7"/>
      <c r="C596" s="7"/>
      <c r="D596" s="7"/>
    </row>
    <row r="597">
      <c r="A597" s="46"/>
      <c r="B597" s="7"/>
      <c r="C597" s="7"/>
      <c r="D597" s="7"/>
    </row>
    <row r="598">
      <c r="A598" s="46"/>
      <c r="B598" s="7"/>
      <c r="C598" s="7"/>
      <c r="D598" s="7"/>
    </row>
    <row r="599">
      <c r="A599" s="46"/>
      <c r="B599" s="7"/>
      <c r="C599" s="7"/>
      <c r="D599" s="7"/>
    </row>
    <row r="600">
      <c r="A600" s="46"/>
      <c r="B600" s="7"/>
      <c r="C600" s="7"/>
      <c r="D600" s="7"/>
    </row>
    <row r="601">
      <c r="A601" s="46"/>
      <c r="B601" s="7"/>
      <c r="C601" s="7"/>
      <c r="D601" s="7"/>
    </row>
    <row r="602">
      <c r="A602" s="46"/>
      <c r="B602" s="7"/>
      <c r="C602" s="7"/>
      <c r="D602" s="7"/>
    </row>
    <row r="603">
      <c r="A603" s="46"/>
      <c r="B603" s="7"/>
      <c r="C603" s="7"/>
      <c r="D603" s="7"/>
    </row>
    <row r="604">
      <c r="A604" s="46"/>
      <c r="B604" s="7"/>
      <c r="C604" s="7"/>
      <c r="D604" s="7"/>
    </row>
    <row r="605">
      <c r="A605" s="46"/>
      <c r="B605" s="7"/>
      <c r="C605" s="7"/>
      <c r="D605" s="7"/>
    </row>
    <row r="606">
      <c r="A606" s="46"/>
      <c r="B606" s="7"/>
      <c r="C606" s="7"/>
      <c r="D606" s="7"/>
    </row>
    <row r="607">
      <c r="A607" s="46"/>
      <c r="B607" s="7"/>
      <c r="C607" s="7"/>
      <c r="D607" s="7"/>
    </row>
    <row r="608">
      <c r="A608" s="46"/>
      <c r="B608" s="7"/>
      <c r="C608" s="7"/>
      <c r="D608" s="7"/>
    </row>
    <row r="609">
      <c r="A609" s="46"/>
      <c r="B609" s="7"/>
      <c r="C609" s="7"/>
      <c r="D609" s="7"/>
    </row>
    <row r="610">
      <c r="A610" s="46"/>
      <c r="B610" s="7"/>
      <c r="C610" s="7"/>
      <c r="D610" s="7"/>
    </row>
    <row r="611">
      <c r="A611" s="46"/>
      <c r="B611" s="7"/>
      <c r="C611" s="7"/>
      <c r="D611" s="7"/>
    </row>
    <row r="612">
      <c r="A612" s="46"/>
      <c r="B612" s="7"/>
      <c r="C612" s="7"/>
      <c r="D612" s="7"/>
    </row>
    <row r="613">
      <c r="A613" s="46"/>
      <c r="B613" s="7"/>
      <c r="C613" s="7"/>
      <c r="D613" s="7"/>
    </row>
    <row r="614">
      <c r="A614" s="46"/>
      <c r="B614" s="7"/>
      <c r="C614" s="7"/>
      <c r="D614" s="7"/>
    </row>
    <row r="615">
      <c r="A615" s="46"/>
      <c r="B615" s="7"/>
      <c r="C615" s="7"/>
      <c r="D615" s="7"/>
    </row>
    <row r="616">
      <c r="A616" s="46"/>
      <c r="B616" s="7"/>
      <c r="C616" s="7"/>
      <c r="D616" s="7"/>
    </row>
    <row r="617">
      <c r="A617" s="46"/>
      <c r="B617" s="7"/>
      <c r="C617" s="7"/>
      <c r="D617" s="7"/>
    </row>
    <row r="618">
      <c r="A618" s="46"/>
      <c r="B618" s="7"/>
      <c r="C618" s="7"/>
      <c r="D618" s="7"/>
    </row>
    <row r="619">
      <c r="A619" s="46"/>
      <c r="B619" s="7"/>
      <c r="C619" s="7"/>
      <c r="D619" s="7"/>
    </row>
    <row r="620">
      <c r="A620" s="46"/>
      <c r="B620" s="7"/>
      <c r="C620" s="7"/>
      <c r="D620" s="7"/>
    </row>
    <row r="621">
      <c r="A621" s="46"/>
      <c r="B621" s="7"/>
      <c r="C621" s="7"/>
      <c r="D621" s="7"/>
    </row>
    <row r="622">
      <c r="A622" s="46"/>
      <c r="B622" s="7"/>
      <c r="C622" s="7"/>
      <c r="D622" s="7"/>
    </row>
    <row r="623">
      <c r="A623" s="46"/>
      <c r="B623" s="7"/>
      <c r="C623" s="7"/>
      <c r="D623" s="7"/>
    </row>
    <row r="624">
      <c r="A624" s="46"/>
      <c r="B624" s="7"/>
      <c r="C624" s="7"/>
      <c r="D624" s="7"/>
    </row>
    <row r="625">
      <c r="A625" s="46"/>
      <c r="B625" s="7"/>
      <c r="C625" s="7"/>
      <c r="D625" s="7"/>
    </row>
    <row r="626">
      <c r="A626" s="46"/>
      <c r="B626" s="7"/>
      <c r="C626" s="7"/>
      <c r="D626" s="7"/>
    </row>
    <row r="627">
      <c r="A627" s="46"/>
      <c r="B627" s="7"/>
      <c r="C627" s="7"/>
      <c r="D627" s="7"/>
    </row>
    <row r="628">
      <c r="A628" s="46"/>
      <c r="B628" s="7"/>
      <c r="C628" s="7"/>
      <c r="D628" s="7"/>
    </row>
    <row r="629">
      <c r="A629" s="46"/>
      <c r="B629" s="7"/>
      <c r="C629" s="7"/>
      <c r="D629" s="7"/>
    </row>
    <row r="630">
      <c r="A630" s="46"/>
      <c r="B630" s="7"/>
      <c r="C630" s="7"/>
      <c r="D630" s="7"/>
    </row>
    <row r="631">
      <c r="A631" s="46"/>
      <c r="B631" s="7"/>
      <c r="C631" s="7"/>
      <c r="D631" s="7"/>
    </row>
    <row r="632">
      <c r="A632" s="46"/>
      <c r="B632" s="7"/>
      <c r="C632" s="7"/>
      <c r="D632" s="7"/>
    </row>
    <row r="633">
      <c r="A633" s="46"/>
      <c r="B633" s="7"/>
      <c r="C633" s="7"/>
      <c r="D633" s="7"/>
    </row>
    <row r="634">
      <c r="A634" s="46"/>
      <c r="B634" s="7"/>
      <c r="C634" s="7"/>
      <c r="D634" s="7"/>
    </row>
    <row r="635">
      <c r="A635" s="46"/>
      <c r="B635" s="7"/>
      <c r="C635" s="7"/>
      <c r="D635" s="7"/>
    </row>
    <row r="636">
      <c r="A636" s="46"/>
      <c r="B636" s="7"/>
      <c r="C636" s="7"/>
      <c r="D636" s="7"/>
    </row>
    <row r="637">
      <c r="A637" s="46"/>
      <c r="B637" s="7"/>
      <c r="C637" s="7"/>
      <c r="D637" s="7"/>
    </row>
    <row r="638">
      <c r="A638" s="46"/>
      <c r="B638" s="7"/>
      <c r="C638" s="7"/>
      <c r="D638" s="7"/>
    </row>
    <row r="639">
      <c r="A639" s="46"/>
      <c r="B639" s="7"/>
      <c r="C639" s="7"/>
      <c r="D639" s="7"/>
    </row>
    <row r="640">
      <c r="A640" s="46"/>
      <c r="B640" s="7"/>
      <c r="C640" s="7"/>
      <c r="D640" s="7"/>
    </row>
    <row r="641">
      <c r="A641" s="46"/>
      <c r="B641" s="7"/>
      <c r="C641" s="7"/>
      <c r="D641" s="7"/>
    </row>
    <row r="642">
      <c r="A642" s="46"/>
      <c r="B642" s="7"/>
      <c r="C642" s="7"/>
      <c r="D642" s="7"/>
    </row>
    <row r="643">
      <c r="A643" s="46"/>
      <c r="B643" s="7"/>
      <c r="C643" s="7"/>
      <c r="D643" s="7"/>
    </row>
    <row r="644">
      <c r="A644" s="46"/>
      <c r="B644" s="7"/>
      <c r="C644" s="7"/>
      <c r="D644" s="7"/>
    </row>
    <row r="645">
      <c r="A645" s="46"/>
      <c r="B645" s="7"/>
      <c r="C645" s="7"/>
      <c r="D645" s="7"/>
    </row>
    <row r="646">
      <c r="A646" s="46"/>
      <c r="B646" s="7"/>
      <c r="C646" s="7"/>
      <c r="D646" s="7"/>
    </row>
    <row r="647">
      <c r="A647" s="46"/>
      <c r="B647" s="7"/>
      <c r="C647" s="7"/>
      <c r="D647" s="7"/>
    </row>
    <row r="648">
      <c r="A648" s="46"/>
      <c r="B648" s="7"/>
      <c r="C648" s="7"/>
      <c r="D648" s="7"/>
    </row>
    <row r="649">
      <c r="A649" s="46"/>
      <c r="B649" s="7"/>
      <c r="C649" s="7"/>
      <c r="D649" s="7"/>
    </row>
    <row r="650">
      <c r="A650" s="46"/>
      <c r="B650" s="7"/>
      <c r="C650" s="7"/>
      <c r="D650" s="7"/>
    </row>
    <row r="651">
      <c r="A651" s="46"/>
      <c r="B651" s="7"/>
      <c r="C651" s="7"/>
      <c r="D651" s="7"/>
    </row>
    <row r="652">
      <c r="A652" s="46"/>
      <c r="B652" s="7"/>
      <c r="C652" s="7"/>
      <c r="D652" s="7"/>
    </row>
    <row r="653">
      <c r="A653" s="46"/>
      <c r="B653" s="7"/>
      <c r="C653" s="7"/>
      <c r="D653" s="7"/>
    </row>
    <row r="654">
      <c r="A654" s="46"/>
      <c r="B654" s="7"/>
      <c r="C654" s="7"/>
      <c r="D654" s="7"/>
    </row>
    <row r="655">
      <c r="A655" s="46"/>
      <c r="B655" s="7"/>
      <c r="C655" s="7"/>
      <c r="D655" s="7"/>
    </row>
    <row r="656">
      <c r="A656" s="46"/>
      <c r="B656" s="7"/>
      <c r="C656" s="7"/>
      <c r="D656" s="7"/>
    </row>
    <row r="657">
      <c r="A657" s="46"/>
      <c r="B657" s="7"/>
      <c r="C657" s="7"/>
      <c r="D657" s="7"/>
    </row>
    <row r="658">
      <c r="A658" s="46"/>
      <c r="B658" s="7"/>
      <c r="C658" s="7"/>
      <c r="D658" s="7"/>
    </row>
    <row r="659">
      <c r="A659" s="46"/>
      <c r="B659" s="7"/>
      <c r="C659" s="7"/>
      <c r="D659" s="7"/>
    </row>
    <row r="660">
      <c r="A660" s="46"/>
      <c r="B660" s="7"/>
      <c r="C660" s="7"/>
      <c r="D660" s="7"/>
    </row>
    <row r="661">
      <c r="A661" s="46"/>
      <c r="B661" s="7"/>
      <c r="C661" s="7"/>
      <c r="D661" s="7"/>
    </row>
    <row r="662">
      <c r="A662" s="46"/>
      <c r="B662" s="7"/>
      <c r="C662" s="7"/>
      <c r="D662" s="7"/>
    </row>
    <row r="663">
      <c r="A663" s="46"/>
      <c r="B663" s="7"/>
      <c r="C663" s="7"/>
      <c r="D663" s="7"/>
    </row>
    <row r="664">
      <c r="A664" s="46"/>
      <c r="B664" s="7"/>
      <c r="C664" s="7"/>
      <c r="D664" s="7"/>
    </row>
    <row r="665">
      <c r="A665" s="46"/>
      <c r="B665" s="7"/>
      <c r="C665" s="7"/>
      <c r="D665" s="7"/>
    </row>
    <row r="666">
      <c r="A666" s="46"/>
      <c r="B666" s="7"/>
      <c r="C666" s="7"/>
      <c r="D666" s="7"/>
    </row>
    <row r="667">
      <c r="A667" s="46"/>
      <c r="B667" s="7"/>
      <c r="C667" s="7"/>
      <c r="D667" s="7"/>
    </row>
    <row r="668">
      <c r="A668" s="46"/>
      <c r="B668" s="7"/>
      <c r="C668" s="7"/>
      <c r="D668" s="7"/>
    </row>
    <row r="669">
      <c r="A669" s="46"/>
      <c r="B669" s="7"/>
      <c r="C669" s="7"/>
      <c r="D669" s="7"/>
    </row>
    <row r="670">
      <c r="A670" s="46"/>
      <c r="B670" s="7"/>
      <c r="C670" s="7"/>
      <c r="D670" s="7"/>
    </row>
    <row r="671">
      <c r="A671" s="46"/>
      <c r="B671" s="7"/>
      <c r="C671" s="7"/>
      <c r="D671" s="7"/>
    </row>
    <row r="672">
      <c r="A672" s="46"/>
      <c r="B672" s="7"/>
      <c r="C672" s="7"/>
      <c r="D672" s="7"/>
    </row>
    <row r="673">
      <c r="A673" s="46"/>
      <c r="B673" s="7"/>
      <c r="C673" s="7"/>
      <c r="D673" s="7"/>
    </row>
    <row r="674">
      <c r="A674" s="46"/>
      <c r="B674" s="7"/>
      <c r="C674" s="7"/>
      <c r="D674" s="7"/>
    </row>
    <row r="675">
      <c r="A675" s="46"/>
      <c r="B675" s="7"/>
      <c r="C675" s="7"/>
      <c r="D675" s="7"/>
    </row>
    <row r="676">
      <c r="A676" s="46"/>
      <c r="B676" s="7"/>
      <c r="C676" s="7"/>
      <c r="D676" s="7"/>
    </row>
    <row r="677">
      <c r="A677" s="46"/>
      <c r="B677" s="7"/>
      <c r="C677" s="7"/>
      <c r="D677" s="7"/>
    </row>
    <row r="678">
      <c r="A678" s="46"/>
      <c r="B678" s="7"/>
      <c r="C678" s="7"/>
      <c r="D678" s="7"/>
    </row>
    <row r="679">
      <c r="A679" s="46"/>
      <c r="B679" s="7"/>
      <c r="C679" s="7"/>
      <c r="D679" s="7"/>
    </row>
    <row r="680">
      <c r="A680" s="46"/>
      <c r="B680" s="7"/>
      <c r="C680" s="7"/>
      <c r="D680" s="7"/>
    </row>
    <row r="681">
      <c r="A681" s="46"/>
      <c r="B681" s="7"/>
      <c r="C681" s="7"/>
      <c r="D681" s="7"/>
    </row>
    <row r="682">
      <c r="A682" s="46"/>
      <c r="B682" s="7"/>
      <c r="C682" s="7"/>
      <c r="D682" s="7"/>
    </row>
    <row r="683">
      <c r="A683" s="46"/>
      <c r="B683" s="7"/>
      <c r="C683" s="7"/>
      <c r="D683" s="7"/>
    </row>
    <row r="684">
      <c r="A684" s="46"/>
      <c r="B684" s="7"/>
      <c r="C684" s="7"/>
      <c r="D684" s="7"/>
    </row>
    <row r="685">
      <c r="A685" s="46"/>
      <c r="B685" s="7"/>
      <c r="C685" s="7"/>
      <c r="D685" s="7"/>
    </row>
    <row r="686">
      <c r="A686" s="46"/>
      <c r="B686" s="7"/>
      <c r="C686" s="7"/>
      <c r="D686" s="7"/>
    </row>
    <row r="687">
      <c r="A687" s="46"/>
      <c r="B687" s="7"/>
      <c r="C687" s="7"/>
      <c r="D687" s="7"/>
    </row>
    <row r="688">
      <c r="A688" s="46"/>
      <c r="B688" s="7"/>
      <c r="C688" s="7"/>
      <c r="D688" s="7"/>
    </row>
    <row r="689">
      <c r="A689" s="46"/>
      <c r="B689" s="7"/>
      <c r="C689" s="7"/>
      <c r="D689" s="7"/>
    </row>
    <row r="690">
      <c r="A690" s="46"/>
      <c r="B690" s="7"/>
      <c r="C690" s="7"/>
      <c r="D690" s="7"/>
    </row>
    <row r="691">
      <c r="A691" s="46"/>
      <c r="B691" s="7"/>
      <c r="C691" s="7"/>
      <c r="D691" s="7"/>
    </row>
    <row r="692">
      <c r="A692" s="46"/>
      <c r="B692" s="7"/>
      <c r="C692" s="7"/>
      <c r="D692" s="7"/>
    </row>
    <row r="693">
      <c r="A693" s="46"/>
      <c r="B693" s="7"/>
      <c r="C693" s="7"/>
      <c r="D693" s="7"/>
    </row>
    <row r="694">
      <c r="A694" s="46"/>
      <c r="B694" s="7"/>
      <c r="C694" s="7"/>
      <c r="D694" s="7"/>
    </row>
    <row r="695">
      <c r="A695" s="46"/>
      <c r="B695" s="7"/>
      <c r="C695" s="7"/>
      <c r="D695" s="7"/>
    </row>
    <row r="696">
      <c r="A696" s="46"/>
      <c r="B696" s="7"/>
      <c r="C696" s="7"/>
      <c r="D696" s="7"/>
    </row>
    <row r="697">
      <c r="A697" s="46"/>
      <c r="B697" s="7"/>
      <c r="C697" s="7"/>
      <c r="D697" s="7"/>
    </row>
    <row r="698">
      <c r="A698" s="46"/>
      <c r="B698" s="7"/>
      <c r="C698" s="7"/>
      <c r="D698" s="7"/>
    </row>
    <row r="699">
      <c r="A699" s="46"/>
      <c r="B699" s="7"/>
      <c r="C699" s="7"/>
      <c r="D699" s="7"/>
    </row>
    <row r="700">
      <c r="A700" s="46"/>
      <c r="B700" s="7"/>
      <c r="C700" s="7"/>
      <c r="D700" s="7"/>
    </row>
    <row r="701">
      <c r="A701" s="46"/>
      <c r="B701" s="7"/>
      <c r="C701" s="7"/>
      <c r="D701" s="7"/>
    </row>
    <row r="702">
      <c r="A702" s="46"/>
      <c r="B702" s="7"/>
      <c r="C702" s="7"/>
      <c r="D702" s="7"/>
    </row>
    <row r="703">
      <c r="A703" s="46"/>
      <c r="B703" s="7"/>
      <c r="C703" s="7"/>
      <c r="D703" s="7"/>
    </row>
    <row r="704">
      <c r="A704" s="46"/>
      <c r="B704" s="7"/>
      <c r="C704" s="7"/>
      <c r="D704" s="7"/>
    </row>
    <row r="705">
      <c r="A705" s="46"/>
      <c r="B705" s="7"/>
      <c r="C705" s="7"/>
      <c r="D705" s="7"/>
    </row>
    <row r="706">
      <c r="A706" s="46"/>
      <c r="B706" s="7"/>
      <c r="C706" s="7"/>
      <c r="D706" s="7"/>
    </row>
    <row r="707">
      <c r="A707" s="46"/>
      <c r="B707" s="7"/>
      <c r="C707" s="7"/>
      <c r="D707" s="7"/>
    </row>
    <row r="708">
      <c r="A708" s="46"/>
      <c r="B708" s="7"/>
      <c r="C708" s="7"/>
      <c r="D708" s="7"/>
    </row>
    <row r="709">
      <c r="A709" s="46"/>
      <c r="B709" s="7"/>
      <c r="C709" s="7"/>
      <c r="D709" s="7"/>
    </row>
    <row r="710">
      <c r="A710" s="46"/>
      <c r="B710" s="7"/>
      <c r="C710" s="7"/>
      <c r="D710" s="7"/>
    </row>
    <row r="711">
      <c r="A711" s="46"/>
      <c r="B711" s="7"/>
      <c r="C711" s="7"/>
      <c r="D711" s="7"/>
    </row>
    <row r="712">
      <c r="A712" s="46"/>
      <c r="B712" s="7"/>
      <c r="C712" s="7"/>
      <c r="D712" s="7"/>
    </row>
    <row r="713">
      <c r="A713" s="46"/>
      <c r="B713" s="7"/>
      <c r="C713" s="7"/>
      <c r="D713" s="7"/>
    </row>
    <row r="714">
      <c r="A714" s="46"/>
      <c r="B714" s="7"/>
      <c r="C714" s="7"/>
      <c r="D714" s="7"/>
    </row>
    <row r="715">
      <c r="A715" s="46"/>
      <c r="B715" s="7"/>
      <c r="C715" s="7"/>
      <c r="D715" s="7"/>
    </row>
    <row r="716">
      <c r="A716" s="46"/>
      <c r="B716" s="7"/>
      <c r="C716" s="7"/>
      <c r="D716" s="7"/>
    </row>
    <row r="717">
      <c r="A717" s="46"/>
      <c r="B717" s="7"/>
      <c r="C717" s="7"/>
      <c r="D717" s="7"/>
    </row>
    <row r="718">
      <c r="A718" s="46"/>
      <c r="B718" s="7"/>
      <c r="C718" s="7"/>
      <c r="D718" s="7"/>
    </row>
    <row r="719">
      <c r="A719" s="46"/>
      <c r="B719" s="7"/>
      <c r="C719" s="7"/>
      <c r="D719" s="7"/>
    </row>
    <row r="720">
      <c r="A720" s="46"/>
      <c r="B720" s="7"/>
      <c r="C720" s="7"/>
      <c r="D720" s="7"/>
    </row>
    <row r="721">
      <c r="A721" s="46"/>
      <c r="B721" s="7"/>
      <c r="C721" s="7"/>
      <c r="D721" s="7"/>
    </row>
    <row r="722">
      <c r="A722" s="46"/>
      <c r="B722" s="7"/>
      <c r="C722" s="7"/>
      <c r="D722" s="7"/>
    </row>
    <row r="723">
      <c r="A723" s="46"/>
      <c r="B723" s="7"/>
      <c r="C723" s="7"/>
      <c r="D723" s="7"/>
    </row>
    <row r="724">
      <c r="A724" s="46"/>
      <c r="B724" s="7"/>
      <c r="C724" s="7"/>
      <c r="D724" s="7"/>
    </row>
    <row r="725">
      <c r="A725" s="46"/>
      <c r="B725" s="7"/>
      <c r="C725" s="7"/>
      <c r="D725" s="7"/>
    </row>
    <row r="726">
      <c r="A726" s="46"/>
      <c r="B726" s="7"/>
      <c r="C726" s="7"/>
      <c r="D726" s="7"/>
    </row>
    <row r="727">
      <c r="A727" s="46"/>
      <c r="B727" s="7"/>
      <c r="C727" s="7"/>
      <c r="D727" s="7"/>
    </row>
    <row r="728">
      <c r="A728" s="46"/>
      <c r="B728" s="7"/>
      <c r="C728" s="7"/>
      <c r="D728" s="7"/>
    </row>
    <row r="729">
      <c r="A729" s="46"/>
      <c r="B729" s="7"/>
      <c r="C729" s="7"/>
      <c r="D729" s="7"/>
    </row>
    <row r="730">
      <c r="A730" s="46"/>
      <c r="B730" s="7"/>
      <c r="C730" s="7"/>
      <c r="D730" s="7"/>
    </row>
    <row r="731">
      <c r="A731" s="46"/>
      <c r="B731" s="7"/>
      <c r="C731" s="7"/>
      <c r="D731" s="7"/>
    </row>
    <row r="732">
      <c r="A732" s="46"/>
      <c r="B732" s="7"/>
      <c r="C732" s="7"/>
      <c r="D732" s="7"/>
    </row>
    <row r="733">
      <c r="A733" s="46"/>
      <c r="B733" s="7"/>
      <c r="C733" s="7"/>
      <c r="D733" s="7"/>
    </row>
    <row r="734">
      <c r="A734" s="46"/>
      <c r="B734" s="7"/>
      <c r="C734" s="7"/>
      <c r="D734" s="7"/>
    </row>
    <row r="735">
      <c r="A735" s="46"/>
      <c r="B735" s="7"/>
      <c r="C735" s="7"/>
      <c r="D735" s="7"/>
    </row>
    <row r="736">
      <c r="A736" s="46"/>
      <c r="B736" s="7"/>
      <c r="C736" s="7"/>
      <c r="D736" s="7"/>
    </row>
    <row r="737">
      <c r="A737" s="46"/>
      <c r="B737" s="7"/>
      <c r="C737" s="7"/>
      <c r="D737" s="7"/>
    </row>
    <row r="738">
      <c r="A738" s="46"/>
      <c r="B738" s="7"/>
      <c r="C738" s="7"/>
      <c r="D738" s="7"/>
    </row>
    <row r="739">
      <c r="A739" s="46"/>
      <c r="B739" s="7"/>
      <c r="C739" s="7"/>
      <c r="D739" s="7"/>
    </row>
    <row r="740">
      <c r="A740" s="46"/>
      <c r="B740" s="7"/>
      <c r="C740" s="7"/>
      <c r="D740" s="7"/>
    </row>
    <row r="741">
      <c r="A741" s="46"/>
      <c r="B741" s="7"/>
      <c r="C741" s="7"/>
      <c r="D741" s="7"/>
    </row>
    <row r="742">
      <c r="A742" s="46"/>
      <c r="B742" s="7"/>
      <c r="C742" s="7"/>
      <c r="D742" s="7"/>
    </row>
    <row r="743">
      <c r="A743" s="46"/>
      <c r="B743" s="7"/>
      <c r="C743" s="7"/>
      <c r="D743" s="7"/>
    </row>
    <row r="744">
      <c r="A744" s="46"/>
      <c r="B744" s="7"/>
      <c r="C744" s="7"/>
      <c r="D744" s="7"/>
    </row>
    <row r="745">
      <c r="A745" s="46"/>
      <c r="B745" s="7"/>
      <c r="C745" s="7"/>
      <c r="D745" s="7"/>
    </row>
    <row r="746">
      <c r="A746" s="46"/>
      <c r="B746" s="7"/>
      <c r="C746" s="7"/>
      <c r="D746" s="7"/>
    </row>
    <row r="747">
      <c r="A747" s="46"/>
      <c r="B747" s="7"/>
      <c r="C747" s="7"/>
      <c r="D747" s="7"/>
    </row>
    <row r="748">
      <c r="A748" s="46"/>
      <c r="B748" s="7"/>
      <c r="C748" s="7"/>
      <c r="D748" s="7"/>
    </row>
    <row r="749">
      <c r="A749" s="46"/>
      <c r="B749" s="7"/>
      <c r="C749" s="7"/>
      <c r="D749" s="7"/>
    </row>
    <row r="750">
      <c r="A750" s="46"/>
      <c r="B750" s="7"/>
      <c r="C750" s="7"/>
      <c r="D750" s="7"/>
    </row>
    <row r="751">
      <c r="A751" s="46"/>
      <c r="B751" s="7"/>
      <c r="C751" s="7"/>
      <c r="D751" s="7"/>
    </row>
    <row r="752">
      <c r="A752" s="46"/>
      <c r="B752" s="7"/>
      <c r="C752" s="7"/>
      <c r="D752" s="7"/>
    </row>
    <row r="753">
      <c r="A753" s="46"/>
      <c r="B753" s="7"/>
      <c r="C753" s="7"/>
      <c r="D753" s="7"/>
    </row>
    <row r="754">
      <c r="A754" s="46"/>
      <c r="B754" s="7"/>
      <c r="C754" s="7"/>
      <c r="D754" s="7"/>
    </row>
    <row r="755">
      <c r="A755" s="46"/>
      <c r="B755" s="7"/>
      <c r="C755" s="7"/>
      <c r="D755" s="7"/>
    </row>
    <row r="756">
      <c r="A756" s="46"/>
      <c r="B756" s="7"/>
      <c r="C756" s="7"/>
      <c r="D756" s="7"/>
    </row>
    <row r="757">
      <c r="A757" s="46"/>
      <c r="B757" s="7"/>
      <c r="C757" s="7"/>
      <c r="D757" s="7"/>
    </row>
    <row r="758">
      <c r="A758" s="46"/>
      <c r="B758" s="7"/>
      <c r="C758" s="7"/>
      <c r="D758" s="7"/>
    </row>
    <row r="759">
      <c r="A759" s="46"/>
      <c r="B759" s="7"/>
      <c r="C759" s="7"/>
      <c r="D759" s="7"/>
    </row>
    <row r="760">
      <c r="A760" s="46"/>
      <c r="B760" s="7"/>
      <c r="C760" s="7"/>
      <c r="D760" s="7"/>
    </row>
    <row r="761">
      <c r="A761" s="46"/>
      <c r="B761" s="7"/>
      <c r="C761" s="7"/>
      <c r="D761" s="7"/>
    </row>
    <row r="762">
      <c r="A762" s="46"/>
      <c r="B762" s="7"/>
      <c r="C762" s="7"/>
      <c r="D762" s="7"/>
    </row>
    <row r="763">
      <c r="A763" s="46"/>
      <c r="B763" s="7"/>
      <c r="C763" s="7"/>
      <c r="D763" s="7"/>
    </row>
    <row r="764">
      <c r="A764" s="46"/>
      <c r="B764" s="7"/>
      <c r="C764" s="7"/>
      <c r="D764" s="7"/>
    </row>
    <row r="765">
      <c r="A765" s="46"/>
      <c r="B765" s="7"/>
      <c r="C765" s="7"/>
      <c r="D765" s="7"/>
    </row>
    <row r="766">
      <c r="A766" s="46"/>
      <c r="B766" s="7"/>
      <c r="C766" s="7"/>
      <c r="D766" s="7"/>
    </row>
    <row r="767">
      <c r="A767" s="46"/>
      <c r="B767" s="7"/>
      <c r="C767" s="7"/>
      <c r="D767" s="7"/>
    </row>
    <row r="768">
      <c r="A768" s="46"/>
      <c r="B768" s="7"/>
      <c r="C768" s="7"/>
      <c r="D768" s="7"/>
    </row>
    <row r="769">
      <c r="A769" s="46"/>
      <c r="B769" s="7"/>
      <c r="C769" s="7"/>
      <c r="D769" s="7"/>
    </row>
    <row r="770">
      <c r="A770" s="46"/>
      <c r="B770" s="7"/>
      <c r="C770" s="7"/>
      <c r="D770" s="7"/>
    </row>
    <row r="771">
      <c r="A771" s="46"/>
      <c r="B771" s="7"/>
      <c r="C771" s="7"/>
      <c r="D771" s="7"/>
    </row>
    <row r="772">
      <c r="A772" s="46"/>
      <c r="B772" s="7"/>
      <c r="C772" s="7"/>
      <c r="D772" s="7"/>
    </row>
    <row r="773">
      <c r="A773" s="46"/>
      <c r="B773" s="7"/>
      <c r="C773" s="7"/>
      <c r="D773" s="7"/>
    </row>
    <row r="774">
      <c r="A774" s="46"/>
      <c r="B774" s="7"/>
      <c r="C774" s="7"/>
      <c r="D774" s="7"/>
    </row>
    <row r="775">
      <c r="A775" s="46"/>
      <c r="B775" s="7"/>
      <c r="C775" s="7"/>
      <c r="D775" s="7"/>
    </row>
    <row r="776">
      <c r="A776" s="46"/>
      <c r="B776" s="7"/>
      <c r="C776" s="7"/>
      <c r="D776" s="7"/>
    </row>
    <row r="777">
      <c r="A777" s="46"/>
      <c r="B777" s="7"/>
      <c r="C777" s="7"/>
      <c r="D777" s="7"/>
    </row>
    <row r="778">
      <c r="A778" s="46"/>
      <c r="B778" s="7"/>
      <c r="C778" s="7"/>
      <c r="D778" s="7"/>
    </row>
    <row r="779">
      <c r="A779" s="46"/>
      <c r="B779" s="7"/>
      <c r="C779" s="7"/>
      <c r="D779" s="7"/>
    </row>
    <row r="780">
      <c r="A780" s="46"/>
      <c r="B780" s="7"/>
      <c r="C780" s="7"/>
      <c r="D780" s="7"/>
    </row>
    <row r="781">
      <c r="A781" s="46"/>
      <c r="B781" s="7"/>
      <c r="C781" s="7"/>
      <c r="D781" s="7"/>
    </row>
    <row r="782">
      <c r="A782" s="46"/>
      <c r="B782" s="7"/>
      <c r="C782" s="7"/>
      <c r="D782" s="7"/>
    </row>
    <row r="783">
      <c r="A783" s="46"/>
      <c r="B783" s="7"/>
      <c r="C783" s="7"/>
      <c r="D783" s="7"/>
    </row>
    <row r="784">
      <c r="A784" s="46"/>
      <c r="B784" s="7"/>
      <c r="C784" s="7"/>
      <c r="D784" s="7"/>
    </row>
    <row r="785">
      <c r="A785" s="46"/>
      <c r="B785" s="7"/>
      <c r="C785" s="7"/>
      <c r="D785" s="7"/>
    </row>
    <row r="786">
      <c r="A786" s="46"/>
      <c r="B786" s="7"/>
      <c r="C786" s="7"/>
      <c r="D786" s="7"/>
    </row>
    <row r="787">
      <c r="A787" s="46"/>
      <c r="B787" s="7"/>
      <c r="C787" s="7"/>
      <c r="D787" s="7"/>
    </row>
    <row r="788">
      <c r="A788" s="46"/>
      <c r="B788" s="7"/>
      <c r="C788" s="7"/>
      <c r="D788" s="7"/>
    </row>
    <row r="789">
      <c r="A789" s="46"/>
      <c r="B789" s="7"/>
      <c r="C789" s="7"/>
      <c r="D789" s="7"/>
    </row>
    <row r="790">
      <c r="A790" s="46"/>
      <c r="B790" s="7"/>
      <c r="C790" s="7"/>
      <c r="D790" s="7"/>
    </row>
    <row r="791">
      <c r="A791" s="46"/>
      <c r="B791" s="7"/>
      <c r="C791" s="7"/>
      <c r="D791" s="7"/>
    </row>
    <row r="792">
      <c r="A792" s="46"/>
      <c r="B792" s="7"/>
      <c r="C792" s="7"/>
      <c r="D792" s="7"/>
    </row>
    <row r="793">
      <c r="A793" s="46"/>
      <c r="B793" s="7"/>
      <c r="C793" s="7"/>
      <c r="D793" s="7"/>
    </row>
    <row r="794">
      <c r="A794" s="46"/>
      <c r="B794" s="7"/>
      <c r="C794" s="7"/>
      <c r="D794" s="7"/>
    </row>
    <row r="795">
      <c r="A795" s="46"/>
      <c r="B795" s="7"/>
      <c r="C795" s="7"/>
      <c r="D795" s="7"/>
    </row>
    <row r="796">
      <c r="A796" s="46"/>
      <c r="B796" s="7"/>
      <c r="C796" s="7"/>
      <c r="D796" s="7"/>
    </row>
    <row r="797">
      <c r="A797" s="46"/>
      <c r="B797" s="7"/>
      <c r="C797" s="7"/>
      <c r="D797" s="7"/>
    </row>
    <row r="798">
      <c r="A798" s="46"/>
      <c r="B798" s="7"/>
      <c r="C798" s="7"/>
      <c r="D798" s="7"/>
    </row>
    <row r="799">
      <c r="A799" s="46"/>
      <c r="B799" s="7"/>
      <c r="C799" s="7"/>
      <c r="D799" s="7"/>
    </row>
    <row r="800">
      <c r="A800" s="46"/>
      <c r="B800" s="7"/>
      <c r="C800" s="7"/>
      <c r="D800" s="7"/>
    </row>
    <row r="801">
      <c r="A801" s="46"/>
      <c r="B801" s="7"/>
      <c r="C801" s="7"/>
      <c r="D801" s="7"/>
    </row>
    <row r="802">
      <c r="A802" s="46"/>
      <c r="B802" s="7"/>
      <c r="C802" s="7"/>
      <c r="D802" s="7"/>
    </row>
    <row r="803">
      <c r="A803" s="46"/>
      <c r="B803" s="7"/>
      <c r="C803" s="7"/>
      <c r="D803" s="7"/>
    </row>
    <row r="804">
      <c r="A804" s="46"/>
      <c r="B804" s="7"/>
      <c r="C804" s="7"/>
      <c r="D804" s="7"/>
    </row>
    <row r="805">
      <c r="A805" s="46"/>
      <c r="B805" s="7"/>
      <c r="C805" s="7"/>
      <c r="D805" s="7"/>
    </row>
    <row r="806">
      <c r="A806" s="46"/>
      <c r="B806" s="7"/>
      <c r="C806" s="7"/>
      <c r="D806" s="7"/>
    </row>
    <row r="807">
      <c r="A807" s="46"/>
      <c r="B807" s="7"/>
      <c r="C807" s="7"/>
      <c r="D807" s="7"/>
    </row>
    <row r="808">
      <c r="A808" s="46"/>
      <c r="B808" s="7"/>
      <c r="C808" s="7"/>
      <c r="D808" s="7"/>
    </row>
    <row r="809">
      <c r="A809" s="46"/>
      <c r="B809" s="7"/>
      <c r="C809" s="7"/>
      <c r="D809" s="7"/>
    </row>
    <row r="810">
      <c r="A810" s="46"/>
      <c r="B810" s="7"/>
      <c r="C810" s="7"/>
      <c r="D810" s="7"/>
    </row>
    <row r="811">
      <c r="A811" s="46"/>
      <c r="B811" s="7"/>
      <c r="C811" s="7"/>
      <c r="D811" s="7"/>
    </row>
    <row r="812">
      <c r="A812" s="46"/>
      <c r="B812" s="7"/>
      <c r="C812" s="7"/>
      <c r="D812" s="7"/>
    </row>
    <row r="813">
      <c r="A813" s="46"/>
      <c r="B813" s="7"/>
      <c r="C813" s="7"/>
      <c r="D813" s="7"/>
    </row>
    <row r="814">
      <c r="A814" s="46"/>
      <c r="B814" s="7"/>
      <c r="C814" s="7"/>
      <c r="D814" s="7"/>
    </row>
    <row r="815">
      <c r="A815" s="46"/>
      <c r="B815" s="7"/>
      <c r="C815" s="7"/>
      <c r="D815" s="7"/>
    </row>
    <row r="816">
      <c r="A816" s="46"/>
      <c r="B816" s="7"/>
      <c r="C816" s="7"/>
      <c r="D816" s="7"/>
    </row>
    <row r="817">
      <c r="A817" s="46"/>
      <c r="B817" s="7"/>
      <c r="C817" s="7"/>
      <c r="D817" s="7"/>
    </row>
    <row r="818">
      <c r="A818" s="46"/>
      <c r="B818" s="7"/>
      <c r="C818" s="7"/>
      <c r="D818" s="7"/>
    </row>
    <row r="819">
      <c r="A819" s="46"/>
      <c r="B819" s="7"/>
      <c r="C819" s="7"/>
      <c r="D819" s="7"/>
    </row>
    <row r="820">
      <c r="A820" s="46"/>
      <c r="B820" s="7"/>
      <c r="C820" s="7"/>
      <c r="D820" s="7"/>
    </row>
    <row r="821">
      <c r="A821" s="46"/>
      <c r="B821" s="7"/>
      <c r="C821" s="7"/>
      <c r="D821" s="7"/>
    </row>
    <row r="822">
      <c r="A822" s="46"/>
      <c r="B822" s="7"/>
      <c r="C822" s="7"/>
      <c r="D822" s="7"/>
    </row>
    <row r="823">
      <c r="A823" s="46"/>
      <c r="B823" s="7"/>
      <c r="C823" s="7"/>
      <c r="D823" s="7"/>
    </row>
    <row r="824">
      <c r="A824" s="46"/>
      <c r="B824" s="7"/>
      <c r="C824" s="7"/>
      <c r="D824" s="7"/>
    </row>
    <row r="825">
      <c r="A825" s="46"/>
      <c r="B825" s="7"/>
      <c r="C825" s="7"/>
      <c r="D825" s="7"/>
    </row>
    <row r="826">
      <c r="A826" s="46"/>
      <c r="B826" s="7"/>
      <c r="C826" s="7"/>
      <c r="D826" s="7"/>
    </row>
    <row r="827">
      <c r="A827" s="46"/>
      <c r="B827" s="7"/>
      <c r="C827" s="7"/>
      <c r="D827" s="7"/>
    </row>
    <row r="828">
      <c r="A828" s="46"/>
      <c r="B828" s="7"/>
      <c r="C828" s="7"/>
      <c r="D828" s="7"/>
    </row>
    <row r="829">
      <c r="A829" s="46"/>
      <c r="B829" s="7"/>
      <c r="C829" s="7"/>
      <c r="D829" s="7"/>
    </row>
    <row r="830">
      <c r="A830" s="46"/>
      <c r="B830" s="7"/>
      <c r="C830" s="7"/>
      <c r="D830" s="7"/>
    </row>
    <row r="831">
      <c r="A831" s="46"/>
      <c r="B831" s="7"/>
      <c r="C831" s="7"/>
      <c r="D831" s="7"/>
    </row>
    <row r="832">
      <c r="A832" s="46"/>
      <c r="B832" s="7"/>
      <c r="C832" s="7"/>
      <c r="D832" s="7"/>
    </row>
    <row r="833">
      <c r="A833" s="46"/>
      <c r="B833" s="7"/>
      <c r="C833" s="7"/>
      <c r="D833" s="7"/>
    </row>
    <row r="834">
      <c r="A834" s="46"/>
      <c r="B834" s="7"/>
      <c r="C834" s="7"/>
      <c r="D834" s="7"/>
    </row>
    <row r="835">
      <c r="A835" s="46"/>
      <c r="B835" s="7"/>
      <c r="C835" s="7"/>
      <c r="D835" s="7"/>
    </row>
    <row r="836">
      <c r="A836" s="46"/>
      <c r="B836" s="7"/>
      <c r="C836" s="7"/>
      <c r="D836" s="7"/>
    </row>
    <row r="837">
      <c r="A837" s="46"/>
      <c r="B837" s="7"/>
      <c r="C837" s="7"/>
      <c r="D837" s="7"/>
    </row>
    <row r="838">
      <c r="A838" s="46"/>
      <c r="B838" s="7"/>
      <c r="C838" s="7"/>
      <c r="D838" s="7"/>
    </row>
    <row r="839">
      <c r="A839" s="46"/>
      <c r="B839" s="7"/>
      <c r="C839" s="7"/>
      <c r="D839" s="7"/>
    </row>
    <row r="840">
      <c r="A840" s="46"/>
      <c r="B840" s="7"/>
      <c r="C840" s="7"/>
      <c r="D840" s="7"/>
    </row>
    <row r="841">
      <c r="A841" s="46"/>
      <c r="B841" s="7"/>
      <c r="C841" s="7"/>
      <c r="D841" s="7"/>
    </row>
    <row r="842">
      <c r="A842" s="46"/>
      <c r="B842" s="7"/>
      <c r="C842" s="7"/>
      <c r="D842" s="7"/>
    </row>
    <row r="843">
      <c r="A843" s="46"/>
      <c r="B843" s="7"/>
      <c r="C843" s="7"/>
      <c r="D843" s="7"/>
    </row>
    <row r="844">
      <c r="A844" s="46"/>
      <c r="B844" s="7"/>
      <c r="C844" s="7"/>
      <c r="D844" s="7"/>
    </row>
    <row r="845">
      <c r="A845" s="46"/>
      <c r="B845" s="7"/>
      <c r="C845" s="7"/>
      <c r="D845" s="7"/>
    </row>
    <row r="846">
      <c r="A846" s="46"/>
      <c r="B846" s="7"/>
      <c r="C846" s="7"/>
      <c r="D846" s="7"/>
    </row>
    <row r="847">
      <c r="A847" s="46"/>
      <c r="B847" s="7"/>
      <c r="C847" s="7"/>
      <c r="D847" s="7"/>
    </row>
    <row r="848">
      <c r="A848" s="46"/>
      <c r="B848" s="7"/>
      <c r="C848" s="7"/>
      <c r="D848" s="7"/>
    </row>
    <row r="849">
      <c r="A849" s="46"/>
      <c r="B849" s="7"/>
      <c r="C849" s="7"/>
      <c r="D849" s="7"/>
    </row>
    <row r="850">
      <c r="A850" s="46"/>
      <c r="B850" s="7"/>
      <c r="C850" s="7"/>
      <c r="D850" s="7"/>
    </row>
    <row r="851">
      <c r="A851" s="46"/>
      <c r="B851" s="7"/>
      <c r="C851" s="7"/>
      <c r="D851" s="7"/>
    </row>
    <row r="852">
      <c r="A852" s="46"/>
      <c r="B852" s="7"/>
      <c r="C852" s="7"/>
      <c r="D852" s="7"/>
    </row>
    <row r="853">
      <c r="A853" s="46"/>
      <c r="B853" s="7"/>
      <c r="C853" s="7"/>
      <c r="D853" s="7"/>
    </row>
    <row r="854">
      <c r="A854" s="46"/>
      <c r="B854" s="7"/>
      <c r="C854" s="7"/>
      <c r="D854" s="7"/>
    </row>
    <row r="855">
      <c r="A855" s="46"/>
      <c r="B855" s="7"/>
      <c r="C855" s="7"/>
      <c r="D855" s="7"/>
    </row>
    <row r="856">
      <c r="A856" s="46"/>
      <c r="B856" s="7"/>
      <c r="C856" s="7"/>
      <c r="D856" s="7"/>
    </row>
    <row r="857">
      <c r="A857" s="46"/>
      <c r="B857" s="7"/>
      <c r="C857" s="7"/>
      <c r="D857" s="7"/>
    </row>
    <row r="858">
      <c r="A858" s="46"/>
      <c r="B858" s="7"/>
      <c r="C858" s="7"/>
      <c r="D858" s="7"/>
    </row>
    <row r="859">
      <c r="A859" s="46"/>
      <c r="B859" s="7"/>
      <c r="C859" s="7"/>
      <c r="D859" s="7"/>
    </row>
    <row r="860">
      <c r="A860" s="46"/>
      <c r="B860" s="7"/>
      <c r="C860" s="7"/>
      <c r="D860" s="7"/>
    </row>
    <row r="861">
      <c r="A861" s="46"/>
      <c r="B861" s="7"/>
      <c r="C861" s="7"/>
      <c r="D861" s="7"/>
    </row>
    <row r="862">
      <c r="A862" s="46"/>
      <c r="B862" s="7"/>
      <c r="C862" s="7"/>
      <c r="D862" s="7"/>
    </row>
    <row r="863">
      <c r="A863" s="46"/>
      <c r="B863" s="7"/>
      <c r="C863" s="7"/>
      <c r="D863" s="7"/>
    </row>
    <row r="864">
      <c r="A864" s="46"/>
      <c r="B864" s="7"/>
      <c r="C864" s="7"/>
      <c r="D864" s="7"/>
    </row>
    <row r="865">
      <c r="A865" s="46"/>
      <c r="B865" s="7"/>
      <c r="C865" s="7"/>
      <c r="D865" s="7"/>
    </row>
    <row r="866">
      <c r="A866" s="46"/>
      <c r="B866" s="7"/>
      <c r="C866" s="7"/>
      <c r="D866" s="7"/>
    </row>
    <row r="867">
      <c r="A867" s="46"/>
      <c r="B867" s="7"/>
      <c r="C867" s="7"/>
      <c r="D867" s="7"/>
    </row>
    <row r="868">
      <c r="A868" s="46"/>
      <c r="B868" s="7"/>
      <c r="C868" s="7"/>
      <c r="D868" s="7"/>
    </row>
    <row r="869">
      <c r="A869" s="46"/>
      <c r="B869" s="7"/>
      <c r="C869" s="7"/>
      <c r="D869" s="7"/>
    </row>
    <row r="870">
      <c r="A870" s="46"/>
      <c r="B870" s="7"/>
      <c r="C870" s="7"/>
      <c r="D870" s="7"/>
    </row>
    <row r="871">
      <c r="A871" s="46"/>
      <c r="B871" s="7"/>
      <c r="C871" s="7"/>
      <c r="D871" s="7"/>
    </row>
    <row r="872">
      <c r="A872" s="46"/>
      <c r="B872" s="7"/>
      <c r="C872" s="7"/>
      <c r="D872" s="7"/>
    </row>
    <row r="873">
      <c r="A873" s="46"/>
      <c r="B873" s="7"/>
      <c r="C873" s="7"/>
      <c r="D873" s="7"/>
    </row>
    <row r="874">
      <c r="A874" s="46"/>
      <c r="B874" s="7"/>
      <c r="C874" s="7"/>
      <c r="D874" s="7"/>
    </row>
    <row r="875">
      <c r="A875" s="46"/>
      <c r="B875" s="7"/>
      <c r="C875" s="7"/>
      <c r="D875" s="7"/>
    </row>
    <row r="876">
      <c r="A876" s="46"/>
      <c r="B876" s="7"/>
      <c r="C876" s="7"/>
      <c r="D876" s="7"/>
    </row>
    <row r="877">
      <c r="A877" s="46"/>
      <c r="B877" s="7"/>
      <c r="C877" s="7"/>
      <c r="D877" s="7"/>
    </row>
    <row r="878">
      <c r="A878" s="46"/>
      <c r="B878" s="7"/>
      <c r="C878" s="7"/>
      <c r="D878" s="7"/>
    </row>
    <row r="879">
      <c r="A879" s="46"/>
      <c r="B879" s="7"/>
      <c r="C879" s="7"/>
      <c r="D879" s="7"/>
    </row>
    <row r="880">
      <c r="A880" s="46"/>
      <c r="B880" s="7"/>
      <c r="C880" s="7"/>
      <c r="D880" s="7"/>
    </row>
    <row r="881">
      <c r="A881" s="46"/>
      <c r="B881" s="7"/>
      <c r="C881" s="7"/>
      <c r="D881" s="7"/>
    </row>
    <row r="882">
      <c r="A882" s="46"/>
      <c r="B882" s="7"/>
      <c r="C882" s="7"/>
      <c r="D882" s="7"/>
    </row>
    <row r="883">
      <c r="A883" s="46"/>
      <c r="B883" s="7"/>
      <c r="C883" s="7"/>
      <c r="D883" s="7"/>
    </row>
    <row r="884">
      <c r="A884" s="46"/>
      <c r="B884" s="7"/>
      <c r="C884" s="7"/>
      <c r="D884" s="7"/>
    </row>
    <row r="885">
      <c r="A885" s="46"/>
      <c r="B885" s="7"/>
      <c r="C885" s="7"/>
      <c r="D885" s="7"/>
    </row>
    <row r="886">
      <c r="A886" s="46"/>
      <c r="B886" s="7"/>
      <c r="C886" s="7"/>
      <c r="D886" s="7"/>
    </row>
    <row r="887">
      <c r="A887" s="46"/>
      <c r="B887" s="7"/>
      <c r="C887" s="7"/>
      <c r="D887" s="7"/>
    </row>
    <row r="888">
      <c r="A888" s="46"/>
      <c r="B888" s="7"/>
      <c r="C888" s="7"/>
      <c r="D888" s="7"/>
    </row>
    <row r="889">
      <c r="A889" s="46"/>
      <c r="B889" s="7"/>
      <c r="C889" s="7"/>
      <c r="D889" s="7"/>
    </row>
    <row r="890">
      <c r="A890" s="46"/>
      <c r="B890" s="7"/>
      <c r="C890" s="7"/>
      <c r="D890" s="7"/>
    </row>
    <row r="891">
      <c r="A891" s="46"/>
      <c r="B891" s="7"/>
      <c r="C891" s="7"/>
      <c r="D891" s="7"/>
    </row>
    <row r="892">
      <c r="A892" s="46"/>
      <c r="B892" s="7"/>
      <c r="C892" s="7"/>
      <c r="D892" s="7"/>
    </row>
    <row r="893">
      <c r="A893" s="46"/>
      <c r="B893" s="7"/>
      <c r="C893" s="7"/>
      <c r="D893" s="7"/>
    </row>
    <row r="894">
      <c r="A894" s="46"/>
      <c r="B894" s="7"/>
      <c r="C894" s="7"/>
      <c r="D894" s="7"/>
    </row>
    <row r="895">
      <c r="A895" s="46"/>
      <c r="B895" s="7"/>
      <c r="C895" s="7"/>
      <c r="D895" s="7"/>
    </row>
    <row r="896">
      <c r="A896" s="46"/>
      <c r="B896" s="7"/>
      <c r="C896" s="7"/>
      <c r="D896" s="7"/>
    </row>
    <row r="897">
      <c r="A897" s="46"/>
      <c r="B897" s="7"/>
      <c r="C897" s="7"/>
      <c r="D897" s="7"/>
    </row>
    <row r="898">
      <c r="A898" s="46"/>
      <c r="B898" s="7"/>
      <c r="C898" s="7"/>
      <c r="D898" s="7"/>
    </row>
    <row r="899">
      <c r="A899" s="46"/>
      <c r="B899" s="7"/>
      <c r="C899" s="7"/>
      <c r="D899" s="7"/>
    </row>
    <row r="900">
      <c r="A900" s="46"/>
      <c r="B900" s="7"/>
      <c r="C900" s="7"/>
      <c r="D900" s="7"/>
    </row>
    <row r="901">
      <c r="A901" s="46"/>
      <c r="B901" s="7"/>
      <c r="C901" s="7"/>
      <c r="D901" s="7"/>
    </row>
    <row r="902">
      <c r="A902" s="46"/>
      <c r="B902" s="7"/>
      <c r="C902" s="7"/>
      <c r="D902" s="7"/>
    </row>
    <row r="903">
      <c r="A903" s="46"/>
      <c r="B903" s="7"/>
      <c r="C903" s="7"/>
      <c r="D903" s="7"/>
    </row>
    <row r="904">
      <c r="A904" s="46"/>
      <c r="B904" s="7"/>
      <c r="C904" s="7"/>
      <c r="D904" s="7"/>
    </row>
    <row r="905">
      <c r="A905" s="46"/>
      <c r="B905" s="7"/>
      <c r="C905" s="7"/>
      <c r="D905" s="7"/>
    </row>
    <row r="906">
      <c r="A906" s="46"/>
      <c r="B906" s="7"/>
      <c r="C906" s="7"/>
      <c r="D906" s="7"/>
    </row>
    <row r="907">
      <c r="A907" s="46"/>
      <c r="B907" s="7"/>
      <c r="C907" s="7"/>
      <c r="D907" s="7"/>
    </row>
    <row r="908">
      <c r="A908" s="46"/>
      <c r="B908" s="7"/>
      <c r="C908" s="7"/>
      <c r="D908" s="7"/>
    </row>
    <row r="909">
      <c r="A909" s="46"/>
      <c r="B909" s="7"/>
      <c r="C909" s="7"/>
      <c r="D909" s="7"/>
    </row>
    <row r="910">
      <c r="A910" s="46"/>
      <c r="B910" s="7"/>
      <c r="C910" s="7"/>
      <c r="D910" s="7"/>
    </row>
    <row r="911">
      <c r="A911" s="46"/>
      <c r="B911" s="7"/>
      <c r="C911" s="7"/>
      <c r="D911" s="7"/>
    </row>
    <row r="912">
      <c r="A912" s="46"/>
      <c r="B912" s="7"/>
      <c r="C912" s="7"/>
      <c r="D912" s="7"/>
    </row>
    <row r="913">
      <c r="A913" s="46"/>
      <c r="B913" s="7"/>
      <c r="C913" s="7"/>
      <c r="D913" s="7"/>
    </row>
    <row r="914">
      <c r="A914" s="46"/>
      <c r="B914" s="7"/>
      <c r="C914" s="7"/>
      <c r="D914" s="7"/>
    </row>
    <row r="915">
      <c r="A915" s="46"/>
      <c r="B915" s="7"/>
      <c r="C915" s="7"/>
      <c r="D915" s="7"/>
    </row>
    <row r="916">
      <c r="A916" s="46"/>
      <c r="B916" s="7"/>
      <c r="C916" s="7"/>
      <c r="D916" s="7"/>
    </row>
    <row r="917">
      <c r="A917" s="46"/>
      <c r="B917" s="7"/>
      <c r="C917" s="7"/>
      <c r="D917" s="7"/>
    </row>
    <row r="918">
      <c r="A918" s="46"/>
      <c r="B918" s="7"/>
      <c r="C918" s="7"/>
      <c r="D918" s="7"/>
    </row>
    <row r="919">
      <c r="A919" s="46"/>
      <c r="B919" s="7"/>
      <c r="C919" s="7"/>
      <c r="D919" s="7"/>
    </row>
    <row r="920">
      <c r="A920" s="46"/>
      <c r="B920" s="7"/>
      <c r="C920" s="7"/>
      <c r="D920" s="7"/>
    </row>
    <row r="921">
      <c r="A921" s="46"/>
      <c r="B921" s="7"/>
      <c r="C921" s="7"/>
      <c r="D921" s="7"/>
    </row>
    <row r="922">
      <c r="A922" s="46"/>
      <c r="B922" s="7"/>
      <c r="C922" s="7"/>
      <c r="D922" s="7"/>
    </row>
    <row r="923">
      <c r="A923" s="46"/>
      <c r="B923" s="7"/>
      <c r="C923" s="7"/>
      <c r="D923" s="7"/>
    </row>
    <row r="924">
      <c r="A924" s="46"/>
      <c r="B924" s="7"/>
      <c r="C924" s="7"/>
      <c r="D924" s="7"/>
    </row>
    <row r="925">
      <c r="A925" s="46"/>
      <c r="B925" s="7"/>
      <c r="C925" s="7"/>
      <c r="D925" s="7"/>
    </row>
    <row r="926">
      <c r="A926" s="46"/>
      <c r="B926" s="7"/>
      <c r="C926" s="7"/>
      <c r="D926" s="7"/>
    </row>
    <row r="927">
      <c r="A927" s="46"/>
      <c r="B927" s="7"/>
      <c r="C927" s="7"/>
      <c r="D927" s="7"/>
    </row>
    <row r="928">
      <c r="A928" s="46"/>
      <c r="B928" s="7"/>
      <c r="C928" s="7"/>
      <c r="D928" s="7"/>
    </row>
    <row r="929">
      <c r="A929" s="46"/>
      <c r="B929" s="7"/>
      <c r="C929" s="7"/>
      <c r="D929" s="7"/>
    </row>
    <row r="930">
      <c r="A930" s="46"/>
      <c r="B930" s="7"/>
      <c r="C930" s="7"/>
      <c r="D930" s="7"/>
    </row>
    <row r="931">
      <c r="A931" s="46"/>
      <c r="B931" s="7"/>
      <c r="C931" s="7"/>
      <c r="D931" s="7"/>
    </row>
    <row r="932">
      <c r="A932" s="46"/>
      <c r="B932" s="7"/>
      <c r="C932" s="7"/>
      <c r="D932" s="7"/>
    </row>
    <row r="933">
      <c r="A933" s="46"/>
      <c r="B933" s="7"/>
      <c r="C933" s="7"/>
      <c r="D933" s="7"/>
    </row>
    <row r="934">
      <c r="A934" s="46"/>
      <c r="B934" s="7"/>
      <c r="C934" s="7"/>
      <c r="D934" s="7"/>
    </row>
    <row r="935">
      <c r="A935" s="46"/>
      <c r="B935" s="7"/>
      <c r="C935" s="7"/>
      <c r="D935" s="7"/>
    </row>
    <row r="936">
      <c r="A936" s="46"/>
      <c r="B936" s="7"/>
      <c r="C936" s="7"/>
      <c r="D936" s="7"/>
    </row>
    <row r="937">
      <c r="A937" s="46"/>
      <c r="B937" s="7"/>
      <c r="C937" s="7"/>
      <c r="D937" s="7"/>
    </row>
    <row r="938">
      <c r="A938" s="46"/>
      <c r="B938" s="7"/>
      <c r="C938" s="7"/>
      <c r="D938" s="7"/>
    </row>
    <row r="939">
      <c r="A939" s="46"/>
      <c r="B939" s="7"/>
      <c r="C939" s="7"/>
      <c r="D939" s="7"/>
    </row>
    <row r="940">
      <c r="A940" s="46"/>
      <c r="B940" s="7"/>
      <c r="C940" s="7"/>
      <c r="D940" s="7"/>
    </row>
    <row r="941">
      <c r="A941" s="46"/>
      <c r="B941" s="7"/>
      <c r="C941" s="7"/>
      <c r="D941" s="7"/>
    </row>
    <row r="942">
      <c r="A942" s="46"/>
      <c r="B942" s="7"/>
      <c r="C942" s="7"/>
      <c r="D942" s="7"/>
    </row>
    <row r="943">
      <c r="A943" s="46"/>
      <c r="B943" s="7"/>
      <c r="C943" s="7"/>
      <c r="D943" s="7"/>
    </row>
    <row r="944">
      <c r="A944" s="46"/>
      <c r="B944" s="7"/>
      <c r="C944" s="7"/>
      <c r="D944" s="7"/>
    </row>
    <row r="945">
      <c r="A945" s="46"/>
      <c r="B945" s="7"/>
      <c r="C945" s="7"/>
      <c r="D945" s="7"/>
    </row>
    <row r="946">
      <c r="A946" s="46"/>
      <c r="B946" s="7"/>
      <c r="C946" s="7"/>
      <c r="D946" s="7"/>
    </row>
    <row r="947">
      <c r="A947" s="46"/>
      <c r="B947" s="7"/>
      <c r="C947" s="7"/>
      <c r="D947" s="7"/>
    </row>
    <row r="948">
      <c r="A948" s="46"/>
      <c r="B948" s="7"/>
      <c r="C948" s="7"/>
      <c r="D948" s="7"/>
    </row>
    <row r="949">
      <c r="A949" s="46"/>
      <c r="B949" s="7"/>
      <c r="C949" s="7"/>
      <c r="D949" s="7"/>
    </row>
    <row r="950">
      <c r="A950" s="46"/>
      <c r="B950" s="7"/>
      <c r="C950" s="7"/>
      <c r="D950" s="7"/>
    </row>
    <row r="951">
      <c r="A951" s="46"/>
      <c r="B951" s="7"/>
      <c r="C951" s="7"/>
      <c r="D951" s="7"/>
    </row>
    <row r="952">
      <c r="A952" s="46"/>
      <c r="B952" s="7"/>
      <c r="C952" s="7"/>
      <c r="D952" s="7"/>
    </row>
    <row r="953">
      <c r="A953" s="46"/>
      <c r="B953" s="7"/>
      <c r="C953" s="7"/>
      <c r="D953" s="7"/>
    </row>
    <row r="954">
      <c r="A954" s="46"/>
      <c r="B954" s="7"/>
      <c r="C954" s="7"/>
      <c r="D954" s="7"/>
    </row>
    <row r="955">
      <c r="A955" s="46"/>
      <c r="B955" s="7"/>
      <c r="C955" s="7"/>
      <c r="D955" s="7"/>
    </row>
    <row r="956">
      <c r="A956" s="46"/>
      <c r="B956" s="7"/>
      <c r="C956" s="7"/>
      <c r="D956" s="7"/>
    </row>
    <row r="957">
      <c r="A957" s="46"/>
      <c r="B957" s="7"/>
      <c r="C957" s="7"/>
      <c r="D957" s="7"/>
    </row>
    <row r="958">
      <c r="A958" s="46"/>
      <c r="B958" s="7"/>
      <c r="C958" s="7"/>
      <c r="D958" s="7"/>
    </row>
    <row r="959">
      <c r="A959" s="46"/>
      <c r="B959" s="7"/>
      <c r="C959" s="7"/>
      <c r="D959" s="7"/>
    </row>
    <row r="960">
      <c r="A960" s="46"/>
      <c r="B960" s="7"/>
      <c r="C960" s="7"/>
      <c r="D960" s="7"/>
    </row>
    <row r="961">
      <c r="A961" s="46"/>
      <c r="B961" s="7"/>
      <c r="C961" s="7"/>
      <c r="D961" s="7"/>
    </row>
    <row r="962">
      <c r="A962" s="46"/>
      <c r="B962" s="7"/>
      <c r="C962" s="7"/>
      <c r="D962" s="7"/>
    </row>
    <row r="963">
      <c r="A963" s="46"/>
      <c r="B963" s="7"/>
      <c r="C963" s="7"/>
      <c r="D963" s="7"/>
    </row>
    <row r="964">
      <c r="A964" s="46"/>
      <c r="B964" s="7"/>
      <c r="C964" s="7"/>
      <c r="D964" s="7"/>
    </row>
    <row r="965">
      <c r="A965" s="46"/>
      <c r="B965" s="7"/>
      <c r="C965" s="7"/>
      <c r="D965" s="7"/>
    </row>
    <row r="966">
      <c r="A966" s="46"/>
      <c r="B966" s="7"/>
      <c r="C966" s="7"/>
      <c r="D966" s="7"/>
    </row>
    <row r="967">
      <c r="A967" s="46"/>
      <c r="B967" s="7"/>
      <c r="C967" s="7"/>
      <c r="D967" s="7"/>
    </row>
    <row r="968">
      <c r="A968" s="46"/>
      <c r="B968" s="7"/>
      <c r="C968" s="7"/>
      <c r="D968" s="7"/>
    </row>
    <row r="969">
      <c r="A969" s="46"/>
      <c r="B969" s="7"/>
      <c r="C969" s="7"/>
      <c r="D969" s="7"/>
    </row>
    <row r="970">
      <c r="A970" s="46"/>
      <c r="B970" s="7"/>
      <c r="C970" s="7"/>
      <c r="D970" s="7"/>
    </row>
    <row r="971">
      <c r="A971" s="46"/>
      <c r="B971" s="7"/>
      <c r="C971" s="7"/>
      <c r="D971" s="7"/>
    </row>
    <row r="972">
      <c r="A972" s="46"/>
      <c r="B972" s="7"/>
      <c r="C972" s="7"/>
      <c r="D972" s="7"/>
    </row>
    <row r="973">
      <c r="A973" s="46"/>
      <c r="B973" s="7"/>
      <c r="C973" s="7"/>
      <c r="D973" s="7"/>
    </row>
    <row r="974">
      <c r="A974" s="46"/>
      <c r="B974" s="7"/>
      <c r="C974" s="7"/>
      <c r="D974" s="7"/>
    </row>
    <row r="975">
      <c r="A975" s="46"/>
      <c r="B975" s="7"/>
      <c r="C975" s="7"/>
      <c r="D975" s="7"/>
    </row>
    <row r="976">
      <c r="A976" s="46"/>
      <c r="B976" s="7"/>
      <c r="C976" s="7"/>
      <c r="D976" s="7"/>
    </row>
    <row r="977">
      <c r="A977" s="46"/>
      <c r="B977" s="7"/>
      <c r="C977" s="7"/>
      <c r="D977" s="7"/>
    </row>
    <row r="978">
      <c r="A978" s="46"/>
      <c r="B978" s="7"/>
      <c r="C978" s="7"/>
      <c r="D978" s="7"/>
    </row>
    <row r="979">
      <c r="A979" s="46"/>
      <c r="B979" s="7"/>
      <c r="C979" s="7"/>
      <c r="D979" s="7"/>
    </row>
    <row r="980">
      <c r="A980" s="46"/>
      <c r="B980" s="7"/>
      <c r="C980" s="7"/>
      <c r="D980" s="7"/>
    </row>
    <row r="981">
      <c r="A981" s="46"/>
      <c r="B981" s="7"/>
      <c r="C981" s="7"/>
      <c r="D981" s="7"/>
    </row>
    <row r="982">
      <c r="A982" s="46"/>
      <c r="B982" s="7"/>
      <c r="C982" s="7"/>
      <c r="D982" s="7"/>
    </row>
    <row r="983">
      <c r="A983" s="46"/>
      <c r="B983" s="7"/>
      <c r="C983" s="7"/>
      <c r="D983" s="7"/>
    </row>
    <row r="984">
      <c r="A984" s="46"/>
      <c r="B984" s="7"/>
      <c r="C984" s="7"/>
      <c r="D984" s="7"/>
    </row>
    <row r="985">
      <c r="A985" s="46"/>
      <c r="B985" s="7"/>
      <c r="C985" s="7"/>
      <c r="D985" s="7"/>
    </row>
    <row r="986">
      <c r="A986" s="46"/>
      <c r="B986" s="7"/>
      <c r="C986" s="7"/>
      <c r="D986" s="7"/>
    </row>
    <row r="987">
      <c r="A987" s="46"/>
      <c r="B987" s="7"/>
      <c r="C987" s="7"/>
      <c r="D987" s="7"/>
    </row>
    <row r="988">
      <c r="A988" s="46"/>
      <c r="B988" s="7"/>
      <c r="C988" s="7"/>
      <c r="D988" s="7"/>
    </row>
    <row r="989">
      <c r="A989" s="46"/>
      <c r="B989" s="7"/>
      <c r="C989" s="7"/>
      <c r="D989" s="7"/>
    </row>
    <row r="990">
      <c r="A990" s="46"/>
      <c r="B990" s="7"/>
      <c r="C990" s="7"/>
      <c r="D990" s="7"/>
    </row>
    <row r="991">
      <c r="A991" s="46"/>
      <c r="B991" s="7"/>
      <c r="C991" s="7"/>
      <c r="D991" s="7"/>
    </row>
    <row r="992">
      <c r="A992" s="46"/>
      <c r="B992" s="7"/>
      <c r="C992" s="7"/>
      <c r="D992" s="7"/>
    </row>
    <row r="993">
      <c r="A993" s="46"/>
      <c r="B993" s="7"/>
      <c r="C993" s="7"/>
      <c r="D993" s="7"/>
    </row>
    <row r="994">
      <c r="A994" s="46"/>
      <c r="B994" s="7"/>
      <c r="C994" s="7"/>
      <c r="D994" s="7"/>
    </row>
    <row r="995">
      <c r="A995" s="46"/>
      <c r="B995" s="7"/>
      <c r="C995" s="7"/>
      <c r="D995" s="7"/>
    </row>
    <row r="996">
      <c r="A996" s="46"/>
      <c r="B996" s="7"/>
      <c r="C996" s="7"/>
      <c r="D996" s="7"/>
    </row>
    <row r="997">
      <c r="A997" s="46"/>
      <c r="B997" s="7"/>
      <c r="C997" s="7"/>
      <c r="D997" s="7"/>
    </row>
    <row r="998">
      <c r="A998" s="46"/>
      <c r="B998" s="7"/>
      <c r="C998" s="7"/>
      <c r="D998" s="7"/>
    </row>
    <row r="999">
      <c r="A999" s="46"/>
      <c r="B999" s="7"/>
      <c r="C999" s="7"/>
      <c r="D999" s="7"/>
    </row>
    <row r="1000">
      <c r="A1000" s="46"/>
      <c r="B1000" s="7"/>
      <c r="C1000" s="7"/>
      <c r="D1000" s="7"/>
    </row>
    <row r="1001">
      <c r="A1001" s="46"/>
      <c r="B1001" s="7"/>
      <c r="C1001" s="7"/>
      <c r="D1001" s="7"/>
    </row>
    <row r="1002">
      <c r="A1002" s="46"/>
      <c r="B1002" s="7"/>
      <c r="C1002" s="7"/>
      <c r="D1002" s="7"/>
    </row>
    <row r="1003">
      <c r="A1003" s="46"/>
      <c r="B1003" s="7"/>
      <c r="C1003" s="7"/>
      <c r="D1003" s="7"/>
    </row>
    <row r="1004">
      <c r="A1004" s="46"/>
      <c r="B1004" s="7"/>
      <c r="C1004" s="7"/>
      <c r="D1004" s="7"/>
    </row>
    <row r="1005">
      <c r="A1005" s="46"/>
      <c r="B1005" s="7"/>
      <c r="C1005" s="7"/>
      <c r="D1005" s="7"/>
    </row>
    <row r="1006">
      <c r="A1006" s="46"/>
      <c r="B1006" s="7"/>
      <c r="C1006" s="7"/>
      <c r="D1006" s="7"/>
    </row>
    <row r="1007">
      <c r="A1007" s="46"/>
      <c r="B1007" s="7"/>
      <c r="C1007" s="7"/>
      <c r="D1007" s="7"/>
    </row>
    <row r="1008">
      <c r="A1008" s="46"/>
      <c r="B1008" s="7"/>
      <c r="C1008" s="7"/>
      <c r="D1008" s="7"/>
    </row>
    <row r="1009">
      <c r="A1009" s="46"/>
      <c r="B1009" s="7"/>
      <c r="C1009" s="7"/>
      <c r="D1009" s="7"/>
    </row>
    <row r="1010">
      <c r="A1010" s="46"/>
      <c r="B1010" s="7"/>
      <c r="C1010" s="7"/>
      <c r="D1010" s="7"/>
    </row>
    <row r="1011">
      <c r="A1011" s="46"/>
      <c r="B1011" s="7"/>
      <c r="C1011" s="7"/>
      <c r="D1011" s="7"/>
    </row>
    <row r="1012">
      <c r="A1012" s="46"/>
      <c r="B1012" s="7"/>
      <c r="C1012" s="7"/>
      <c r="D1012" s="7"/>
    </row>
    <row r="1013">
      <c r="A1013" s="46"/>
      <c r="B1013" s="7"/>
      <c r="C1013" s="7"/>
      <c r="D1013" s="7"/>
    </row>
    <row r="1014">
      <c r="A1014" s="46"/>
      <c r="B1014" s="7"/>
      <c r="C1014" s="7"/>
      <c r="D1014" s="7"/>
    </row>
    <row r="1015">
      <c r="A1015" s="46"/>
      <c r="B1015" s="7"/>
      <c r="C1015" s="7"/>
      <c r="D1015" s="7"/>
    </row>
    <row r="1016">
      <c r="A1016" s="46"/>
      <c r="B1016" s="7"/>
      <c r="C1016" s="7"/>
      <c r="D1016" s="7"/>
    </row>
    <row r="1017">
      <c r="A1017" s="46"/>
      <c r="B1017" s="7"/>
      <c r="C1017" s="7"/>
      <c r="D1017" s="7"/>
    </row>
    <row r="1018">
      <c r="A1018" s="46"/>
      <c r="B1018" s="7"/>
      <c r="C1018" s="7"/>
      <c r="D1018" s="7"/>
    </row>
    <row r="1019">
      <c r="A1019" s="46"/>
      <c r="B1019" s="7"/>
      <c r="C1019" s="7"/>
      <c r="D1019" s="7"/>
    </row>
    <row r="1020">
      <c r="A1020" s="46"/>
      <c r="B1020" s="7"/>
      <c r="C1020" s="7"/>
      <c r="D1020" s="7"/>
    </row>
  </sheetData>
  <mergeCells count="20">
    <mergeCell ref="B2:B13"/>
    <mergeCell ref="B15:B17"/>
    <mergeCell ref="B19:B24"/>
    <mergeCell ref="B27:B32"/>
    <mergeCell ref="B33:B34"/>
    <mergeCell ref="B35:B36"/>
    <mergeCell ref="B38:B42"/>
    <mergeCell ref="B92:B96"/>
    <mergeCell ref="B97:B105"/>
    <mergeCell ref="B106:B110"/>
    <mergeCell ref="B111:B115"/>
    <mergeCell ref="B116:B118"/>
    <mergeCell ref="B119:B120"/>
    <mergeCell ref="B43:B44"/>
    <mergeCell ref="B45:B55"/>
    <mergeCell ref="B58:B62"/>
    <mergeCell ref="B63:B65"/>
    <mergeCell ref="B66:B67"/>
    <mergeCell ref="B68:B76"/>
    <mergeCell ref="B77:B90"/>
  </mergeCells>
  <hyperlinks>
    <hyperlink r:id="rId2" ref="B2"/>
    <hyperlink r:id="rId3" ref="B14"/>
    <hyperlink r:id="rId4" ref="B15"/>
    <hyperlink r:id="rId5" ref="B18"/>
    <hyperlink r:id="rId6" ref="B19"/>
    <hyperlink r:id="rId7" ref="B25"/>
    <hyperlink r:id="rId8" ref="B26"/>
    <hyperlink r:id="rId9" ref="B27"/>
    <hyperlink r:id="rId10" ref="B33"/>
    <hyperlink r:id="rId11" ref="B35"/>
    <hyperlink r:id="rId12" ref="B37"/>
    <hyperlink r:id="rId13" ref="B38"/>
    <hyperlink r:id="rId14" ref="B43"/>
    <hyperlink r:id="rId15" ref="B45"/>
    <hyperlink r:id="rId16" ref="B56"/>
    <hyperlink r:id="rId17" ref="B57"/>
    <hyperlink r:id="rId18" ref="B58"/>
    <hyperlink r:id="rId19" ref="B63"/>
    <hyperlink r:id="rId20" ref="B66"/>
    <hyperlink r:id="rId21" ref="B68"/>
    <hyperlink r:id="rId22" ref="B77"/>
    <hyperlink r:id="rId23" ref="B91"/>
    <hyperlink r:id="rId24" ref="B92"/>
    <hyperlink r:id="rId25" ref="B97"/>
    <hyperlink r:id="rId26" ref="B106"/>
    <hyperlink r:id="rId27" ref="B111"/>
    <hyperlink r:id="rId28" ref="B116"/>
    <hyperlink r:id="rId29" ref="B119"/>
    <hyperlink r:id="rId30" ref="B121"/>
  </hyperlinks>
  <drawing r:id="rId31"/>
  <legacyDrawing r:id="rId3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 customWidth="1" min="3" max="3" width="30.71"/>
    <col customWidth="1" min="4" max="4" width="38.86"/>
  </cols>
  <sheetData>
    <row r="1">
      <c r="A1" s="185" t="s">
        <v>1208</v>
      </c>
      <c r="B1" s="5" t="s">
        <v>6</v>
      </c>
      <c r="C1" s="5" t="s">
        <v>7</v>
      </c>
      <c r="D1" s="5" t="s">
        <v>8</v>
      </c>
      <c r="E1" s="2" t="s">
        <v>1355</v>
      </c>
    </row>
    <row r="2">
      <c r="A2" s="2" t="s">
        <v>1061</v>
      </c>
      <c r="B2" s="8" t="s">
        <v>4674</v>
      </c>
      <c r="C2" s="66" t="s">
        <v>1063</v>
      </c>
      <c r="D2" s="26" t="s">
        <v>4675</v>
      </c>
      <c r="E2" s="115" t="s">
        <v>4676</v>
      </c>
    </row>
    <row r="3">
      <c r="A3" s="2" t="s">
        <v>1065</v>
      </c>
      <c r="B3" s="8" t="s">
        <v>4677</v>
      </c>
      <c r="C3" s="66" t="s">
        <v>1067</v>
      </c>
      <c r="D3" s="26" t="s">
        <v>4678</v>
      </c>
      <c r="E3" s="115" t="s">
        <v>4679</v>
      </c>
    </row>
    <row r="4" ht="27.75" customHeight="1">
      <c r="A4" s="2" t="s">
        <v>1080</v>
      </c>
      <c r="B4" s="8" t="s">
        <v>4680</v>
      </c>
      <c r="C4" s="66" t="s">
        <v>1081</v>
      </c>
      <c r="D4" s="66" t="s">
        <v>4681</v>
      </c>
      <c r="E4" s="115" t="s">
        <v>4682</v>
      </c>
    </row>
    <row r="5" ht="27.75" customHeight="1">
      <c r="A5" s="2" t="s">
        <v>1086</v>
      </c>
      <c r="C5" s="66" t="s">
        <v>1087</v>
      </c>
      <c r="D5" s="66" t="s">
        <v>1088</v>
      </c>
      <c r="E5" s="115" t="s">
        <v>4683</v>
      </c>
    </row>
    <row r="6">
      <c r="A6" s="2" t="s">
        <v>4684</v>
      </c>
      <c r="B6" s="8" t="s">
        <v>4685</v>
      </c>
      <c r="C6" s="66" t="s">
        <v>4686</v>
      </c>
      <c r="D6" s="66" t="s">
        <v>4687</v>
      </c>
      <c r="E6" s="115" t="s">
        <v>4688</v>
      </c>
    </row>
    <row r="7">
      <c r="B7" s="7"/>
      <c r="C7" s="62"/>
      <c r="D7" s="62"/>
    </row>
    <row r="8">
      <c r="B8" s="7"/>
      <c r="C8" s="62"/>
      <c r="D8" s="62"/>
    </row>
    <row r="9">
      <c r="B9" s="7"/>
      <c r="C9" s="62"/>
      <c r="D9" s="62"/>
    </row>
    <row r="10">
      <c r="B10" s="7"/>
      <c r="C10" s="62"/>
      <c r="D10" s="62"/>
    </row>
    <row r="11">
      <c r="B11" s="7"/>
      <c r="C11" s="62"/>
      <c r="D11" s="62"/>
    </row>
    <row r="12">
      <c r="B12" s="7"/>
      <c r="C12" s="62"/>
      <c r="D12" s="62"/>
    </row>
    <row r="13">
      <c r="B13" s="7"/>
      <c r="C13" s="62"/>
      <c r="D13" s="62"/>
    </row>
    <row r="14">
      <c r="B14" s="7"/>
      <c r="C14" s="62"/>
      <c r="D14" s="62"/>
    </row>
    <row r="15">
      <c r="B15" s="7"/>
      <c r="C15" s="62"/>
      <c r="D15" s="62"/>
    </row>
    <row r="16">
      <c r="B16" s="7"/>
      <c r="C16" s="62"/>
      <c r="D16" s="62"/>
    </row>
    <row r="17">
      <c r="B17" s="7"/>
      <c r="C17" s="62"/>
      <c r="D17" s="62"/>
    </row>
    <row r="18">
      <c r="B18" s="7"/>
      <c r="C18" s="62"/>
      <c r="D18" s="62"/>
    </row>
    <row r="19">
      <c r="B19" s="7"/>
      <c r="C19" s="62"/>
      <c r="D19" s="62"/>
    </row>
    <row r="20">
      <c r="B20" s="7"/>
      <c r="C20" s="62"/>
      <c r="D20" s="62"/>
    </row>
    <row r="21">
      <c r="B21" s="7"/>
      <c r="C21" s="62"/>
      <c r="D21" s="62"/>
    </row>
    <row r="22">
      <c r="B22" s="7"/>
      <c r="C22" s="62"/>
      <c r="D22" s="62"/>
    </row>
    <row r="23">
      <c r="B23" s="7"/>
      <c r="C23" s="62"/>
      <c r="D23" s="62"/>
    </row>
    <row r="24">
      <c r="B24" s="7"/>
      <c r="C24" s="62"/>
      <c r="D24" s="62"/>
    </row>
    <row r="25">
      <c r="B25" s="7"/>
      <c r="C25" s="62"/>
      <c r="D25" s="62"/>
    </row>
    <row r="26">
      <c r="B26" s="7"/>
      <c r="C26" s="62"/>
      <c r="D26" s="62"/>
    </row>
    <row r="27">
      <c r="B27" s="7"/>
      <c r="C27" s="62"/>
      <c r="D27" s="62"/>
    </row>
    <row r="28">
      <c r="B28" s="7"/>
      <c r="C28" s="62"/>
      <c r="D28" s="62"/>
    </row>
    <row r="29">
      <c r="B29" s="7"/>
      <c r="C29" s="62"/>
      <c r="D29" s="62"/>
    </row>
    <row r="30">
      <c r="B30" s="7"/>
      <c r="C30" s="62"/>
      <c r="D30" s="62"/>
    </row>
    <row r="31">
      <c r="B31" s="7"/>
      <c r="C31" s="62"/>
      <c r="D31" s="62"/>
    </row>
    <row r="32">
      <c r="B32" s="7"/>
      <c r="C32" s="62"/>
      <c r="D32" s="62"/>
    </row>
    <row r="33">
      <c r="B33" s="7"/>
      <c r="C33" s="62"/>
      <c r="D33" s="62"/>
    </row>
    <row r="34">
      <c r="B34" s="7"/>
      <c r="C34" s="62"/>
      <c r="D34" s="62"/>
    </row>
    <row r="35">
      <c r="B35" s="7"/>
      <c r="C35" s="62"/>
      <c r="D35" s="62"/>
    </row>
    <row r="36">
      <c r="B36" s="7"/>
      <c r="C36" s="62"/>
      <c r="D36" s="62"/>
    </row>
    <row r="37">
      <c r="B37" s="7"/>
      <c r="C37" s="62"/>
      <c r="D37" s="62"/>
    </row>
    <row r="38">
      <c r="B38" s="7"/>
      <c r="C38" s="62"/>
      <c r="D38" s="62"/>
    </row>
    <row r="39">
      <c r="B39" s="7"/>
      <c r="C39" s="62"/>
      <c r="D39" s="62"/>
    </row>
    <row r="40">
      <c r="B40" s="7"/>
      <c r="C40" s="62"/>
      <c r="D40" s="62"/>
    </row>
    <row r="41">
      <c r="B41" s="7"/>
      <c r="C41" s="62"/>
      <c r="D41" s="62"/>
    </row>
    <row r="42">
      <c r="B42" s="7"/>
      <c r="C42" s="62"/>
      <c r="D42" s="62"/>
    </row>
    <row r="43">
      <c r="B43" s="7"/>
      <c r="C43" s="62"/>
      <c r="D43" s="62"/>
    </row>
    <row r="44">
      <c r="B44" s="7"/>
      <c r="C44" s="62"/>
      <c r="D44" s="62"/>
    </row>
    <row r="45">
      <c r="B45" s="7"/>
      <c r="C45" s="62"/>
      <c r="D45" s="62"/>
    </row>
    <row r="46">
      <c r="B46" s="7"/>
      <c r="C46" s="62"/>
      <c r="D46" s="62"/>
    </row>
    <row r="47">
      <c r="B47" s="7"/>
      <c r="C47" s="62"/>
      <c r="D47" s="62"/>
    </row>
    <row r="48">
      <c r="B48" s="7"/>
      <c r="C48" s="62"/>
      <c r="D48" s="62"/>
    </row>
    <row r="49">
      <c r="B49" s="7"/>
      <c r="C49" s="62"/>
      <c r="D49" s="62"/>
    </row>
    <row r="50">
      <c r="B50" s="7"/>
      <c r="C50" s="62"/>
      <c r="D50" s="62"/>
    </row>
    <row r="51">
      <c r="B51" s="7"/>
      <c r="C51" s="62"/>
      <c r="D51" s="62"/>
    </row>
    <row r="52">
      <c r="B52" s="7"/>
      <c r="C52" s="62"/>
      <c r="D52" s="62"/>
    </row>
    <row r="53">
      <c r="B53" s="7"/>
      <c r="C53" s="62"/>
      <c r="D53" s="62"/>
    </row>
    <row r="54">
      <c r="B54" s="7"/>
      <c r="C54" s="62"/>
      <c r="D54" s="62"/>
    </row>
    <row r="55">
      <c r="B55" s="7"/>
      <c r="C55" s="62"/>
      <c r="D55" s="62"/>
    </row>
    <row r="56">
      <c r="B56" s="7"/>
      <c r="C56" s="62"/>
      <c r="D56" s="62"/>
    </row>
    <row r="57">
      <c r="B57" s="7"/>
      <c r="C57" s="62"/>
      <c r="D57" s="62"/>
    </row>
    <row r="58">
      <c r="B58" s="7"/>
      <c r="C58" s="62"/>
      <c r="D58" s="62"/>
    </row>
    <row r="59">
      <c r="B59" s="7"/>
      <c r="C59" s="62"/>
      <c r="D59" s="62"/>
    </row>
    <row r="60">
      <c r="B60" s="7"/>
      <c r="C60" s="62"/>
      <c r="D60" s="62"/>
    </row>
    <row r="61">
      <c r="B61" s="7"/>
      <c r="C61" s="62"/>
      <c r="D61" s="62"/>
    </row>
    <row r="62">
      <c r="B62" s="7"/>
      <c r="C62" s="62"/>
      <c r="D62" s="62"/>
    </row>
    <row r="63">
      <c r="B63" s="7"/>
      <c r="C63" s="62"/>
      <c r="D63" s="62"/>
    </row>
    <row r="64">
      <c r="B64" s="7"/>
      <c r="C64" s="62"/>
      <c r="D64" s="62"/>
    </row>
    <row r="65">
      <c r="B65" s="7"/>
      <c r="C65" s="62"/>
      <c r="D65" s="62"/>
    </row>
    <row r="66">
      <c r="B66" s="7"/>
      <c r="C66" s="62"/>
      <c r="D66" s="62"/>
    </row>
    <row r="67">
      <c r="B67" s="7"/>
      <c r="C67" s="62"/>
      <c r="D67" s="62"/>
    </row>
    <row r="68">
      <c r="B68" s="7"/>
      <c r="C68" s="62"/>
      <c r="D68" s="62"/>
    </row>
    <row r="69">
      <c r="B69" s="7"/>
      <c r="C69" s="62"/>
      <c r="D69" s="62"/>
    </row>
    <row r="70">
      <c r="B70" s="7"/>
      <c r="C70" s="62"/>
      <c r="D70" s="62"/>
    </row>
    <row r="71">
      <c r="B71" s="7"/>
      <c r="C71" s="62"/>
      <c r="D71" s="62"/>
    </row>
    <row r="72">
      <c r="B72" s="7"/>
      <c r="C72" s="62"/>
      <c r="D72" s="62"/>
    </row>
    <row r="73">
      <c r="B73" s="7"/>
      <c r="C73" s="62"/>
      <c r="D73" s="62"/>
    </row>
    <row r="74">
      <c r="B74" s="7"/>
      <c r="C74" s="62"/>
      <c r="D74" s="62"/>
    </row>
    <row r="75">
      <c r="B75" s="7"/>
      <c r="C75" s="62"/>
      <c r="D75" s="62"/>
    </row>
    <row r="76">
      <c r="B76" s="7"/>
      <c r="C76" s="62"/>
      <c r="D76" s="62"/>
    </row>
    <row r="77">
      <c r="B77" s="7"/>
      <c r="C77" s="62"/>
      <c r="D77" s="62"/>
    </row>
    <row r="78">
      <c r="B78" s="7"/>
      <c r="C78" s="62"/>
      <c r="D78" s="62"/>
    </row>
    <row r="79">
      <c r="B79" s="7"/>
      <c r="C79" s="62"/>
      <c r="D79" s="62"/>
    </row>
    <row r="80">
      <c r="B80" s="7"/>
      <c r="C80" s="62"/>
      <c r="D80" s="62"/>
    </row>
    <row r="81">
      <c r="B81" s="7"/>
      <c r="C81" s="62"/>
      <c r="D81" s="62"/>
    </row>
    <row r="82">
      <c r="B82" s="7"/>
      <c r="C82" s="62"/>
      <c r="D82" s="62"/>
    </row>
    <row r="83">
      <c r="B83" s="7"/>
      <c r="C83" s="62"/>
      <c r="D83" s="62"/>
    </row>
    <row r="84">
      <c r="B84" s="7"/>
      <c r="C84" s="62"/>
      <c r="D84" s="62"/>
    </row>
    <row r="85">
      <c r="B85" s="7"/>
      <c r="C85" s="62"/>
      <c r="D85" s="62"/>
    </row>
    <row r="86">
      <c r="B86" s="7"/>
      <c r="C86" s="62"/>
      <c r="D86" s="62"/>
    </row>
    <row r="87">
      <c r="B87" s="7"/>
      <c r="C87" s="62"/>
      <c r="D87" s="62"/>
    </row>
    <row r="88">
      <c r="B88" s="7"/>
      <c r="C88" s="62"/>
      <c r="D88" s="62"/>
    </row>
    <row r="89">
      <c r="B89" s="7"/>
      <c r="C89" s="62"/>
      <c r="D89" s="62"/>
    </row>
    <row r="90">
      <c r="B90" s="7"/>
      <c r="C90" s="62"/>
      <c r="D90" s="62"/>
    </row>
    <row r="91">
      <c r="B91" s="7"/>
      <c r="C91" s="62"/>
      <c r="D91" s="62"/>
    </row>
    <row r="92">
      <c r="B92" s="7"/>
      <c r="C92" s="62"/>
      <c r="D92" s="62"/>
    </row>
    <row r="93">
      <c r="B93" s="7"/>
      <c r="C93" s="62"/>
      <c r="D93" s="62"/>
    </row>
    <row r="94">
      <c r="B94" s="7"/>
      <c r="C94" s="62"/>
      <c r="D94" s="62"/>
    </row>
    <row r="95">
      <c r="B95" s="7"/>
      <c r="C95" s="62"/>
      <c r="D95" s="62"/>
    </row>
    <row r="96">
      <c r="B96" s="7"/>
      <c r="C96" s="62"/>
      <c r="D96" s="62"/>
    </row>
    <row r="97">
      <c r="B97" s="7"/>
      <c r="C97" s="62"/>
      <c r="D97" s="62"/>
    </row>
    <row r="98">
      <c r="B98" s="7"/>
      <c r="C98" s="62"/>
      <c r="D98" s="62"/>
    </row>
    <row r="99">
      <c r="B99" s="7"/>
      <c r="C99" s="62"/>
      <c r="D99" s="62"/>
    </row>
    <row r="100">
      <c r="B100" s="7"/>
      <c r="C100" s="62"/>
      <c r="D100" s="62"/>
    </row>
    <row r="101">
      <c r="B101" s="7"/>
      <c r="C101" s="62"/>
      <c r="D101" s="62"/>
    </row>
    <row r="102">
      <c r="B102" s="7"/>
      <c r="C102" s="62"/>
      <c r="D102" s="62"/>
    </row>
    <row r="103">
      <c r="B103" s="7"/>
      <c r="C103" s="62"/>
      <c r="D103" s="62"/>
    </row>
    <row r="104">
      <c r="B104" s="7"/>
      <c r="C104" s="62"/>
      <c r="D104" s="62"/>
    </row>
    <row r="105">
      <c r="B105" s="7"/>
      <c r="C105" s="62"/>
      <c r="D105" s="62"/>
    </row>
    <row r="106">
      <c r="B106" s="7"/>
      <c r="C106" s="62"/>
      <c r="D106" s="62"/>
    </row>
    <row r="107">
      <c r="B107" s="7"/>
      <c r="C107" s="62"/>
      <c r="D107" s="62"/>
    </row>
    <row r="108">
      <c r="B108" s="7"/>
      <c r="C108" s="62"/>
      <c r="D108" s="62"/>
    </row>
    <row r="109">
      <c r="B109" s="7"/>
      <c r="C109" s="62"/>
      <c r="D109" s="62"/>
    </row>
    <row r="110">
      <c r="B110" s="7"/>
      <c r="C110" s="62"/>
      <c r="D110" s="62"/>
    </row>
    <row r="111">
      <c r="B111" s="7"/>
      <c r="C111" s="62"/>
      <c r="D111" s="62"/>
    </row>
    <row r="112">
      <c r="B112" s="7"/>
      <c r="C112" s="62"/>
      <c r="D112" s="62"/>
    </row>
    <row r="113">
      <c r="B113" s="7"/>
      <c r="C113" s="62"/>
      <c r="D113" s="62"/>
    </row>
    <row r="114">
      <c r="B114" s="7"/>
      <c r="C114" s="62"/>
      <c r="D114" s="62"/>
    </row>
    <row r="115">
      <c r="B115" s="7"/>
      <c r="C115" s="62"/>
      <c r="D115" s="62"/>
    </row>
    <row r="116">
      <c r="B116" s="7"/>
      <c r="C116" s="62"/>
      <c r="D116" s="62"/>
    </row>
    <row r="117">
      <c r="B117" s="7"/>
      <c r="C117" s="62"/>
      <c r="D117" s="62"/>
    </row>
    <row r="118">
      <c r="B118" s="7"/>
      <c r="C118" s="62"/>
      <c r="D118" s="62"/>
    </row>
    <row r="119">
      <c r="B119" s="7"/>
      <c r="C119" s="62"/>
      <c r="D119" s="62"/>
    </row>
    <row r="120">
      <c r="B120" s="7"/>
      <c r="C120" s="62"/>
      <c r="D120" s="62"/>
    </row>
    <row r="121">
      <c r="B121" s="7"/>
      <c r="C121" s="62"/>
      <c r="D121" s="62"/>
    </row>
    <row r="122">
      <c r="B122" s="7"/>
      <c r="C122" s="62"/>
      <c r="D122" s="62"/>
    </row>
    <row r="123">
      <c r="B123" s="7"/>
      <c r="C123" s="62"/>
      <c r="D123" s="62"/>
    </row>
    <row r="124">
      <c r="B124" s="7"/>
      <c r="C124" s="62"/>
      <c r="D124" s="62"/>
    </row>
    <row r="125">
      <c r="B125" s="7"/>
      <c r="C125" s="62"/>
      <c r="D125" s="62"/>
    </row>
    <row r="126">
      <c r="B126" s="7"/>
      <c r="C126" s="62"/>
      <c r="D126" s="62"/>
    </row>
    <row r="127">
      <c r="B127" s="7"/>
      <c r="C127" s="62"/>
      <c r="D127" s="62"/>
    </row>
    <row r="128">
      <c r="B128" s="7"/>
      <c r="C128" s="62"/>
      <c r="D128" s="62"/>
    </row>
    <row r="129">
      <c r="B129" s="7"/>
      <c r="C129" s="62"/>
      <c r="D129" s="62"/>
    </row>
    <row r="130">
      <c r="B130" s="7"/>
      <c r="C130" s="62"/>
      <c r="D130" s="62"/>
    </row>
    <row r="131">
      <c r="B131" s="7"/>
      <c r="C131" s="62"/>
      <c r="D131" s="62"/>
    </row>
    <row r="132">
      <c r="B132" s="7"/>
      <c r="C132" s="62"/>
      <c r="D132" s="62"/>
    </row>
    <row r="133">
      <c r="B133" s="7"/>
      <c r="C133" s="62"/>
      <c r="D133" s="62"/>
    </row>
    <row r="134">
      <c r="B134" s="7"/>
      <c r="C134" s="62"/>
      <c r="D134" s="62"/>
    </row>
    <row r="135">
      <c r="B135" s="7"/>
      <c r="C135" s="62"/>
      <c r="D135" s="62"/>
    </row>
    <row r="136">
      <c r="B136" s="7"/>
      <c r="C136" s="62"/>
      <c r="D136" s="62"/>
    </row>
    <row r="137">
      <c r="B137" s="7"/>
      <c r="C137" s="62"/>
      <c r="D137" s="62"/>
    </row>
    <row r="138">
      <c r="B138" s="7"/>
      <c r="C138" s="62"/>
      <c r="D138" s="62"/>
    </row>
    <row r="139">
      <c r="B139" s="7"/>
      <c r="C139" s="62"/>
      <c r="D139" s="62"/>
    </row>
    <row r="140">
      <c r="B140" s="7"/>
      <c r="C140" s="62"/>
      <c r="D140" s="62"/>
    </row>
    <row r="141">
      <c r="B141" s="7"/>
      <c r="C141" s="62"/>
      <c r="D141" s="62"/>
    </row>
    <row r="142">
      <c r="B142" s="7"/>
      <c r="C142" s="62"/>
      <c r="D142" s="62"/>
    </row>
    <row r="143">
      <c r="B143" s="7"/>
      <c r="C143" s="62"/>
      <c r="D143" s="62"/>
    </row>
    <row r="144">
      <c r="B144" s="7"/>
      <c r="C144" s="62"/>
      <c r="D144" s="62"/>
    </row>
    <row r="145">
      <c r="B145" s="7"/>
      <c r="C145" s="62"/>
      <c r="D145" s="62"/>
    </row>
    <row r="146">
      <c r="B146" s="7"/>
      <c r="C146" s="62"/>
      <c r="D146" s="62"/>
    </row>
    <row r="147">
      <c r="B147" s="7"/>
      <c r="C147" s="62"/>
      <c r="D147" s="62"/>
    </row>
    <row r="148">
      <c r="B148" s="7"/>
      <c r="C148" s="62"/>
      <c r="D148" s="62"/>
    </row>
    <row r="149">
      <c r="B149" s="7"/>
      <c r="C149" s="62"/>
      <c r="D149" s="62"/>
    </row>
    <row r="150">
      <c r="B150" s="7"/>
      <c r="C150" s="62"/>
      <c r="D150" s="62"/>
    </row>
    <row r="151">
      <c r="B151" s="7"/>
      <c r="C151" s="62"/>
      <c r="D151" s="62"/>
    </row>
    <row r="152">
      <c r="B152" s="7"/>
      <c r="C152" s="62"/>
      <c r="D152" s="62"/>
    </row>
    <row r="153">
      <c r="B153" s="7"/>
      <c r="C153" s="62"/>
      <c r="D153" s="62"/>
    </row>
    <row r="154">
      <c r="B154" s="7"/>
      <c r="C154" s="62"/>
      <c r="D154" s="62"/>
    </row>
    <row r="155">
      <c r="B155" s="7"/>
      <c r="C155" s="62"/>
      <c r="D155" s="62"/>
    </row>
    <row r="156">
      <c r="B156" s="7"/>
      <c r="C156" s="62"/>
      <c r="D156" s="62"/>
    </row>
    <row r="157">
      <c r="B157" s="7"/>
      <c r="C157" s="62"/>
      <c r="D157" s="62"/>
    </row>
    <row r="158">
      <c r="B158" s="7"/>
      <c r="C158" s="62"/>
      <c r="D158" s="62"/>
    </row>
    <row r="159">
      <c r="B159" s="7"/>
      <c r="C159" s="62"/>
      <c r="D159" s="62"/>
    </row>
    <row r="160">
      <c r="B160" s="7"/>
      <c r="C160" s="62"/>
      <c r="D160" s="62"/>
    </row>
    <row r="161">
      <c r="B161" s="7"/>
      <c r="C161" s="62"/>
      <c r="D161" s="62"/>
    </row>
    <row r="162">
      <c r="B162" s="7"/>
      <c r="C162" s="62"/>
      <c r="D162" s="62"/>
    </row>
    <row r="163">
      <c r="B163" s="7"/>
      <c r="C163" s="62"/>
      <c r="D163" s="62"/>
    </row>
    <row r="164">
      <c r="B164" s="7"/>
      <c r="C164" s="62"/>
      <c r="D164" s="62"/>
    </row>
    <row r="165">
      <c r="B165" s="7"/>
      <c r="C165" s="62"/>
      <c r="D165" s="62"/>
    </row>
    <row r="166">
      <c r="B166" s="7"/>
      <c r="C166" s="62"/>
      <c r="D166" s="62"/>
    </row>
    <row r="167">
      <c r="B167" s="7"/>
      <c r="C167" s="62"/>
      <c r="D167" s="62"/>
    </row>
    <row r="168">
      <c r="B168" s="7"/>
      <c r="C168" s="62"/>
      <c r="D168" s="62"/>
    </row>
    <row r="169">
      <c r="B169" s="7"/>
      <c r="C169" s="62"/>
      <c r="D169" s="62"/>
    </row>
    <row r="170">
      <c r="B170" s="7"/>
      <c r="C170" s="62"/>
      <c r="D170" s="62"/>
    </row>
    <row r="171">
      <c r="B171" s="7"/>
      <c r="C171" s="62"/>
      <c r="D171" s="62"/>
    </row>
    <row r="172">
      <c r="B172" s="7"/>
      <c r="C172" s="62"/>
      <c r="D172" s="62"/>
    </row>
    <row r="173">
      <c r="B173" s="7"/>
      <c r="C173" s="62"/>
      <c r="D173" s="62"/>
    </row>
    <row r="174">
      <c r="B174" s="7"/>
      <c r="C174" s="62"/>
      <c r="D174" s="62"/>
    </row>
    <row r="175">
      <c r="B175" s="7"/>
      <c r="C175" s="62"/>
      <c r="D175" s="62"/>
    </row>
    <row r="176">
      <c r="B176" s="7"/>
      <c r="C176" s="62"/>
      <c r="D176" s="62"/>
    </row>
    <row r="177">
      <c r="B177" s="7"/>
      <c r="C177" s="62"/>
      <c r="D177" s="62"/>
    </row>
    <row r="178">
      <c r="B178" s="7"/>
      <c r="C178" s="62"/>
      <c r="D178" s="62"/>
    </row>
    <row r="179">
      <c r="B179" s="7"/>
      <c r="C179" s="62"/>
      <c r="D179" s="62"/>
    </row>
    <row r="180">
      <c r="B180" s="7"/>
      <c r="C180" s="62"/>
      <c r="D180" s="62"/>
    </row>
    <row r="181">
      <c r="B181" s="7"/>
      <c r="C181" s="62"/>
      <c r="D181" s="62"/>
    </row>
    <row r="182">
      <c r="B182" s="7"/>
      <c r="C182" s="62"/>
      <c r="D182" s="62"/>
    </row>
    <row r="183">
      <c r="B183" s="7"/>
      <c r="C183" s="62"/>
      <c r="D183" s="62"/>
    </row>
    <row r="184">
      <c r="B184" s="7"/>
      <c r="C184" s="62"/>
      <c r="D184" s="62"/>
    </row>
    <row r="185">
      <c r="B185" s="7"/>
      <c r="C185" s="62"/>
      <c r="D185" s="62"/>
    </row>
    <row r="186">
      <c r="B186" s="7"/>
      <c r="C186" s="62"/>
      <c r="D186" s="62"/>
    </row>
    <row r="187">
      <c r="B187" s="7"/>
      <c r="C187" s="62"/>
      <c r="D187" s="62"/>
    </row>
    <row r="188">
      <c r="B188" s="7"/>
      <c r="C188" s="62"/>
      <c r="D188" s="62"/>
    </row>
    <row r="189">
      <c r="B189" s="7"/>
      <c r="C189" s="62"/>
      <c r="D189" s="62"/>
    </row>
    <row r="190">
      <c r="B190" s="7"/>
      <c r="C190" s="62"/>
      <c r="D190" s="62"/>
    </row>
    <row r="191">
      <c r="B191" s="7"/>
      <c r="C191" s="62"/>
      <c r="D191" s="62"/>
    </row>
    <row r="192">
      <c r="B192" s="7"/>
      <c r="C192" s="62"/>
      <c r="D192" s="62"/>
    </row>
    <row r="193">
      <c r="B193" s="7"/>
      <c r="C193" s="62"/>
      <c r="D193" s="62"/>
    </row>
    <row r="194">
      <c r="B194" s="7"/>
      <c r="C194" s="62"/>
      <c r="D194" s="62"/>
    </row>
    <row r="195">
      <c r="B195" s="7"/>
      <c r="C195" s="62"/>
      <c r="D195" s="62"/>
    </row>
    <row r="196">
      <c r="B196" s="7"/>
      <c r="C196" s="62"/>
      <c r="D196" s="62"/>
    </row>
    <row r="197">
      <c r="B197" s="7"/>
      <c r="C197" s="62"/>
      <c r="D197" s="62"/>
    </row>
    <row r="198">
      <c r="B198" s="7"/>
      <c r="C198" s="62"/>
      <c r="D198" s="62"/>
    </row>
    <row r="199">
      <c r="B199" s="7"/>
      <c r="C199" s="62"/>
      <c r="D199" s="62"/>
    </row>
    <row r="200">
      <c r="B200" s="7"/>
      <c r="C200" s="62"/>
      <c r="D200" s="62"/>
    </row>
    <row r="201">
      <c r="B201" s="7"/>
      <c r="C201" s="62"/>
      <c r="D201" s="62"/>
    </row>
    <row r="202">
      <c r="B202" s="7"/>
      <c r="C202" s="62"/>
      <c r="D202" s="62"/>
    </row>
    <row r="203">
      <c r="B203" s="7"/>
      <c r="C203" s="62"/>
      <c r="D203" s="62"/>
    </row>
    <row r="204">
      <c r="B204" s="7"/>
      <c r="C204" s="62"/>
      <c r="D204" s="62"/>
    </row>
    <row r="205">
      <c r="B205" s="7"/>
      <c r="C205" s="62"/>
      <c r="D205" s="62"/>
    </row>
    <row r="206">
      <c r="B206" s="7"/>
      <c r="C206" s="62"/>
      <c r="D206" s="62"/>
    </row>
    <row r="207">
      <c r="B207" s="7"/>
      <c r="C207" s="62"/>
      <c r="D207" s="62"/>
    </row>
    <row r="208">
      <c r="B208" s="7"/>
      <c r="C208" s="62"/>
      <c r="D208" s="62"/>
    </row>
    <row r="209">
      <c r="B209" s="7"/>
      <c r="C209" s="62"/>
      <c r="D209" s="62"/>
    </row>
    <row r="210">
      <c r="B210" s="7"/>
      <c r="C210" s="62"/>
      <c r="D210" s="62"/>
    </row>
    <row r="211">
      <c r="B211" s="7"/>
      <c r="C211" s="62"/>
      <c r="D211" s="62"/>
    </row>
    <row r="212">
      <c r="B212" s="7"/>
      <c r="C212" s="62"/>
      <c r="D212" s="62"/>
    </row>
    <row r="213">
      <c r="B213" s="7"/>
      <c r="C213" s="62"/>
      <c r="D213" s="62"/>
    </row>
    <row r="214">
      <c r="B214" s="7"/>
      <c r="C214" s="62"/>
      <c r="D214" s="62"/>
    </row>
    <row r="215">
      <c r="B215" s="7"/>
      <c r="C215" s="62"/>
      <c r="D215" s="62"/>
    </row>
    <row r="216">
      <c r="B216" s="7"/>
      <c r="C216" s="62"/>
      <c r="D216" s="62"/>
    </row>
    <row r="217">
      <c r="B217" s="7"/>
      <c r="C217" s="62"/>
      <c r="D217" s="62"/>
    </row>
    <row r="218">
      <c r="B218" s="7"/>
      <c r="C218" s="62"/>
      <c r="D218" s="62"/>
    </row>
    <row r="219">
      <c r="B219" s="7"/>
      <c r="C219" s="62"/>
      <c r="D219" s="62"/>
    </row>
    <row r="220">
      <c r="B220" s="7"/>
      <c r="C220" s="62"/>
      <c r="D220" s="62"/>
    </row>
    <row r="221">
      <c r="B221" s="7"/>
      <c r="C221" s="62"/>
      <c r="D221" s="62"/>
    </row>
    <row r="222">
      <c r="B222" s="7"/>
      <c r="C222" s="62"/>
      <c r="D222" s="62"/>
    </row>
    <row r="223">
      <c r="B223" s="7"/>
      <c r="C223" s="62"/>
      <c r="D223" s="62"/>
    </row>
    <row r="224">
      <c r="B224" s="7"/>
      <c r="C224" s="62"/>
      <c r="D224" s="62"/>
    </row>
    <row r="225">
      <c r="B225" s="7"/>
      <c r="C225" s="62"/>
      <c r="D225" s="62"/>
    </row>
    <row r="226">
      <c r="B226" s="7"/>
      <c r="C226" s="62"/>
      <c r="D226" s="62"/>
    </row>
    <row r="227">
      <c r="B227" s="7"/>
      <c r="C227" s="62"/>
      <c r="D227" s="62"/>
    </row>
    <row r="228">
      <c r="B228" s="7"/>
      <c r="C228" s="62"/>
      <c r="D228" s="62"/>
    </row>
    <row r="229">
      <c r="B229" s="7"/>
      <c r="C229" s="62"/>
      <c r="D229" s="62"/>
    </row>
    <row r="230">
      <c r="B230" s="7"/>
      <c r="C230" s="62"/>
      <c r="D230" s="62"/>
    </row>
    <row r="231">
      <c r="B231" s="7"/>
      <c r="C231" s="62"/>
      <c r="D231" s="62"/>
    </row>
    <row r="232">
      <c r="B232" s="7"/>
      <c r="C232" s="62"/>
      <c r="D232" s="62"/>
    </row>
    <row r="233">
      <c r="B233" s="7"/>
      <c r="C233" s="62"/>
      <c r="D233" s="62"/>
    </row>
    <row r="234">
      <c r="B234" s="7"/>
      <c r="C234" s="62"/>
      <c r="D234" s="62"/>
    </row>
    <row r="235">
      <c r="B235" s="7"/>
      <c r="C235" s="62"/>
      <c r="D235" s="62"/>
    </row>
    <row r="236">
      <c r="B236" s="7"/>
      <c r="C236" s="62"/>
      <c r="D236" s="62"/>
    </row>
    <row r="237">
      <c r="B237" s="7"/>
      <c r="C237" s="62"/>
      <c r="D237" s="62"/>
    </row>
    <row r="238">
      <c r="B238" s="7"/>
      <c r="C238" s="62"/>
      <c r="D238" s="62"/>
    </row>
    <row r="239">
      <c r="B239" s="7"/>
      <c r="C239" s="62"/>
      <c r="D239" s="62"/>
    </row>
    <row r="240">
      <c r="B240" s="7"/>
      <c r="C240" s="62"/>
      <c r="D240" s="62"/>
    </row>
    <row r="241">
      <c r="B241" s="7"/>
      <c r="C241" s="62"/>
      <c r="D241" s="62"/>
    </row>
    <row r="242">
      <c r="B242" s="7"/>
      <c r="C242" s="62"/>
      <c r="D242" s="62"/>
    </row>
    <row r="243">
      <c r="B243" s="7"/>
      <c r="C243" s="62"/>
      <c r="D243" s="62"/>
    </row>
    <row r="244">
      <c r="B244" s="7"/>
      <c r="C244" s="62"/>
      <c r="D244" s="62"/>
    </row>
    <row r="245">
      <c r="B245" s="7"/>
      <c r="C245" s="62"/>
      <c r="D245" s="62"/>
    </row>
    <row r="246">
      <c r="B246" s="7"/>
      <c r="C246" s="62"/>
      <c r="D246" s="62"/>
    </row>
    <row r="247">
      <c r="B247" s="7"/>
      <c r="C247" s="62"/>
      <c r="D247" s="62"/>
    </row>
    <row r="248">
      <c r="B248" s="7"/>
      <c r="C248" s="62"/>
      <c r="D248" s="62"/>
    </row>
    <row r="249">
      <c r="B249" s="7"/>
      <c r="C249" s="62"/>
      <c r="D249" s="62"/>
    </row>
    <row r="250">
      <c r="B250" s="7"/>
      <c r="C250" s="62"/>
      <c r="D250" s="62"/>
    </row>
    <row r="251">
      <c r="B251" s="7"/>
      <c r="C251" s="62"/>
      <c r="D251" s="62"/>
    </row>
    <row r="252">
      <c r="B252" s="7"/>
      <c r="C252" s="62"/>
      <c r="D252" s="62"/>
    </row>
    <row r="253">
      <c r="B253" s="7"/>
      <c r="C253" s="62"/>
      <c r="D253" s="62"/>
    </row>
    <row r="254">
      <c r="B254" s="7"/>
      <c r="C254" s="62"/>
      <c r="D254" s="62"/>
    </row>
    <row r="255">
      <c r="B255" s="7"/>
      <c r="C255" s="62"/>
      <c r="D255" s="62"/>
    </row>
    <row r="256">
      <c r="B256" s="7"/>
      <c r="C256" s="62"/>
      <c r="D256" s="62"/>
    </row>
    <row r="257">
      <c r="B257" s="7"/>
      <c r="C257" s="62"/>
      <c r="D257" s="62"/>
    </row>
    <row r="258">
      <c r="B258" s="7"/>
      <c r="C258" s="62"/>
      <c r="D258" s="62"/>
    </row>
    <row r="259">
      <c r="B259" s="7"/>
      <c r="C259" s="62"/>
      <c r="D259" s="62"/>
    </row>
    <row r="260">
      <c r="B260" s="7"/>
      <c r="C260" s="62"/>
      <c r="D260" s="62"/>
    </row>
    <row r="261">
      <c r="B261" s="7"/>
      <c r="C261" s="62"/>
      <c r="D261" s="62"/>
    </row>
    <row r="262">
      <c r="B262" s="7"/>
      <c r="C262" s="62"/>
      <c r="D262" s="62"/>
    </row>
    <row r="263">
      <c r="B263" s="7"/>
      <c r="C263" s="62"/>
      <c r="D263" s="62"/>
    </row>
    <row r="264">
      <c r="B264" s="7"/>
      <c r="C264" s="62"/>
      <c r="D264" s="62"/>
    </row>
    <row r="265">
      <c r="B265" s="7"/>
      <c r="C265" s="62"/>
      <c r="D265" s="62"/>
    </row>
    <row r="266">
      <c r="B266" s="7"/>
      <c r="C266" s="62"/>
      <c r="D266" s="62"/>
    </row>
    <row r="267">
      <c r="B267" s="7"/>
      <c r="C267" s="62"/>
      <c r="D267" s="62"/>
    </row>
    <row r="268">
      <c r="B268" s="7"/>
      <c r="C268" s="62"/>
      <c r="D268" s="62"/>
    </row>
    <row r="269">
      <c r="B269" s="7"/>
      <c r="C269" s="62"/>
      <c r="D269" s="62"/>
    </row>
    <row r="270">
      <c r="B270" s="7"/>
      <c r="C270" s="62"/>
      <c r="D270" s="62"/>
    </row>
    <row r="271">
      <c r="B271" s="7"/>
      <c r="C271" s="62"/>
      <c r="D271" s="62"/>
    </row>
    <row r="272">
      <c r="B272" s="7"/>
      <c r="C272" s="62"/>
      <c r="D272" s="62"/>
    </row>
    <row r="273">
      <c r="B273" s="7"/>
      <c r="C273" s="62"/>
      <c r="D273" s="62"/>
    </row>
    <row r="274">
      <c r="B274" s="7"/>
      <c r="C274" s="62"/>
      <c r="D274" s="62"/>
    </row>
    <row r="275">
      <c r="B275" s="7"/>
      <c r="C275" s="62"/>
      <c r="D275" s="62"/>
    </row>
    <row r="276">
      <c r="B276" s="7"/>
      <c r="C276" s="62"/>
      <c r="D276" s="62"/>
    </row>
    <row r="277">
      <c r="B277" s="7"/>
      <c r="C277" s="62"/>
      <c r="D277" s="62"/>
    </row>
    <row r="278">
      <c r="B278" s="7"/>
      <c r="C278" s="62"/>
      <c r="D278" s="62"/>
    </row>
    <row r="279">
      <c r="B279" s="7"/>
      <c r="C279" s="62"/>
      <c r="D279" s="62"/>
    </row>
    <row r="280">
      <c r="B280" s="7"/>
      <c r="C280" s="62"/>
      <c r="D280" s="62"/>
    </row>
    <row r="281">
      <c r="B281" s="7"/>
      <c r="C281" s="62"/>
      <c r="D281" s="62"/>
    </row>
    <row r="282">
      <c r="B282" s="7"/>
      <c r="C282" s="62"/>
      <c r="D282" s="62"/>
    </row>
    <row r="283">
      <c r="B283" s="7"/>
      <c r="C283" s="62"/>
      <c r="D283" s="62"/>
    </row>
    <row r="284">
      <c r="B284" s="7"/>
      <c r="C284" s="62"/>
      <c r="D284" s="62"/>
    </row>
    <row r="285">
      <c r="B285" s="7"/>
      <c r="C285" s="62"/>
      <c r="D285" s="62"/>
    </row>
    <row r="286">
      <c r="B286" s="7"/>
      <c r="C286" s="62"/>
      <c r="D286" s="62"/>
    </row>
    <row r="287">
      <c r="B287" s="7"/>
      <c r="C287" s="62"/>
      <c r="D287" s="62"/>
    </row>
    <row r="288">
      <c r="B288" s="7"/>
      <c r="C288" s="62"/>
      <c r="D288" s="62"/>
    </row>
    <row r="289">
      <c r="B289" s="7"/>
      <c r="C289" s="62"/>
      <c r="D289" s="62"/>
    </row>
    <row r="290">
      <c r="B290" s="7"/>
      <c r="C290" s="62"/>
      <c r="D290" s="62"/>
    </row>
    <row r="291">
      <c r="B291" s="7"/>
      <c r="C291" s="62"/>
      <c r="D291" s="62"/>
    </row>
    <row r="292">
      <c r="B292" s="7"/>
      <c r="C292" s="62"/>
      <c r="D292" s="62"/>
    </row>
    <row r="293">
      <c r="B293" s="7"/>
      <c r="C293" s="62"/>
      <c r="D293" s="62"/>
    </row>
    <row r="294">
      <c r="B294" s="7"/>
      <c r="C294" s="62"/>
      <c r="D294" s="62"/>
    </row>
    <row r="295">
      <c r="B295" s="7"/>
      <c r="C295" s="62"/>
      <c r="D295" s="62"/>
    </row>
    <row r="296">
      <c r="B296" s="7"/>
      <c r="C296" s="62"/>
      <c r="D296" s="62"/>
    </row>
    <row r="297">
      <c r="B297" s="7"/>
      <c r="C297" s="62"/>
      <c r="D297" s="62"/>
    </row>
    <row r="298">
      <c r="B298" s="7"/>
      <c r="C298" s="62"/>
      <c r="D298" s="62"/>
    </row>
    <row r="299">
      <c r="B299" s="7"/>
      <c r="C299" s="62"/>
      <c r="D299" s="62"/>
    </row>
    <row r="300">
      <c r="B300" s="7"/>
      <c r="C300" s="62"/>
      <c r="D300" s="62"/>
    </row>
    <row r="301">
      <c r="B301" s="7"/>
      <c r="C301" s="62"/>
      <c r="D301" s="62"/>
    </row>
    <row r="302">
      <c r="B302" s="7"/>
      <c r="C302" s="62"/>
      <c r="D302" s="62"/>
    </row>
    <row r="303">
      <c r="B303" s="7"/>
      <c r="C303" s="62"/>
      <c r="D303" s="62"/>
    </row>
    <row r="304">
      <c r="B304" s="7"/>
      <c r="C304" s="62"/>
      <c r="D304" s="62"/>
    </row>
    <row r="305">
      <c r="B305" s="7"/>
      <c r="C305" s="62"/>
      <c r="D305" s="62"/>
    </row>
    <row r="306">
      <c r="B306" s="7"/>
      <c r="C306" s="62"/>
      <c r="D306" s="62"/>
    </row>
    <row r="307">
      <c r="B307" s="7"/>
      <c r="C307" s="62"/>
      <c r="D307" s="62"/>
    </row>
    <row r="308">
      <c r="B308" s="7"/>
      <c r="C308" s="62"/>
      <c r="D308" s="62"/>
    </row>
    <row r="309">
      <c r="B309" s="7"/>
      <c r="C309" s="62"/>
      <c r="D309" s="62"/>
    </row>
    <row r="310">
      <c r="B310" s="7"/>
      <c r="C310" s="62"/>
      <c r="D310" s="62"/>
    </row>
    <row r="311">
      <c r="B311" s="7"/>
      <c r="C311" s="62"/>
      <c r="D311" s="62"/>
    </row>
    <row r="312">
      <c r="B312" s="7"/>
      <c r="C312" s="62"/>
      <c r="D312" s="62"/>
    </row>
    <row r="313">
      <c r="B313" s="7"/>
      <c r="C313" s="62"/>
      <c r="D313" s="62"/>
    </row>
    <row r="314">
      <c r="B314" s="7"/>
      <c r="C314" s="62"/>
      <c r="D314" s="62"/>
    </row>
    <row r="315">
      <c r="B315" s="7"/>
      <c r="C315" s="62"/>
      <c r="D315" s="62"/>
    </row>
    <row r="316">
      <c r="B316" s="7"/>
      <c r="C316" s="62"/>
      <c r="D316" s="62"/>
    </row>
    <row r="317">
      <c r="B317" s="7"/>
      <c r="C317" s="62"/>
      <c r="D317" s="62"/>
    </row>
    <row r="318">
      <c r="B318" s="7"/>
      <c r="C318" s="62"/>
      <c r="D318" s="62"/>
    </row>
    <row r="319">
      <c r="B319" s="7"/>
      <c r="C319" s="62"/>
      <c r="D319" s="62"/>
    </row>
    <row r="320">
      <c r="B320" s="7"/>
      <c r="C320" s="62"/>
      <c r="D320" s="62"/>
    </row>
    <row r="321">
      <c r="B321" s="7"/>
      <c r="C321" s="62"/>
      <c r="D321" s="62"/>
    </row>
    <row r="322">
      <c r="B322" s="7"/>
      <c r="C322" s="62"/>
      <c r="D322" s="62"/>
    </row>
    <row r="323">
      <c r="B323" s="7"/>
      <c r="C323" s="62"/>
      <c r="D323" s="62"/>
    </row>
    <row r="324">
      <c r="B324" s="7"/>
      <c r="C324" s="62"/>
      <c r="D324" s="62"/>
    </row>
    <row r="325">
      <c r="B325" s="7"/>
      <c r="C325" s="62"/>
      <c r="D325" s="62"/>
    </row>
    <row r="326">
      <c r="B326" s="7"/>
      <c r="C326" s="62"/>
      <c r="D326" s="62"/>
    </row>
    <row r="327">
      <c r="B327" s="7"/>
      <c r="C327" s="62"/>
      <c r="D327" s="62"/>
    </row>
    <row r="328">
      <c r="B328" s="7"/>
      <c r="C328" s="62"/>
      <c r="D328" s="62"/>
    </row>
    <row r="329">
      <c r="B329" s="7"/>
      <c r="C329" s="62"/>
      <c r="D329" s="62"/>
    </row>
    <row r="330">
      <c r="B330" s="7"/>
      <c r="C330" s="62"/>
      <c r="D330" s="62"/>
    </row>
    <row r="331">
      <c r="B331" s="7"/>
      <c r="C331" s="62"/>
      <c r="D331" s="62"/>
    </row>
    <row r="332">
      <c r="B332" s="7"/>
      <c r="C332" s="62"/>
      <c r="D332" s="62"/>
    </row>
    <row r="333">
      <c r="B333" s="7"/>
      <c r="C333" s="62"/>
      <c r="D333" s="62"/>
    </row>
    <row r="334">
      <c r="B334" s="7"/>
      <c r="C334" s="62"/>
      <c r="D334" s="62"/>
    </row>
    <row r="335">
      <c r="B335" s="7"/>
      <c r="C335" s="62"/>
      <c r="D335" s="62"/>
    </row>
    <row r="336">
      <c r="B336" s="7"/>
      <c r="C336" s="62"/>
      <c r="D336" s="62"/>
    </row>
    <row r="337">
      <c r="B337" s="7"/>
      <c r="C337" s="62"/>
      <c r="D337" s="62"/>
    </row>
    <row r="338">
      <c r="B338" s="7"/>
      <c r="C338" s="62"/>
      <c r="D338" s="62"/>
    </row>
    <row r="339">
      <c r="B339" s="7"/>
      <c r="C339" s="62"/>
      <c r="D339" s="62"/>
    </row>
    <row r="340">
      <c r="B340" s="7"/>
      <c r="C340" s="62"/>
      <c r="D340" s="62"/>
    </row>
    <row r="341">
      <c r="B341" s="7"/>
      <c r="C341" s="62"/>
      <c r="D341" s="62"/>
    </row>
    <row r="342">
      <c r="B342" s="7"/>
      <c r="C342" s="62"/>
      <c r="D342" s="62"/>
    </row>
    <row r="343">
      <c r="B343" s="7"/>
      <c r="C343" s="62"/>
      <c r="D343" s="62"/>
    </row>
    <row r="344">
      <c r="B344" s="7"/>
      <c r="C344" s="62"/>
      <c r="D344" s="62"/>
    </row>
    <row r="345">
      <c r="B345" s="7"/>
      <c r="C345" s="62"/>
      <c r="D345" s="62"/>
    </row>
    <row r="346">
      <c r="B346" s="7"/>
      <c r="C346" s="62"/>
      <c r="D346" s="62"/>
    </row>
    <row r="347">
      <c r="B347" s="7"/>
      <c r="C347" s="62"/>
      <c r="D347" s="62"/>
    </row>
    <row r="348">
      <c r="B348" s="7"/>
      <c r="C348" s="62"/>
      <c r="D348" s="62"/>
    </row>
    <row r="349">
      <c r="B349" s="7"/>
      <c r="C349" s="62"/>
      <c r="D349" s="62"/>
    </row>
    <row r="350">
      <c r="B350" s="7"/>
      <c r="C350" s="62"/>
      <c r="D350" s="62"/>
    </row>
    <row r="351">
      <c r="B351" s="7"/>
      <c r="C351" s="62"/>
      <c r="D351" s="62"/>
    </row>
    <row r="352">
      <c r="B352" s="7"/>
      <c r="C352" s="62"/>
      <c r="D352" s="62"/>
    </row>
    <row r="353">
      <c r="B353" s="7"/>
      <c r="C353" s="62"/>
      <c r="D353" s="62"/>
    </row>
    <row r="354">
      <c r="B354" s="7"/>
      <c r="C354" s="62"/>
      <c r="D354" s="62"/>
    </row>
    <row r="355">
      <c r="B355" s="7"/>
      <c r="C355" s="62"/>
      <c r="D355" s="62"/>
    </row>
    <row r="356">
      <c r="B356" s="7"/>
      <c r="C356" s="62"/>
      <c r="D356" s="62"/>
    </row>
    <row r="357">
      <c r="B357" s="7"/>
      <c r="C357" s="62"/>
      <c r="D357" s="62"/>
    </row>
    <row r="358">
      <c r="B358" s="7"/>
      <c r="C358" s="62"/>
      <c r="D358" s="62"/>
    </row>
    <row r="359">
      <c r="B359" s="7"/>
      <c r="C359" s="62"/>
      <c r="D359" s="62"/>
    </row>
    <row r="360">
      <c r="B360" s="7"/>
      <c r="C360" s="62"/>
      <c r="D360" s="62"/>
    </row>
    <row r="361">
      <c r="B361" s="7"/>
      <c r="C361" s="62"/>
      <c r="D361" s="62"/>
    </row>
    <row r="362">
      <c r="B362" s="7"/>
      <c r="C362" s="62"/>
      <c r="D362" s="62"/>
    </row>
    <row r="363">
      <c r="B363" s="7"/>
      <c r="C363" s="62"/>
      <c r="D363" s="62"/>
    </row>
    <row r="364">
      <c r="B364" s="7"/>
      <c r="C364" s="62"/>
      <c r="D364" s="62"/>
    </row>
    <row r="365">
      <c r="B365" s="7"/>
      <c r="C365" s="62"/>
      <c r="D365" s="62"/>
    </row>
    <row r="366">
      <c r="B366" s="7"/>
      <c r="C366" s="62"/>
      <c r="D366" s="62"/>
    </row>
    <row r="367">
      <c r="B367" s="7"/>
      <c r="C367" s="62"/>
      <c r="D367" s="62"/>
    </row>
    <row r="368">
      <c r="B368" s="7"/>
      <c r="C368" s="62"/>
      <c r="D368" s="62"/>
    </row>
    <row r="369">
      <c r="B369" s="7"/>
      <c r="C369" s="62"/>
      <c r="D369" s="62"/>
    </row>
    <row r="370">
      <c r="B370" s="7"/>
      <c r="C370" s="62"/>
      <c r="D370" s="62"/>
    </row>
    <row r="371">
      <c r="B371" s="7"/>
      <c r="C371" s="62"/>
      <c r="D371" s="62"/>
    </row>
    <row r="372">
      <c r="B372" s="7"/>
      <c r="C372" s="62"/>
      <c r="D372" s="62"/>
    </row>
    <row r="373">
      <c r="B373" s="7"/>
      <c r="C373" s="62"/>
      <c r="D373" s="62"/>
    </row>
    <row r="374">
      <c r="B374" s="7"/>
      <c r="C374" s="62"/>
      <c r="D374" s="62"/>
    </row>
    <row r="375">
      <c r="B375" s="7"/>
      <c r="C375" s="62"/>
      <c r="D375" s="62"/>
    </row>
    <row r="376">
      <c r="B376" s="7"/>
      <c r="C376" s="62"/>
      <c r="D376" s="62"/>
    </row>
    <row r="377">
      <c r="B377" s="7"/>
      <c r="C377" s="62"/>
      <c r="D377" s="62"/>
    </row>
    <row r="378">
      <c r="B378" s="7"/>
      <c r="C378" s="62"/>
      <c r="D378" s="62"/>
    </row>
    <row r="379">
      <c r="B379" s="7"/>
      <c r="C379" s="62"/>
      <c r="D379" s="62"/>
    </row>
    <row r="380">
      <c r="B380" s="7"/>
      <c r="C380" s="62"/>
      <c r="D380" s="62"/>
    </row>
    <row r="381">
      <c r="B381" s="7"/>
      <c r="C381" s="62"/>
      <c r="D381" s="62"/>
    </row>
    <row r="382">
      <c r="B382" s="7"/>
      <c r="C382" s="62"/>
      <c r="D382" s="62"/>
    </row>
    <row r="383">
      <c r="B383" s="7"/>
      <c r="C383" s="62"/>
      <c r="D383" s="62"/>
    </row>
    <row r="384">
      <c r="B384" s="7"/>
      <c r="C384" s="62"/>
      <c r="D384" s="62"/>
    </row>
    <row r="385">
      <c r="B385" s="7"/>
      <c r="C385" s="62"/>
      <c r="D385" s="62"/>
    </row>
    <row r="386">
      <c r="B386" s="7"/>
      <c r="C386" s="62"/>
      <c r="D386" s="62"/>
    </row>
    <row r="387">
      <c r="B387" s="7"/>
      <c r="C387" s="62"/>
      <c r="D387" s="62"/>
    </row>
    <row r="388">
      <c r="B388" s="7"/>
      <c r="C388" s="62"/>
      <c r="D388" s="62"/>
    </row>
    <row r="389">
      <c r="B389" s="7"/>
      <c r="C389" s="62"/>
      <c r="D389" s="62"/>
    </row>
    <row r="390">
      <c r="B390" s="7"/>
      <c r="C390" s="62"/>
      <c r="D390" s="62"/>
    </row>
    <row r="391">
      <c r="B391" s="7"/>
      <c r="C391" s="62"/>
      <c r="D391" s="62"/>
    </row>
    <row r="392">
      <c r="B392" s="7"/>
      <c r="C392" s="62"/>
      <c r="D392" s="62"/>
    </row>
    <row r="393">
      <c r="B393" s="7"/>
      <c r="C393" s="62"/>
      <c r="D393" s="62"/>
    </row>
    <row r="394">
      <c r="B394" s="7"/>
      <c r="C394" s="62"/>
      <c r="D394" s="62"/>
    </row>
    <row r="395">
      <c r="B395" s="7"/>
      <c r="C395" s="62"/>
      <c r="D395" s="62"/>
    </row>
    <row r="396">
      <c r="B396" s="7"/>
      <c r="C396" s="62"/>
      <c r="D396" s="62"/>
    </row>
    <row r="397">
      <c r="B397" s="7"/>
      <c r="C397" s="62"/>
      <c r="D397" s="62"/>
    </row>
    <row r="398">
      <c r="B398" s="7"/>
      <c r="C398" s="62"/>
      <c r="D398" s="62"/>
    </row>
    <row r="399">
      <c r="B399" s="7"/>
      <c r="C399" s="62"/>
      <c r="D399" s="62"/>
    </row>
    <row r="400">
      <c r="B400" s="7"/>
      <c r="C400" s="62"/>
      <c r="D400" s="62"/>
    </row>
    <row r="401">
      <c r="B401" s="7"/>
      <c r="C401" s="62"/>
      <c r="D401" s="62"/>
    </row>
    <row r="402">
      <c r="B402" s="7"/>
      <c r="C402" s="62"/>
      <c r="D402" s="62"/>
    </row>
    <row r="403">
      <c r="B403" s="7"/>
      <c r="C403" s="62"/>
      <c r="D403" s="62"/>
    </row>
    <row r="404">
      <c r="B404" s="7"/>
      <c r="C404" s="62"/>
      <c r="D404" s="62"/>
    </row>
    <row r="405">
      <c r="B405" s="7"/>
      <c r="C405" s="62"/>
      <c r="D405" s="62"/>
    </row>
    <row r="406">
      <c r="B406" s="7"/>
      <c r="C406" s="62"/>
      <c r="D406" s="62"/>
    </row>
    <row r="407">
      <c r="B407" s="7"/>
      <c r="C407" s="62"/>
      <c r="D407" s="62"/>
    </row>
    <row r="408">
      <c r="B408" s="7"/>
      <c r="C408" s="62"/>
      <c r="D408" s="62"/>
    </row>
    <row r="409">
      <c r="B409" s="7"/>
      <c r="C409" s="62"/>
      <c r="D409" s="62"/>
    </row>
    <row r="410">
      <c r="B410" s="7"/>
      <c r="C410" s="62"/>
      <c r="D410" s="62"/>
    </row>
    <row r="411">
      <c r="B411" s="7"/>
      <c r="C411" s="62"/>
      <c r="D411" s="62"/>
    </row>
    <row r="412">
      <c r="B412" s="7"/>
      <c r="C412" s="62"/>
      <c r="D412" s="62"/>
    </row>
    <row r="413">
      <c r="B413" s="7"/>
      <c r="C413" s="62"/>
      <c r="D413" s="62"/>
    </row>
    <row r="414">
      <c r="B414" s="7"/>
      <c r="C414" s="62"/>
      <c r="D414" s="62"/>
    </row>
    <row r="415">
      <c r="B415" s="7"/>
      <c r="C415" s="62"/>
      <c r="D415" s="62"/>
    </row>
    <row r="416">
      <c r="B416" s="7"/>
      <c r="C416" s="62"/>
      <c r="D416" s="62"/>
    </row>
    <row r="417">
      <c r="B417" s="7"/>
      <c r="C417" s="62"/>
      <c r="D417" s="62"/>
    </row>
    <row r="418">
      <c r="B418" s="7"/>
      <c r="C418" s="62"/>
      <c r="D418" s="62"/>
    </row>
    <row r="419">
      <c r="B419" s="7"/>
      <c r="C419" s="62"/>
      <c r="D419" s="62"/>
    </row>
    <row r="420">
      <c r="B420" s="7"/>
      <c r="C420" s="62"/>
      <c r="D420" s="62"/>
    </row>
    <row r="421">
      <c r="B421" s="7"/>
      <c r="C421" s="62"/>
      <c r="D421" s="62"/>
    </row>
    <row r="422">
      <c r="B422" s="7"/>
      <c r="C422" s="62"/>
      <c r="D422" s="62"/>
    </row>
    <row r="423">
      <c r="B423" s="7"/>
      <c r="C423" s="62"/>
      <c r="D423" s="62"/>
    </row>
    <row r="424">
      <c r="B424" s="7"/>
      <c r="C424" s="62"/>
      <c r="D424" s="62"/>
    </row>
    <row r="425">
      <c r="B425" s="7"/>
      <c r="C425" s="62"/>
      <c r="D425" s="62"/>
    </row>
    <row r="426">
      <c r="B426" s="7"/>
      <c r="C426" s="62"/>
      <c r="D426" s="62"/>
    </row>
    <row r="427">
      <c r="B427" s="7"/>
      <c r="C427" s="62"/>
      <c r="D427" s="62"/>
    </row>
    <row r="428">
      <c r="B428" s="7"/>
      <c r="C428" s="62"/>
      <c r="D428" s="62"/>
    </row>
    <row r="429">
      <c r="B429" s="7"/>
      <c r="C429" s="62"/>
      <c r="D429" s="62"/>
    </row>
    <row r="430">
      <c r="B430" s="7"/>
      <c r="C430" s="62"/>
      <c r="D430" s="62"/>
    </row>
    <row r="431">
      <c r="B431" s="7"/>
      <c r="C431" s="62"/>
      <c r="D431" s="62"/>
    </row>
    <row r="432">
      <c r="B432" s="7"/>
      <c r="C432" s="62"/>
      <c r="D432" s="62"/>
    </row>
    <row r="433">
      <c r="B433" s="7"/>
      <c r="C433" s="62"/>
      <c r="D433" s="62"/>
    </row>
    <row r="434">
      <c r="B434" s="7"/>
      <c r="C434" s="62"/>
      <c r="D434" s="62"/>
    </row>
    <row r="435">
      <c r="B435" s="7"/>
      <c r="C435" s="62"/>
      <c r="D435" s="62"/>
    </row>
    <row r="436">
      <c r="B436" s="7"/>
      <c r="C436" s="62"/>
      <c r="D436" s="62"/>
    </row>
    <row r="437">
      <c r="B437" s="7"/>
      <c r="C437" s="62"/>
      <c r="D437" s="62"/>
    </row>
    <row r="438">
      <c r="B438" s="7"/>
      <c r="C438" s="62"/>
      <c r="D438" s="62"/>
    </row>
    <row r="439">
      <c r="B439" s="7"/>
      <c r="C439" s="62"/>
      <c r="D439" s="62"/>
    </row>
    <row r="440">
      <c r="B440" s="7"/>
      <c r="C440" s="62"/>
      <c r="D440" s="62"/>
    </row>
    <row r="441">
      <c r="B441" s="7"/>
      <c r="C441" s="62"/>
      <c r="D441" s="62"/>
    </row>
    <row r="442">
      <c r="B442" s="7"/>
      <c r="C442" s="62"/>
      <c r="D442" s="62"/>
    </row>
    <row r="443">
      <c r="B443" s="7"/>
      <c r="C443" s="62"/>
      <c r="D443" s="62"/>
    </row>
    <row r="444">
      <c r="B444" s="7"/>
      <c r="C444" s="62"/>
      <c r="D444" s="62"/>
    </row>
    <row r="445">
      <c r="B445" s="7"/>
      <c r="C445" s="62"/>
      <c r="D445" s="62"/>
    </row>
    <row r="446">
      <c r="B446" s="7"/>
      <c r="C446" s="62"/>
      <c r="D446" s="62"/>
    </row>
    <row r="447">
      <c r="B447" s="7"/>
      <c r="C447" s="62"/>
      <c r="D447" s="62"/>
    </row>
    <row r="448">
      <c r="B448" s="7"/>
      <c r="C448" s="62"/>
      <c r="D448" s="62"/>
    </row>
    <row r="449">
      <c r="B449" s="7"/>
      <c r="C449" s="62"/>
      <c r="D449" s="62"/>
    </row>
    <row r="450">
      <c r="B450" s="7"/>
      <c r="C450" s="62"/>
      <c r="D450" s="62"/>
    </row>
    <row r="451">
      <c r="B451" s="7"/>
      <c r="C451" s="62"/>
      <c r="D451" s="62"/>
    </row>
    <row r="452">
      <c r="B452" s="7"/>
      <c r="C452" s="62"/>
      <c r="D452" s="62"/>
    </row>
    <row r="453">
      <c r="B453" s="7"/>
      <c r="C453" s="62"/>
      <c r="D453" s="62"/>
    </row>
    <row r="454">
      <c r="B454" s="7"/>
      <c r="C454" s="62"/>
      <c r="D454" s="62"/>
    </row>
    <row r="455">
      <c r="B455" s="7"/>
      <c r="C455" s="62"/>
      <c r="D455" s="62"/>
    </row>
    <row r="456">
      <c r="B456" s="7"/>
      <c r="C456" s="62"/>
      <c r="D456" s="62"/>
    </row>
    <row r="457">
      <c r="B457" s="7"/>
      <c r="C457" s="62"/>
      <c r="D457" s="62"/>
    </row>
    <row r="458">
      <c r="B458" s="7"/>
      <c r="C458" s="62"/>
      <c r="D458" s="62"/>
    </row>
    <row r="459">
      <c r="B459" s="7"/>
      <c r="C459" s="62"/>
      <c r="D459" s="62"/>
    </row>
    <row r="460">
      <c r="B460" s="7"/>
      <c r="C460" s="62"/>
      <c r="D460" s="62"/>
    </row>
    <row r="461">
      <c r="B461" s="7"/>
      <c r="C461" s="62"/>
      <c r="D461" s="62"/>
    </row>
    <row r="462">
      <c r="B462" s="7"/>
      <c r="C462" s="62"/>
      <c r="D462" s="62"/>
    </row>
    <row r="463">
      <c r="B463" s="7"/>
      <c r="C463" s="62"/>
      <c r="D463" s="62"/>
    </row>
    <row r="464">
      <c r="B464" s="7"/>
      <c r="C464" s="62"/>
      <c r="D464" s="62"/>
    </row>
    <row r="465">
      <c r="B465" s="7"/>
      <c r="C465" s="62"/>
      <c r="D465" s="62"/>
    </row>
    <row r="466">
      <c r="B466" s="7"/>
      <c r="C466" s="62"/>
      <c r="D466" s="62"/>
    </row>
    <row r="467">
      <c r="B467" s="7"/>
      <c r="C467" s="62"/>
      <c r="D467" s="62"/>
    </row>
    <row r="468">
      <c r="B468" s="7"/>
      <c r="C468" s="62"/>
      <c r="D468" s="62"/>
    </row>
    <row r="469">
      <c r="B469" s="7"/>
      <c r="C469" s="62"/>
      <c r="D469" s="62"/>
    </row>
    <row r="470">
      <c r="B470" s="7"/>
      <c r="C470" s="62"/>
      <c r="D470" s="62"/>
    </row>
    <row r="471">
      <c r="B471" s="7"/>
      <c r="C471" s="62"/>
      <c r="D471" s="62"/>
    </row>
    <row r="472">
      <c r="B472" s="7"/>
      <c r="C472" s="62"/>
      <c r="D472" s="62"/>
    </row>
    <row r="473">
      <c r="B473" s="7"/>
      <c r="C473" s="62"/>
      <c r="D473" s="62"/>
    </row>
    <row r="474">
      <c r="B474" s="7"/>
      <c r="C474" s="62"/>
      <c r="D474" s="62"/>
    </row>
    <row r="475">
      <c r="B475" s="7"/>
      <c r="C475" s="62"/>
      <c r="D475" s="62"/>
    </row>
    <row r="476">
      <c r="B476" s="7"/>
      <c r="C476" s="62"/>
      <c r="D476" s="62"/>
    </row>
    <row r="477">
      <c r="B477" s="7"/>
      <c r="C477" s="62"/>
      <c r="D477" s="62"/>
    </row>
    <row r="478">
      <c r="B478" s="7"/>
      <c r="C478" s="62"/>
      <c r="D478" s="62"/>
    </row>
    <row r="479">
      <c r="B479" s="7"/>
      <c r="C479" s="62"/>
      <c r="D479" s="62"/>
    </row>
    <row r="480">
      <c r="B480" s="7"/>
      <c r="C480" s="62"/>
      <c r="D480" s="62"/>
    </row>
    <row r="481">
      <c r="B481" s="7"/>
      <c r="C481" s="62"/>
      <c r="D481" s="62"/>
    </row>
    <row r="482">
      <c r="B482" s="7"/>
      <c r="C482" s="62"/>
      <c r="D482" s="62"/>
    </row>
    <row r="483">
      <c r="B483" s="7"/>
      <c r="C483" s="62"/>
      <c r="D483" s="62"/>
    </row>
    <row r="484">
      <c r="B484" s="7"/>
      <c r="C484" s="62"/>
      <c r="D484" s="62"/>
    </row>
    <row r="485">
      <c r="B485" s="7"/>
      <c r="C485" s="62"/>
      <c r="D485" s="62"/>
    </row>
    <row r="486">
      <c r="B486" s="7"/>
      <c r="C486" s="62"/>
      <c r="D486" s="62"/>
    </row>
    <row r="487">
      <c r="B487" s="7"/>
      <c r="C487" s="62"/>
      <c r="D487" s="62"/>
    </row>
    <row r="488">
      <c r="B488" s="7"/>
      <c r="C488" s="62"/>
      <c r="D488" s="62"/>
    </row>
    <row r="489">
      <c r="B489" s="7"/>
      <c r="C489" s="62"/>
      <c r="D489" s="62"/>
    </row>
    <row r="490">
      <c r="B490" s="7"/>
      <c r="C490" s="62"/>
      <c r="D490" s="62"/>
    </row>
    <row r="491">
      <c r="B491" s="7"/>
      <c r="C491" s="62"/>
      <c r="D491" s="62"/>
    </row>
    <row r="492">
      <c r="B492" s="7"/>
      <c r="C492" s="62"/>
      <c r="D492" s="62"/>
    </row>
    <row r="493">
      <c r="B493" s="7"/>
      <c r="C493" s="62"/>
      <c r="D493" s="62"/>
    </row>
    <row r="494">
      <c r="B494" s="7"/>
      <c r="C494" s="62"/>
      <c r="D494" s="62"/>
    </row>
    <row r="495">
      <c r="B495" s="7"/>
      <c r="C495" s="62"/>
      <c r="D495" s="62"/>
    </row>
    <row r="496">
      <c r="B496" s="7"/>
      <c r="C496" s="62"/>
      <c r="D496" s="62"/>
    </row>
    <row r="497">
      <c r="B497" s="7"/>
      <c r="C497" s="62"/>
      <c r="D497" s="62"/>
    </row>
    <row r="498">
      <c r="B498" s="7"/>
      <c r="C498" s="62"/>
      <c r="D498" s="62"/>
    </row>
    <row r="499">
      <c r="B499" s="7"/>
      <c r="C499" s="62"/>
      <c r="D499" s="62"/>
    </row>
    <row r="500">
      <c r="B500" s="7"/>
      <c r="C500" s="62"/>
      <c r="D500" s="62"/>
    </row>
    <row r="501">
      <c r="B501" s="7"/>
      <c r="C501" s="62"/>
      <c r="D501" s="62"/>
    </row>
    <row r="502">
      <c r="B502" s="7"/>
      <c r="C502" s="62"/>
      <c r="D502" s="62"/>
    </row>
    <row r="503">
      <c r="B503" s="7"/>
      <c r="C503" s="62"/>
      <c r="D503" s="62"/>
    </row>
    <row r="504">
      <c r="B504" s="7"/>
      <c r="C504" s="62"/>
      <c r="D504" s="62"/>
    </row>
    <row r="505">
      <c r="B505" s="7"/>
      <c r="C505" s="62"/>
      <c r="D505" s="62"/>
    </row>
    <row r="506">
      <c r="B506" s="7"/>
      <c r="C506" s="62"/>
      <c r="D506" s="62"/>
    </row>
    <row r="507">
      <c r="B507" s="7"/>
      <c r="C507" s="62"/>
      <c r="D507" s="62"/>
    </row>
    <row r="508">
      <c r="B508" s="7"/>
      <c r="C508" s="62"/>
      <c r="D508" s="62"/>
    </row>
    <row r="509">
      <c r="B509" s="7"/>
      <c r="C509" s="62"/>
      <c r="D509" s="62"/>
    </row>
    <row r="510">
      <c r="B510" s="7"/>
      <c r="C510" s="62"/>
      <c r="D510" s="62"/>
    </row>
    <row r="511">
      <c r="B511" s="7"/>
      <c r="C511" s="62"/>
      <c r="D511" s="62"/>
    </row>
    <row r="512">
      <c r="B512" s="7"/>
      <c r="C512" s="62"/>
      <c r="D512" s="62"/>
    </row>
    <row r="513">
      <c r="B513" s="7"/>
      <c r="C513" s="62"/>
      <c r="D513" s="62"/>
    </row>
    <row r="514">
      <c r="B514" s="7"/>
      <c r="C514" s="62"/>
      <c r="D514" s="62"/>
    </row>
    <row r="515">
      <c r="B515" s="7"/>
      <c r="C515" s="62"/>
      <c r="D515" s="62"/>
    </row>
    <row r="516">
      <c r="B516" s="7"/>
      <c r="C516" s="62"/>
      <c r="D516" s="62"/>
    </row>
    <row r="517">
      <c r="B517" s="7"/>
      <c r="C517" s="62"/>
      <c r="D517" s="62"/>
    </row>
    <row r="518">
      <c r="B518" s="7"/>
      <c r="C518" s="62"/>
      <c r="D518" s="62"/>
    </row>
    <row r="519">
      <c r="B519" s="7"/>
      <c r="C519" s="62"/>
      <c r="D519" s="62"/>
    </row>
    <row r="520">
      <c r="B520" s="7"/>
      <c r="C520" s="62"/>
      <c r="D520" s="62"/>
    </row>
    <row r="521">
      <c r="B521" s="7"/>
      <c r="C521" s="62"/>
      <c r="D521" s="62"/>
    </row>
    <row r="522">
      <c r="B522" s="7"/>
      <c r="C522" s="62"/>
      <c r="D522" s="62"/>
    </row>
    <row r="523">
      <c r="B523" s="7"/>
      <c r="C523" s="62"/>
      <c r="D523" s="62"/>
    </row>
    <row r="524">
      <c r="B524" s="7"/>
      <c r="C524" s="62"/>
      <c r="D524" s="62"/>
    </row>
    <row r="525">
      <c r="B525" s="7"/>
      <c r="C525" s="62"/>
      <c r="D525" s="62"/>
    </row>
    <row r="526">
      <c r="B526" s="7"/>
      <c r="C526" s="62"/>
      <c r="D526" s="62"/>
    </row>
    <row r="527">
      <c r="B527" s="7"/>
      <c r="C527" s="62"/>
      <c r="D527" s="62"/>
    </row>
    <row r="528">
      <c r="B528" s="7"/>
      <c r="C528" s="62"/>
      <c r="D528" s="62"/>
    </row>
    <row r="529">
      <c r="B529" s="7"/>
      <c r="C529" s="62"/>
      <c r="D529" s="62"/>
    </row>
    <row r="530">
      <c r="B530" s="7"/>
      <c r="C530" s="62"/>
      <c r="D530" s="62"/>
    </row>
    <row r="531">
      <c r="B531" s="7"/>
      <c r="C531" s="62"/>
      <c r="D531" s="62"/>
    </row>
    <row r="532">
      <c r="B532" s="7"/>
      <c r="C532" s="62"/>
      <c r="D532" s="62"/>
    </row>
    <row r="533">
      <c r="B533" s="7"/>
      <c r="C533" s="62"/>
      <c r="D533" s="62"/>
    </row>
    <row r="534">
      <c r="B534" s="7"/>
      <c r="C534" s="62"/>
      <c r="D534" s="62"/>
    </row>
    <row r="535">
      <c r="B535" s="7"/>
      <c r="C535" s="62"/>
      <c r="D535" s="62"/>
    </row>
    <row r="536">
      <c r="B536" s="7"/>
      <c r="C536" s="62"/>
      <c r="D536" s="62"/>
    </row>
    <row r="537">
      <c r="B537" s="7"/>
      <c r="C537" s="62"/>
      <c r="D537" s="62"/>
    </row>
    <row r="538">
      <c r="B538" s="7"/>
      <c r="C538" s="62"/>
      <c r="D538" s="62"/>
    </row>
    <row r="539">
      <c r="B539" s="7"/>
      <c r="C539" s="62"/>
      <c r="D539" s="62"/>
    </row>
    <row r="540">
      <c r="B540" s="7"/>
      <c r="C540" s="62"/>
      <c r="D540" s="62"/>
    </row>
    <row r="541">
      <c r="B541" s="7"/>
      <c r="C541" s="62"/>
      <c r="D541" s="62"/>
    </row>
    <row r="542">
      <c r="B542" s="7"/>
      <c r="C542" s="62"/>
      <c r="D542" s="62"/>
    </row>
    <row r="543">
      <c r="B543" s="7"/>
      <c r="C543" s="62"/>
      <c r="D543" s="62"/>
    </row>
    <row r="544">
      <c r="B544" s="7"/>
      <c r="C544" s="62"/>
      <c r="D544" s="62"/>
    </row>
    <row r="545">
      <c r="B545" s="7"/>
      <c r="C545" s="62"/>
      <c r="D545" s="62"/>
    </row>
    <row r="546">
      <c r="B546" s="7"/>
      <c r="C546" s="62"/>
      <c r="D546" s="62"/>
    </row>
    <row r="547">
      <c r="B547" s="7"/>
      <c r="C547" s="62"/>
      <c r="D547" s="62"/>
    </row>
    <row r="548">
      <c r="B548" s="7"/>
      <c r="C548" s="62"/>
      <c r="D548" s="62"/>
    </row>
    <row r="549">
      <c r="B549" s="7"/>
      <c r="C549" s="62"/>
      <c r="D549" s="62"/>
    </row>
    <row r="550">
      <c r="B550" s="7"/>
      <c r="C550" s="62"/>
      <c r="D550" s="62"/>
    </row>
    <row r="551">
      <c r="B551" s="7"/>
      <c r="C551" s="62"/>
      <c r="D551" s="62"/>
    </row>
    <row r="552">
      <c r="B552" s="7"/>
      <c r="C552" s="62"/>
      <c r="D552" s="62"/>
    </row>
    <row r="553">
      <c r="B553" s="7"/>
      <c r="C553" s="62"/>
      <c r="D553" s="62"/>
    </row>
    <row r="554">
      <c r="B554" s="7"/>
      <c r="C554" s="62"/>
      <c r="D554" s="62"/>
    </row>
    <row r="555">
      <c r="B555" s="7"/>
      <c r="C555" s="62"/>
      <c r="D555" s="62"/>
    </row>
    <row r="556">
      <c r="B556" s="7"/>
      <c r="C556" s="62"/>
      <c r="D556" s="62"/>
    </row>
    <row r="557">
      <c r="B557" s="7"/>
      <c r="C557" s="62"/>
      <c r="D557" s="62"/>
    </row>
    <row r="558">
      <c r="B558" s="7"/>
      <c r="C558" s="62"/>
      <c r="D558" s="62"/>
    </row>
    <row r="559">
      <c r="B559" s="7"/>
      <c r="C559" s="62"/>
      <c r="D559" s="62"/>
    </row>
    <row r="560">
      <c r="B560" s="7"/>
      <c r="C560" s="62"/>
      <c r="D560" s="62"/>
    </row>
    <row r="561">
      <c r="B561" s="7"/>
      <c r="C561" s="62"/>
      <c r="D561" s="62"/>
    </row>
    <row r="562">
      <c r="B562" s="7"/>
      <c r="C562" s="62"/>
      <c r="D562" s="62"/>
    </row>
    <row r="563">
      <c r="B563" s="7"/>
      <c r="C563" s="62"/>
      <c r="D563" s="62"/>
    </row>
    <row r="564">
      <c r="B564" s="7"/>
      <c r="C564" s="62"/>
      <c r="D564" s="62"/>
    </row>
    <row r="565">
      <c r="B565" s="7"/>
      <c r="C565" s="62"/>
      <c r="D565" s="62"/>
    </row>
    <row r="566">
      <c r="B566" s="7"/>
      <c r="C566" s="62"/>
      <c r="D566" s="62"/>
    </row>
    <row r="567">
      <c r="B567" s="7"/>
      <c r="C567" s="62"/>
      <c r="D567" s="62"/>
    </row>
    <row r="568">
      <c r="B568" s="7"/>
      <c r="C568" s="62"/>
      <c r="D568" s="62"/>
    </row>
    <row r="569">
      <c r="B569" s="7"/>
      <c r="C569" s="62"/>
      <c r="D569" s="62"/>
    </row>
    <row r="570">
      <c r="B570" s="7"/>
      <c r="C570" s="62"/>
      <c r="D570" s="62"/>
    </row>
    <row r="571">
      <c r="B571" s="7"/>
      <c r="C571" s="62"/>
      <c r="D571" s="62"/>
    </row>
    <row r="572">
      <c r="B572" s="7"/>
      <c r="C572" s="62"/>
      <c r="D572" s="62"/>
    </row>
    <row r="573">
      <c r="B573" s="7"/>
      <c r="C573" s="62"/>
      <c r="D573" s="62"/>
    </row>
    <row r="574">
      <c r="B574" s="7"/>
      <c r="C574" s="62"/>
      <c r="D574" s="62"/>
    </row>
    <row r="575">
      <c r="B575" s="7"/>
      <c r="C575" s="62"/>
      <c r="D575" s="62"/>
    </row>
    <row r="576">
      <c r="B576" s="7"/>
      <c r="C576" s="62"/>
      <c r="D576" s="62"/>
    </row>
    <row r="577">
      <c r="B577" s="7"/>
      <c r="C577" s="62"/>
      <c r="D577" s="62"/>
    </row>
    <row r="578">
      <c r="B578" s="7"/>
      <c r="C578" s="62"/>
      <c r="D578" s="62"/>
    </row>
    <row r="579">
      <c r="B579" s="7"/>
      <c r="C579" s="62"/>
      <c r="D579" s="62"/>
    </row>
    <row r="580">
      <c r="B580" s="7"/>
      <c r="C580" s="62"/>
      <c r="D580" s="62"/>
    </row>
    <row r="581">
      <c r="B581" s="7"/>
      <c r="C581" s="62"/>
      <c r="D581" s="62"/>
    </row>
    <row r="582">
      <c r="B582" s="7"/>
      <c r="C582" s="62"/>
      <c r="D582" s="62"/>
    </row>
    <row r="583">
      <c r="B583" s="7"/>
      <c r="C583" s="62"/>
      <c r="D583" s="62"/>
    </row>
    <row r="584">
      <c r="B584" s="7"/>
      <c r="C584" s="62"/>
      <c r="D584" s="62"/>
    </row>
    <row r="585">
      <c r="B585" s="7"/>
      <c r="C585" s="62"/>
      <c r="D585" s="62"/>
    </row>
    <row r="586">
      <c r="B586" s="7"/>
      <c r="C586" s="62"/>
      <c r="D586" s="62"/>
    </row>
    <row r="587">
      <c r="B587" s="7"/>
      <c r="C587" s="62"/>
      <c r="D587" s="62"/>
    </row>
    <row r="588">
      <c r="B588" s="7"/>
      <c r="C588" s="62"/>
      <c r="D588" s="62"/>
    </row>
    <row r="589">
      <c r="B589" s="7"/>
      <c r="C589" s="62"/>
      <c r="D589" s="62"/>
    </row>
    <row r="590">
      <c r="B590" s="7"/>
      <c r="C590" s="62"/>
      <c r="D590" s="62"/>
    </row>
    <row r="591">
      <c r="B591" s="7"/>
      <c r="C591" s="62"/>
      <c r="D591" s="62"/>
    </row>
    <row r="592">
      <c r="B592" s="7"/>
      <c r="C592" s="62"/>
      <c r="D592" s="62"/>
    </row>
    <row r="593">
      <c r="B593" s="7"/>
      <c r="C593" s="62"/>
      <c r="D593" s="62"/>
    </row>
    <row r="594">
      <c r="B594" s="7"/>
      <c r="C594" s="62"/>
      <c r="D594" s="62"/>
    </row>
    <row r="595">
      <c r="B595" s="7"/>
      <c r="C595" s="62"/>
      <c r="D595" s="62"/>
    </row>
    <row r="596">
      <c r="B596" s="7"/>
      <c r="C596" s="62"/>
      <c r="D596" s="62"/>
    </row>
    <row r="597">
      <c r="B597" s="7"/>
      <c r="C597" s="62"/>
      <c r="D597" s="62"/>
    </row>
    <row r="598">
      <c r="B598" s="7"/>
      <c r="C598" s="62"/>
      <c r="D598" s="62"/>
    </row>
    <row r="599">
      <c r="B599" s="7"/>
      <c r="C599" s="62"/>
      <c r="D599" s="62"/>
    </row>
    <row r="600">
      <c r="B600" s="7"/>
      <c r="C600" s="62"/>
      <c r="D600" s="62"/>
    </row>
    <row r="601">
      <c r="B601" s="7"/>
      <c r="C601" s="62"/>
      <c r="D601" s="62"/>
    </row>
    <row r="602">
      <c r="B602" s="7"/>
      <c r="C602" s="62"/>
      <c r="D602" s="62"/>
    </row>
    <row r="603">
      <c r="B603" s="7"/>
      <c r="C603" s="62"/>
      <c r="D603" s="62"/>
    </row>
    <row r="604">
      <c r="B604" s="7"/>
      <c r="C604" s="62"/>
      <c r="D604" s="62"/>
    </row>
    <row r="605">
      <c r="B605" s="7"/>
      <c r="C605" s="62"/>
      <c r="D605" s="62"/>
    </row>
    <row r="606">
      <c r="B606" s="7"/>
      <c r="C606" s="62"/>
      <c r="D606" s="62"/>
    </row>
    <row r="607">
      <c r="B607" s="7"/>
      <c r="C607" s="62"/>
      <c r="D607" s="62"/>
    </row>
    <row r="608">
      <c r="B608" s="7"/>
      <c r="C608" s="62"/>
      <c r="D608" s="62"/>
    </row>
    <row r="609">
      <c r="B609" s="7"/>
      <c r="C609" s="62"/>
      <c r="D609" s="62"/>
    </row>
    <row r="610">
      <c r="B610" s="7"/>
      <c r="C610" s="62"/>
      <c r="D610" s="62"/>
    </row>
    <row r="611">
      <c r="B611" s="7"/>
      <c r="C611" s="62"/>
      <c r="D611" s="62"/>
    </row>
    <row r="612">
      <c r="B612" s="7"/>
      <c r="C612" s="62"/>
      <c r="D612" s="62"/>
    </row>
    <row r="613">
      <c r="B613" s="7"/>
      <c r="C613" s="62"/>
      <c r="D613" s="62"/>
    </row>
    <row r="614">
      <c r="B614" s="7"/>
      <c r="C614" s="62"/>
      <c r="D614" s="62"/>
    </row>
    <row r="615">
      <c r="B615" s="7"/>
      <c r="C615" s="62"/>
      <c r="D615" s="62"/>
    </row>
    <row r="616">
      <c r="B616" s="7"/>
      <c r="C616" s="62"/>
      <c r="D616" s="62"/>
    </row>
    <row r="617">
      <c r="B617" s="7"/>
      <c r="C617" s="62"/>
      <c r="D617" s="62"/>
    </row>
    <row r="618">
      <c r="B618" s="7"/>
      <c r="C618" s="62"/>
      <c r="D618" s="62"/>
    </row>
    <row r="619">
      <c r="B619" s="7"/>
      <c r="C619" s="62"/>
      <c r="D619" s="62"/>
    </row>
    <row r="620">
      <c r="B620" s="7"/>
      <c r="C620" s="62"/>
      <c r="D620" s="62"/>
    </row>
    <row r="621">
      <c r="B621" s="7"/>
      <c r="C621" s="62"/>
      <c r="D621" s="62"/>
    </row>
    <row r="622">
      <c r="B622" s="7"/>
      <c r="C622" s="62"/>
      <c r="D622" s="62"/>
    </row>
    <row r="623">
      <c r="B623" s="7"/>
      <c r="C623" s="62"/>
      <c r="D623" s="62"/>
    </row>
    <row r="624">
      <c r="B624" s="7"/>
      <c r="C624" s="62"/>
      <c r="D624" s="62"/>
    </row>
    <row r="625">
      <c r="B625" s="7"/>
      <c r="C625" s="62"/>
      <c r="D625" s="62"/>
    </row>
    <row r="626">
      <c r="B626" s="7"/>
      <c r="C626" s="62"/>
      <c r="D626" s="62"/>
    </row>
    <row r="627">
      <c r="B627" s="7"/>
      <c r="C627" s="62"/>
      <c r="D627" s="62"/>
    </row>
    <row r="628">
      <c r="B628" s="7"/>
      <c r="C628" s="62"/>
      <c r="D628" s="62"/>
    </row>
    <row r="629">
      <c r="B629" s="7"/>
      <c r="C629" s="62"/>
      <c r="D629" s="62"/>
    </row>
    <row r="630">
      <c r="B630" s="7"/>
      <c r="C630" s="62"/>
      <c r="D630" s="62"/>
    </row>
    <row r="631">
      <c r="B631" s="7"/>
      <c r="C631" s="62"/>
      <c r="D631" s="62"/>
    </row>
    <row r="632">
      <c r="B632" s="7"/>
      <c r="C632" s="62"/>
      <c r="D632" s="62"/>
    </row>
    <row r="633">
      <c r="B633" s="7"/>
      <c r="C633" s="62"/>
      <c r="D633" s="62"/>
    </row>
    <row r="634">
      <c r="B634" s="7"/>
      <c r="C634" s="62"/>
      <c r="D634" s="62"/>
    </row>
    <row r="635">
      <c r="B635" s="7"/>
      <c r="C635" s="62"/>
      <c r="D635" s="62"/>
    </row>
    <row r="636">
      <c r="B636" s="7"/>
      <c r="C636" s="62"/>
      <c r="D636" s="62"/>
    </row>
    <row r="637">
      <c r="B637" s="7"/>
      <c r="C637" s="62"/>
      <c r="D637" s="62"/>
    </row>
    <row r="638">
      <c r="B638" s="7"/>
      <c r="C638" s="62"/>
      <c r="D638" s="62"/>
    </row>
    <row r="639">
      <c r="B639" s="7"/>
      <c r="C639" s="62"/>
      <c r="D639" s="62"/>
    </row>
    <row r="640">
      <c r="B640" s="7"/>
      <c r="C640" s="62"/>
      <c r="D640" s="62"/>
    </row>
    <row r="641">
      <c r="B641" s="7"/>
      <c r="C641" s="62"/>
      <c r="D641" s="62"/>
    </row>
    <row r="642">
      <c r="B642" s="7"/>
      <c r="C642" s="62"/>
      <c r="D642" s="62"/>
    </row>
    <row r="643">
      <c r="B643" s="7"/>
      <c r="C643" s="62"/>
      <c r="D643" s="62"/>
    </row>
    <row r="644">
      <c r="B644" s="7"/>
      <c r="C644" s="62"/>
      <c r="D644" s="62"/>
    </row>
    <row r="645">
      <c r="B645" s="7"/>
      <c r="C645" s="62"/>
      <c r="D645" s="62"/>
    </row>
    <row r="646">
      <c r="B646" s="7"/>
      <c r="C646" s="62"/>
      <c r="D646" s="62"/>
    </row>
    <row r="647">
      <c r="B647" s="7"/>
      <c r="C647" s="62"/>
      <c r="D647" s="62"/>
    </row>
    <row r="648">
      <c r="B648" s="7"/>
      <c r="C648" s="62"/>
      <c r="D648" s="62"/>
    </row>
    <row r="649">
      <c r="B649" s="7"/>
      <c r="C649" s="62"/>
      <c r="D649" s="62"/>
    </row>
    <row r="650">
      <c r="B650" s="7"/>
      <c r="C650" s="62"/>
      <c r="D650" s="62"/>
    </row>
    <row r="651">
      <c r="B651" s="7"/>
      <c r="C651" s="62"/>
      <c r="D651" s="62"/>
    </row>
    <row r="652">
      <c r="B652" s="7"/>
      <c r="C652" s="62"/>
      <c r="D652" s="62"/>
    </row>
    <row r="653">
      <c r="B653" s="7"/>
      <c r="C653" s="62"/>
      <c r="D653" s="62"/>
    </row>
    <row r="654">
      <c r="B654" s="7"/>
      <c r="C654" s="62"/>
      <c r="D654" s="62"/>
    </row>
    <row r="655">
      <c r="B655" s="7"/>
      <c r="C655" s="62"/>
      <c r="D655" s="62"/>
    </row>
    <row r="656">
      <c r="B656" s="7"/>
      <c r="C656" s="62"/>
      <c r="D656" s="62"/>
    </row>
    <row r="657">
      <c r="B657" s="7"/>
      <c r="C657" s="62"/>
      <c r="D657" s="62"/>
    </row>
    <row r="658">
      <c r="B658" s="7"/>
      <c r="C658" s="62"/>
      <c r="D658" s="62"/>
    </row>
    <row r="659">
      <c r="B659" s="7"/>
      <c r="C659" s="62"/>
      <c r="D659" s="62"/>
    </row>
    <row r="660">
      <c r="B660" s="7"/>
      <c r="C660" s="62"/>
      <c r="D660" s="62"/>
    </row>
    <row r="661">
      <c r="B661" s="7"/>
      <c r="C661" s="62"/>
      <c r="D661" s="62"/>
    </row>
    <row r="662">
      <c r="B662" s="7"/>
      <c r="C662" s="62"/>
      <c r="D662" s="62"/>
    </row>
    <row r="663">
      <c r="B663" s="7"/>
      <c r="C663" s="62"/>
      <c r="D663" s="62"/>
    </row>
    <row r="664">
      <c r="B664" s="7"/>
      <c r="C664" s="62"/>
      <c r="D664" s="62"/>
    </row>
    <row r="665">
      <c r="B665" s="7"/>
      <c r="C665" s="62"/>
      <c r="D665" s="62"/>
    </row>
    <row r="666">
      <c r="B666" s="7"/>
      <c r="C666" s="62"/>
      <c r="D666" s="62"/>
    </row>
    <row r="667">
      <c r="B667" s="7"/>
      <c r="C667" s="62"/>
      <c r="D667" s="62"/>
    </row>
    <row r="668">
      <c r="B668" s="7"/>
      <c r="C668" s="62"/>
      <c r="D668" s="62"/>
    </row>
    <row r="669">
      <c r="B669" s="7"/>
      <c r="C669" s="62"/>
      <c r="D669" s="62"/>
    </row>
    <row r="670">
      <c r="B670" s="7"/>
      <c r="C670" s="62"/>
      <c r="D670" s="62"/>
    </row>
    <row r="671">
      <c r="B671" s="7"/>
      <c r="C671" s="62"/>
      <c r="D671" s="62"/>
    </row>
    <row r="672">
      <c r="B672" s="7"/>
      <c r="C672" s="62"/>
      <c r="D672" s="62"/>
    </row>
    <row r="673">
      <c r="B673" s="7"/>
      <c r="C673" s="62"/>
      <c r="D673" s="62"/>
    </row>
    <row r="674">
      <c r="B674" s="7"/>
      <c r="C674" s="62"/>
      <c r="D674" s="62"/>
    </row>
    <row r="675">
      <c r="B675" s="7"/>
      <c r="C675" s="62"/>
      <c r="D675" s="62"/>
    </row>
    <row r="676">
      <c r="B676" s="7"/>
      <c r="C676" s="62"/>
      <c r="D676" s="62"/>
    </row>
    <row r="677">
      <c r="B677" s="7"/>
      <c r="C677" s="62"/>
      <c r="D677" s="62"/>
    </row>
    <row r="678">
      <c r="B678" s="7"/>
      <c r="C678" s="62"/>
      <c r="D678" s="62"/>
    </row>
    <row r="679">
      <c r="B679" s="7"/>
      <c r="C679" s="62"/>
      <c r="D679" s="62"/>
    </row>
    <row r="680">
      <c r="B680" s="7"/>
      <c r="C680" s="62"/>
      <c r="D680" s="62"/>
    </row>
    <row r="681">
      <c r="B681" s="7"/>
      <c r="C681" s="62"/>
      <c r="D681" s="62"/>
    </row>
    <row r="682">
      <c r="B682" s="7"/>
      <c r="C682" s="62"/>
      <c r="D682" s="62"/>
    </row>
    <row r="683">
      <c r="B683" s="7"/>
      <c r="C683" s="62"/>
      <c r="D683" s="62"/>
    </row>
    <row r="684">
      <c r="B684" s="7"/>
      <c r="C684" s="62"/>
      <c r="D684" s="62"/>
    </row>
    <row r="685">
      <c r="B685" s="7"/>
      <c r="C685" s="62"/>
      <c r="D685" s="62"/>
    </row>
    <row r="686">
      <c r="B686" s="7"/>
      <c r="C686" s="62"/>
      <c r="D686" s="62"/>
    </row>
    <row r="687">
      <c r="B687" s="7"/>
      <c r="C687" s="62"/>
      <c r="D687" s="62"/>
    </row>
    <row r="688">
      <c r="B688" s="7"/>
      <c r="C688" s="62"/>
      <c r="D688" s="62"/>
    </row>
    <row r="689">
      <c r="B689" s="7"/>
      <c r="C689" s="62"/>
      <c r="D689" s="62"/>
    </row>
    <row r="690">
      <c r="B690" s="7"/>
      <c r="C690" s="62"/>
      <c r="D690" s="62"/>
    </row>
    <row r="691">
      <c r="B691" s="7"/>
      <c r="C691" s="62"/>
      <c r="D691" s="62"/>
    </row>
    <row r="692">
      <c r="B692" s="7"/>
      <c r="C692" s="62"/>
      <c r="D692" s="62"/>
    </row>
    <row r="693">
      <c r="B693" s="7"/>
      <c r="C693" s="62"/>
      <c r="D693" s="62"/>
    </row>
    <row r="694">
      <c r="B694" s="7"/>
      <c r="C694" s="62"/>
      <c r="D694" s="62"/>
    </row>
    <row r="695">
      <c r="B695" s="7"/>
      <c r="C695" s="62"/>
      <c r="D695" s="62"/>
    </row>
    <row r="696">
      <c r="B696" s="7"/>
      <c r="C696" s="62"/>
      <c r="D696" s="62"/>
    </row>
    <row r="697">
      <c r="B697" s="7"/>
      <c r="C697" s="62"/>
      <c r="D697" s="62"/>
    </row>
    <row r="698">
      <c r="B698" s="7"/>
      <c r="C698" s="62"/>
      <c r="D698" s="62"/>
    </row>
    <row r="699">
      <c r="B699" s="7"/>
      <c r="C699" s="62"/>
      <c r="D699" s="62"/>
    </row>
    <row r="700">
      <c r="B700" s="7"/>
      <c r="C700" s="62"/>
      <c r="D700" s="62"/>
    </row>
    <row r="701">
      <c r="B701" s="7"/>
      <c r="C701" s="62"/>
      <c r="D701" s="62"/>
    </row>
    <row r="702">
      <c r="B702" s="7"/>
      <c r="C702" s="62"/>
      <c r="D702" s="62"/>
    </row>
    <row r="703">
      <c r="B703" s="7"/>
      <c r="C703" s="62"/>
      <c r="D703" s="62"/>
    </row>
    <row r="704">
      <c r="B704" s="7"/>
      <c r="C704" s="62"/>
      <c r="D704" s="62"/>
    </row>
    <row r="705">
      <c r="B705" s="7"/>
      <c r="C705" s="62"/>
      <c r="D705" s="62"/>
    </row>
    <row r="706">
      <c r="B706" s="7"/>
      <c r="C706" s="62"/>
      <c r="D706" s="62"/>
    </row>
    <row r="707">
      <c r="B707" s="7"/>
      <c r="C707" s="62"/>
      <c r="D707" s="62"/>
    </row>
    <row r="708">
      <c r="B708" s="7"/>
      <c r="C708" s="62"/>
      <c r="D708" s="62"/>
    </row>
    <row r="709">
      <c r="B709" s="7"/>
      <c r="C709" s="62"/>
      <c r="D709" s="62"/>
    </row>
    <row r="710">
      <c r="B710" s="7"/>
      <c r="C710" s="62"/>
      <c r="D710" s="62"/>
    </row>
    <row r="711">
      <c r="B711" s="7"/>
      <c r="C711" s="62"/>
      <c r="D711" s="62"/>
    </row>
    <row r="712">
      <c r="B712" s="7"/>
      <c r="C712" s="62"/>
      <c r="D712" s="62"/>
    </row>
    <row r="713">
      <c r="B713" s="7"/>
      <c r="C713" s="62"/>
      <c r="D713" s="62"/>
    </row>
    <row r="714">
      <c r="B714" s="7"/>
      <c r="C714" s="62"/>
      <c r="D714" s="62"/>
    </row>
    <row r="715">
      <c r="B715" s="7"/>
      <c r="C715" s="62"/>
      <c r="D715" s="62"/>
    </row>
    <row r="716">
      <c r="B716" s="7"/>
      <c r="C716" s="62"/>
      <c r="D716" s="62"/>
    </row>
    <row r="717">
      <c r="B717" s="7"/>
      <c r="C717" s="62"/>
      <c r="D717" s="62"/>
    </row>
    <row r="718">
      <c r="B718" s="7"/>
      <c r="C718" s="62"/>
      <c r="D718" s="62"/>
    </row>
    <row r="719">
      <c r="B719" s="7"/>
      <c r="C719" s="62"/>
      <c r="D719" s="62"/>
    </row>
    <row r="720">
      <c r="B720" s="7"/>
      <c r="C720" s="62"/>
      <c r="D720" s="62"/>
    </row>
    <row r="721">
      <c r="B721" s="7"/>
      <c r="C721" s="62"/>
      <c r="D721" s="62"/>
    </row>
    <row r="722">
      <c r="B722" s="7"/>
      <c r="C722" s="62"/>
      <c r="D722" s="62"/>
    </row>
    <row r="723">
      <c r="B723" s="7"/>
      <c r="C723" s="62"/>
      <c r="D723" s="62"/>
    </row>
    <row r="724">
      <c r="B724" s="7"/>
      <c r="C724" s="62"/>
      <c r="D724" s="62"/>
    </row>
    <row r="725">
      <c r="B725" s="7"/>
      <c r="C725" s="62"/>
      <c r="D725" s="62"/>
    </row>
    <row r="726">
      <c r="B726" s="7"/>
      <c r="C726" s="62"/>
      <c r="D726" s="62"/>
    </row>
    <row r="727">
      <c r="B727" s="7"/>
      <c r="C727" s="62"/>
      <c r="D727" s="62"/>
    </row>
    <row r="728">
      <c r="B728" s="7"/>
      <c r="C728" s="62"/>
      <c r="D728" s="62"/>
    </row>
    <row r="729">
      <c r="B729" s="7"/>
      <c r="C729" s="62"/>
      <c r="D729" s="62"/>
    </row>
    <row r="730">
      <c r="B730" s="7"/>
      <c r="C730" s="62"/>
      <c r="D730" s="62"/>
    </row>
    <row r="731">
      <c r="B731" s="7"/>
      <c r="C731" s="62"/>
      <c r="D731" s="62"/>
    </row>
    <row r="732">
      <c r="B732" s="7"/>
      <c r="C732" s="62"/>
      <c r="D732" s="62"/>
    </row>
    <row r="733">
      <c r="B733" s="7"/>
      <c r="C733" s="62"/>
      <c r="D733" s="62"/>
    </row>
    <row r="734">
      <c r="B734" s="7"/>
      <c r="C734" s="62"/>
      <c r="D734" s="62"/>
    </row>
    <row r="735">
      <c r="B735" s="7"/>
      <c r="C735" s="62"/>
      <c r="D735" s="62"/>
    </row>
    <row r="736">
      <c r="B736" s="7"/>
      <c r="C736" s="62"/>
      <c r="D736" s="62"/>
    </row>
    <row r="737">
      <c r="B737" s="7"/>
      <c r="C737" s="62"/>
      <c r="D737" s="62"/>
    </row>
    <row r="738">
      <c r="B738" s="7"/>
      <c r="C738" s="62"/>
      <c r="D738" s="62"/>
    </row>
    <row r="739">
      <c r="B739" s="7"/>
      <c r="C739" s="62"/>
      <c r="D739" s="62"/>
    </row>
    <row r="740">
      <c r="B740" s="7"/>
      <c r="C740" s="62"/>
      <c r="D740" s="62"/>
    </row>
    <row r="741">
      <c r="B741" s="7"/>
      <c r="C741" s="62"/>
      <c r="D741" s="62"/>
    </row>
    <row r="742">
      <c r="B742" s="7"/>
      <c r="C742" s="62"/>
      <c r="D742" s="62"/>
    </row>
    <row r="743">
      <c r="B743" s="7"/>
      <c r="C743" s="62"/>
      <c r="D743" s="62"/>
    </row>
    <row r="744">
      <c r="B744" s="7"/>
      <c r="C744" s="62"/>
      <c r="D744" s="62"/>
    </row>
    <row r="745">
      <c r="B745" s="7"/>
      <c r="C745" s="62"/>
      <c r="D745" s="62"/>
    </row>
    <row r="746">
      <c r="B746" s="7"/>
      <c r="C746" s="62"/>
      <c r="D746" s="62"/>
    </row>
    <row r="747">
      <c r="B747" s="7"/>
      <c r="C747" s="62"/>
      <c r="D747" s="62"/>
    </row>
    <row r="748">
      <c r="B748" s="7"/>
      <c r="C748" s="62"/>
      <c r="D748" s="62"/>
    </row>
    <row r="749">
      <c r="B749" s="7"/>
      <c r="C749" s="62"/>
      <c r="D749" s="62"/>
    </row>
    <row r="750">
      <c r="B750" s="7"/>
      <c r="C750" s="62"/>
      <c r="D750" s="62"/>
    </row>
    <row r="751">
      <c r="B751" s="7"/>
      <c r="C751" s="62"/>
      <c r="D751" s="62"/>
    </row>
    <row r="752">
      <c r="B752" s="7"/>
      <c r="C752" s="62"/>
      <c r="D752" s="62"/>
    </row>
    <row r="753">
      <c r="B753" s="7"/>
      <c r="C753" s="62"/>
      <c r="D753" s="62"/>
    </row>
    <row r="754">
      <c r="B754" s="7"/>
      <c r="C754" s="62"/>
      <c r="D754" s="62"/>
    </row>
    <row r="755">
      <c r="B755" s="7"/>
      <c r="C755" s="62"/>
      <c r="D755" s="62"/>
    </row>
    <row r="756">
      <c r="B756" s="7"/>
      <c r="C756" s="62"/>
      <c r="D756" s="62"/>
    </row>
    <row r="757">
      <c r="B757" s="7"/>
      <c r="C757" s="62"/>
      <c r="D757" s="62"/>
    </row>
    <row r="758">
      <c r="B758" s="7"/>
      <c r="C758" s="62"/>
      <c r="D758" s="62"/>
    </row>
    <row r="759">
      <c r="B759" s="7"/>
      <c r="C759" s="62"/>
      <c r="D759" s="62"/>
    </row>
    <row r="760">
      <c r="B760" s="7"/>
      <c r="C760" s="62"/>
      <c r="D760" s="62"/>
    </row>
    <row r="761">
      <c r="B761" s="7"/>
      <c r="C761" s="62"/>
      <c r="D761" s="62"/>
    </row>
    <row r="762">
      <c r="B762" s="7"/>
      <c r="C762" s="62"/>
      <c r="D762" s="62"/>
    </row>
    <row r="763">
      <c r="B763" s="7"/>
      <c r="C763" s="62"/>
      <c r="D763" s="62"/>
    </row>
    <row r="764">
      <c r="B764" s="7"/>
      <c r="C764" s="62"/>
      <c r="D764" s="62"/>
    </row>
    <row r="765">
      <c r="B765" s="7"/>
      <c r="C765" s="62"/>
      <c r="D765" s="62"/>
    </row>
    <row r="766">
      <c r="B766" s="7"/>
      <c r="C766" s="62"/>
      <c r="D766" s="62"/>
    </row>
    <row r="767">
      <c r="B767" s="7"/>
      <c r="C767" s="62"/>
      <c r="D767" s="62"/>
    </row>
    <row r="768">
      <c r="B768" s="7"/>
      <c r="C768" s="62"/>
      <c r="D768" s="62"/>
    </row>
    <row r="769">
      <c r="B769" s="7"/>
      <c r="C769" s="62"/>
      <c r="D769" s="62"/>
    </row>
    <row r="770">
      <c r="B770" s="7"/>
      <c r="C770" s="62"/>
      <c r="D770" s="62"/>
    </row>
    <row r="771">
      <c r="B771" s="7"/>
      <c r="C771" s="62"/>
      <c r="D771" s="62"/>
    </row>
    <row r="772">
      <c r="B772" s="7"/>
      <c r="C772" s="62"/>
      <c r="D772" s="62"/>
    </row>
    <row r="773">
      <c r="B773" s="7"/>
      <c r="C773" s="62"/>
      <c r="D773" s="62"/>
    </row>
    <row r="774">
      <c r="B774" s="7"/>
      <c r="C774" s="62"/>
      <c r="D774" s="62"/>
    </row>
    <row r="775">
      <c r="B775" s="7"/>
      <c r="C775" s="62"/>
      <c r="D775" s="62"/>
    </row>
    <row r="776">
      <c r="B776" s="7"/>
      <c r="C776" s="62"/>
      <c r="D776" s="62"/>
    </row>
    <row r="777">
      <c r="B777" s="7"/>
      <c r="C777" s="62"/>
      <c r="D777" s="62"/>
    </row>
    <row r="778">
      <c r="B778" s="7"/>
      <c r="C778" s="62"/>
      <c r="D778" s="62"/>
    </row>
    <row r="779">
      <c r="B779" s="7"/>
      <c r="C779" s="62"/>
      <c r="D779" s="62"/>
    </row>
    <row r="780">
      <c r="B780" s="7"/>
      <c r="C780" s="62"/>
      <c r="D780" s="62"/>
    </row>
    <row r="781">
      <c r="B781" s="7"/>
      <c r="C781" s="62"/>
      <c r="D781" s="62"/>
    </row>
    <row r="782">
      <c r="B782" s="7"/>
      <c r="C782" s="62"/>
      <c r="D782" s="62"/>
    </row>
    <row r="783">
      <c r="B783" s="7"/>
      <c r="C783" s="62"/>
      <c r="D783" s="62"/>
    </row>
    <row r="784">
      <c r="B784" s="7"/>
      <c r="C784" s="62"/>
      <c r="D784" s="62"/>
    </row>
    <row r="785">
      <c r="B785" s="7"/>
      <c r="C785" s="62"/>
      <c r="D785" s="62"/>
    </row>
    <row r="786">
      <c r="B786" s="7"/>
      <c r="C786" s="62"/>
      <c r="D786" s="62"/>
    </row>
    <row r="787">
      <c r="B787" s="7"/>
      <c r="C787" s="62"/>
      <c r="D787" s="62"/>
    </row>
    <row r="788">
      <c r="B788" s="7"/>
      <c r="C788" s="62"/>
      <c r="D788" s="62"/>
    </row>
    <row r="789">
      <c r="B789" s="7"/>
      <c r="C789" s="62"/>
      <c r="D789" s="62"/>
    </row>
    <row r="790">
      <c r="B790" s="7"/>
      <c r="C790" s="62"/>
      <c r="D790" s="62"/>
    </row>
    <row r="791">
      <c r="B791" s="7"/>
      <c r="C791" s="62"/>
      <c r="D791" s="62"/>
    </row>
    <row r="792">
      <c r="B792" s="7"/>
      <c r="C792" s="62"/>
      <c r="D792" s="62"/>
    </row>
    <row r="793">
      <c r="B793" s="7"/>
      <c r="C793" s="62"/>
      <c r="D793" s="62"/>
    </row>
    <row r="794">
      <c r="B794" s="7"/>
      <c r="C794" s="62"/>
      <c r="D794" s="62"/>
    </row>
    <row r="795">
      <c r="B795" s="7"/>
      <c r="C795" s="62"/>
      <c r="D795" s="62"/>
    </row>
    <row r="796">
      <c r="B796" s="7"/>
      <c r="C796" s="62"/>
      <c r="D796" s="62"/>
    </row>
    <row r="797">
      <c r="B797" s="7"/>
      <c r="C797" s="62"/>
      <c r="D797" s="62"/>
    </row>
    <row r="798">
      <c r="B798" s="7"/>
      <c r="C798" s="62"/>
      <c r="D798" s="62"/>
    </row>
    <row r="799">
      <c r="B799" s="7"/>
      <c r="C799" s="62"/>
      <c r="D799" s="62"/>
    </row>
    <row r="800">
      <c r="B800" s="7"/>
      <c r="C800" s="62"/>
      <c r="D800" s="62"/>
    </row>
    <row r="801">
      <c r="B801" s="7"/>
      <c r="C801" s="62"/>
      <c r="D801" s="62"/>
    </row>
    <row r="802">
      <c r="B802" s="7"/>
      <c r="C802" s="62"/>
      <c r="D802" s="62"/>
    </row>
    <row r="803">
      <c r="B803" s="7"/>
      <c r="C803" s="62"/>
      <c r="D803" s="62"/>
    </row>
    <row r="804">
      <c r="B804" s="7"/>
      <c r="C804" s="62"/>
      <c r="D804" s="62"/>
    </row>
    <row r="805">
      <c r="B805" s="7"/>
      <c r="C805" s="62"/>
      <c r="D805" s="62"/>
    </row>
    <row r="806">
      <c r="B806" s="7"/>
      <c r="C806" s="62"/>
      <c r="D806" s="62"/>
    </row>
    <row r="807">
      <c r="B807" s="7"/>
      <c r="C807" s="62"/>
      <c r="D807" s="62"/>
    </row>
    <row r="808">
      <c r="B808" s="7"/>
      <c r="C808" s="62"/>
      <c r="D808" s="62"/>
    </row>
    <row r="809">
      <c r="B809" s="7"/>
      <c r="C809" s="62"/>
      <c r="D809" s="62"/>
    </row>
    <row r="810">
      <c r="B810" s="7"/>
      <c r="C810" s="62"/>
      <c r="D810" s="62"/>
    </row>
    <row r="811">
      <c r="B811" s="7"/>
      <c r="C811" s="62"/>
      <c r="D811" s="62"/>
    </row>
    <row r="812">
      <c r="B812" s="7"/>
      <c r="C812" s="62"/>
      <c r="D812" s="62"/>
    </row>
    <row r="813">
      <c r="B813" s="7"/>
      <c r="C813" s="62"/>
      <c r="D813" s="62"/>
    </row>
    <row r="814">
      <c r="B814" s="7"/>
      <c r="C814" s="62"/>
      <c r="D814" s="62"/>
    </row>
    <row r="815">
      <c r="B815" s="7"/>
      <c r="C815" s="62"/>
      <c r="D815" s="62"/>
    </row>
    <row r="816">
      <c r="B816" s="7"/>
      <c r="C816" s="62"/>
      <c r="D816" s="62"/>
    </row>
    <row r="817">
      <c r="B817" s="7"/>
      <c r="C817" s="62"/>
      <c r="D817" s="62"/>
    </row>
    <row r="818">
      <c r="B818" s="7"/>
      <c r="C818" s="62"/>
      <c r="D818" s="62"/>
    </row>
    <row r="819">
      <c r="B819" s="7"/>
      <c r="C819" s="62"/>
      <c r="D819" s="62"/>
    </row>
    <row r="820">
      <c r="B820" s="7"/>
      <c r="C820" s="62"/>
      <c r="D820" s="62"/>
    </row>
    <row r="821">
      <c r="B821" s="7"/>
      <c r="C821" s="62"/>
      <c r="D821" s="62"/>
    </row>
    <row r="822">
      <c r="B822" s="7"/>
      <c r="C822" s="62"/>
      <c r="D822" s="62"/>
    </row>
    <row r="823">
      <c r="B823" s="7"/>
      <c r="C823" s="62"/>
      <c r="D823" s="62"/>
    </row>
    <row r="824">
      <c r="B824" s="7"/>
      <c r="C824" s="62"/>
      <c r="D824" s="62"/>
    </row>
    <row r="825">
      <c r="B825" s="7"/>
      <c r="C825" s="62"/>
      <c r="D825" s="62"/>
    </row>
    <row r="826">
      <c r="B826" s="7"/>
      <c r="C826" s="62"/>
      <c r="D826" s="62"/>
    </row>
    <row r="827">
      <c r="B827" s="7"/>
      <c r="C827" s="62"/>
      <c r="D827" s="62"/>
    </row>
    <row r="828">
      <c r="B828" s="7"/>
      <c r="C828" s="62"/>
      <c r="D828" s="62"/>
    </row>
    <row r="829">
      <c r="B829" s="7"/>
      <c r="C829" s="62"/>
      <c r="D829" s="62"/>
    </row>
    <row r="830">
      <c r="B830" s="7"/>
      <c r="C830" s="62"/>
      <c r="D830" s="62"/>
    </row>
    <row r="831">
      <c r="B831" s="7"/>
      <c r="C831" s="62"/>
      <c r="D831" s="62"/>
    </row>
    <row r="832">
      <c r="B832" s="7"/>
      <c r="C832" s="62"/>
      <c r="D832" s="62"/>
    </row>
    <row r="833">
      <c r="B833" s="7"/>
      <c r="C833" s="62"/>
      <c r="D833" s="62"/>
    </row>
    <row r="834">
      <c r="B834" s="7"/>
      <c r="C834" s="62"/>
      <c r="D834" s="62"/>
    </row>
    <row r="835">
      <c r="B835" s="7"/>
      <c r="C835" s="62"/>
      <c r="D835" s="62"/>
    </row>
    <row r="836">
      <c r="B836" s="7"/>
      <c r="C836" s="62"/>
      <c r="D836" s="62"/>
    </row>
    <row r="837">
      <c r="B837" s="7"/>
      <c r="C837" s="62"/>
      <c r="D837" s="62"/>
    </row>
    <row r="838">
      <c r="B838" s="7"/>
      <c r="C838" s="62"/>
      <c r="D838" s="62"/>
    </row>
    <row r="839">
      <c r="B839" s="7"/>
      <c r="C839" s="62"/>
      <c r="D839" s="62"/>
    </row>
    <row r="840">
      <c r="B840" s="7"/>
      <c r="C840" s="62"/>
      <c r="D840" s="62"/>
    </row>
    <row r="841">
      <c r="B841" s="7"/>
      <c r="C841" s="62"/>
      <c r="D841" s="62"/>
    </row>
    <row r="842">
      <c r="B842" s="7"/>
      <c r="C842" s="62"/>
      <c r="D842" s="62"/>
    </row>
    <row r="843">
      <c r="B843" s="7"/>
      <c r="C843" s="62"/>
      <c r="D843" s="62"/>
    </row>
    <row r="844">
      <c r="B844" s="7"/>
      <c r="C844" s="62"/>
      <c r="D844" s="62"/>
    </row>
    <row r="845">
      <c r="B845" s="7"/>
      <c r="C845" s="62"/>
      <c r="D845" s="62"/>
    </row>
    <row r="846">
      <c r="B846" s="7"/>
      <c r="C846" s="62"/>
      <c r="D846" s="62"/>
    </row>
    <row r="847">
      <c r="B847" s="7"/>
      <c r="C847" s="62"/>
      <c r="D847" s="62"/>
    </row>
    <row r="848">
      <c r="B848" s="7"/>
      <c r="C848" s="62"/>
      <c r="D848" s="62"/>
    </row>
    <row r="849">
      <c r="B849" s="7"/>
      <c r="C849" s="62"/>
      <c r="D849" s="62"/>
    </row>
    <row r="850">
      <c r="B850" s="7"/>
      <c r="C850" s="62"/>
      <c r="D850" s="62"/>
    </row>
    <row r="851">
      <c r="B851" s="7"/>
      <c r="C851" s="62"/>
      <c r="D851" s="62"/>
    </row>
    <row r="852">
      <c r="B852" s="7"/>
      <c r="C852" s="62"/>
      <c r="D852" s="62"/>
    </row>
    <row r="853">
      <c r="B853" s="7"/>
      <c r="C853" s="62"/>
      <c r="D853" s="62"/>
    </row>
    <row r="854">
      <c r="B854" s="7"/>
      <c r="C854" s="62"/>
      <c r="D854" s="62"/>
    </row>
    <row r="855">
      <c r="B855" s="7"/>
      <c r="C855" s="62"/>
      <c r="D855" s="62"/>
    </row>
    <row r="856">
      <c r="B856" s="7"/>
      <c r="C856" s="62"/>
      <c r="D856" s="62"/>
    </row>
    <row r="857">
      <c r="B857" s="7"/>
      <c r="C857" s="62"/>
      <c r="D857" s="62"/>
    </row>
    <row r="858">
      <c r="B858" s="7"/>
      <c r="C858" s="62"/>
      <c r="D858" s="62"/>
    </row>
    <row r="859">
      <c r="B859" s="7"/>
      <c r="C859" s="62"/>
      <c r="D859" s="62"/>
    </row>
    <row r="860">
      <c r="B860" s="7"/>
      <c r="C860" s="62"/>
      <c r="D860" s="62"/>
    </row>
    <row r="861">
      <c r="B861" s="7"/>
      <c r="C861" s="62"/>
      <c r="D861" s="62"/>
    </row>
    <row r="862">
      <c r="B862" s="7"/>
      <c r="C862" s="62"/>
      <c r="D862" s="62"/>
    </row>
    <row r="863">
      <c r="B863" s="7"/>
      <c r="C863" s="62"/>
      <c r="D863" s="62"/>
    </row>
    <row r="864">
      <c r="B864" s="7"/>
      <c r="C864" s="62"/>
      <c r="D864" s="62"/>
    </row>
    <row r="865">
      <c r="B865" s="7"/>
      <c r="C865" s="62"/>
      <c r="D865" s="62"/>
    </row>
    <row r="866">
      <c r="B866" s="7"/>
      <c r="C866" s="62"/>
      <c r="D866" s="62"/>
    </row>
    <row r="867">
      <c r="B867" s="7"/>
      <c r="C867" s="62"/>
      <c r="D867" s="62"/>
    </row>
    <row r="868">
      <c r="B868" s="7"/>
      <c r="C868" s="62"/>
      <c r="D868" s="62"/>
    </row>
    <row r="869">
      <c r="B869" s="7"/>
      <c r="C869" s="62"/>
      <c r="D869" s="62"/>
    </row>
    <row r="870">
      <c r="B870" s="7"/>
      <c r="C870" s="62"/>
      <c r="D870" s="62"/>
    </row>
    <row r="871">
      <c r="B871" s="7"/>
      <c r="C871" s="62"/>
      <c r="D871" s="62"/>
    </row>
    <row r="872">
      <c r="B872" s="7"/>
      <c r="C872" s="62"/>
      <c r="D872" s="62"/>
    </row>
    <row r="873">
      <c r="B873" s="7"/>
      <c r="C873" s="62"/>
      <c r="D873" s="62"/>
    </row>
    <row r="874">
      <c r="B874" s="7"/>
      <c r="C874" s="62"/>
      <c r="D874" s="62"/>
    </row>
    <row r="875">
      <c r="B875" s="7"/>
      <c r="C875" s="62"/>
      <c r="D875" s="62"/>
    </row>
    <row r="876">
      <c r="B876" s="7"/>
      <c r="C876" s="62"/>
      <c r="D876" s="62"/>
    </row>
    <row r="877">
      <c r="B877" s="7"/>
      <c r="C877" s="62"/>
      <c r="D877" s="62"/>
    </row>
    <row r="878">
      <c r="B878" s="7"/>
      <c r="C878" s="62"/>
      <c r="D878" s="62"/>
    </row>
    <row r="879">
      <c r="B879" s="7"/>
      <c r="C879" s="62"/>
      <c r="D879" s="62"/>
    </row>
    <row r="880">
      <c r="B880" s="7"/>
      <c r="C880" s="62"/>
      <c r="D880" s="62"/>
    </row>
    <row r="881">
      <c r="B881" s="7"/>
      <c r="C881" s="62"/>
      <c r="D881" s="62"/>
    </row>
    <row r="882">
      <c r="B882" s="7"/>
      <c r="C882" s="62"/>
      <c r="D882" s="62"/>
    </row>
    <row r="883">
      <c r="B883" s="7"/>
      <c r="C883" s="62"/>
      <c r="D883" s="62"/>
    </row>
    <row r="884">
      <c r="B884" s="7"/>
      <c r="C884" s="62"/>
      <c r="D884" s="62"/>
    </row>
    <row r="885">
      <c r="B885" s="7"/>
      <c r="C885" s="62"/>
      <c r="D885" s="62"/>
    </row>
    <row r="886">
      <c r="B886" s="7"/>
      <c r="C886" s="62"/>
      <c r="D886" s="62"/>
    </row>
    <row r="887">
      <c r="B887" s="7"/>
      <c r="C887" s="62"/>
      <c r="D887" s="62"/>
    </row>
    <row r="888">
      <c r="B888" s="7"/>
      <c r="C888" s="62"/>
      <c r="D888" s="62"/>
    </row>
    <row r="889">
      <c r="B889" s="7"/>
      <c r="C889" s="62"/>
      <c r="D889" s="62"/>
    </row>
    <row r="890">
      <c r="B890" s="7"/>
      <c r="C890" s="62"/>
      <c r="D890" s="62"/>
    </row>
    <row r="891">
      <c r="B891" s="7"/>
      <c r="C891" s="62"/>
      <c r="D891" s="62"/>
    </row>
    <row r="892">
      <c r="B892" s="7"/>
      <c r="C892" s="62"/>
      <c r="D892" s="62"/>
    </row>
    <row r="893">
      <c r="B893" s="7"/>
      <c r="C893" s="62"/>
      <c r="D893" s="62"/>
    </row>
    <row r="894">
      <c r="B894" s="7"/>
      <c r="C894" s="62"/>
      <c r="D894" s="62"/>
    </row>
    <row r="895">
      <c r="B895" s="7"/>
      <c r="C895" s="62"/>
      <c r="D895" s="62"/>
    </row>
    <row r="896">
      <c r="B896" s="7"/>
      <c r="C896" s="62"/>
      <c r="D896" s="62"/>
    </row>
    <row r="897">
      <c r="B897" s="7"/>
      <c r="C897" s="62"/>
      <c r="D897" s="62"/>
    </row>
    <row r="898">
      <c r="B898" s="7"/>
      <c r="C898" s="62"/>
      <c r="D898" s="62"/>
    </row>
    <row r="899">
      <c r="B899" s="7"/>
      <c r="C899" s="62"/>
      <c r="D899" s="62"/>
    </row>
    <row r="900">
      <c r="B900" s="7"/>
      <c r="C900" s="62"/>
      <c r="D900" s="62"/>
    </row>
    <row r="901">
      <c r="B901" s="7"/>
      <c r="C901" s="62"/>
      <c r="D901" s="62"/>
    </row>
    <row r="902">
      <c r="B902" s="7"/>
      <c r="C902" s="62"/>
      <c r="D902" s="62"/>
    </row>
    <row r="903">
      <c r="B903" s="7"/>
      <c r="C903" s="62"/>
      <c r="D903" s="62"/>
    </row>
    <row r="904">
      <c r="B904" s="7"/>
      <c r="C904" s="62"/>
      <c r="D904" s="62"/>
    </row>
    <row r="905">
      <c r="B905" s="7"/>
      <c r="C905" s="62"/>
      <c r="D905" s="62"/>
    </row>
    <row r="906">
      <c r="B906" s="7"/>
      <c r="C906" s="62"/>
      <c r="D906" s="62"/>
    </row>
    <row r="907">
      <c r="B907" s="7"/>
      <c r="C907" s="62"/>
      <c r="D907" s="62"/>
    </row>
    <row r="908">
      <c r="B908" s="7"/>
      <c r="C908" s="62"/>
      <c r="D908" s="62"/>
    </row>
    <row r="909">
      <c r="B909" s="7"/>
      <c r="C909" s="62"/>
      <c r="D909" s="62"/>
    </row>
    <row r="910">
      <c r="B910" s="7"/>
      <c r="C910" s="62"/>
      <c r="D910" s="62"/>
    </row>
    <row r="911">
      <c r="B911" s="7"/>
      <c r="C911" s="62"/>
      <c r="D911" s="62"/>
    </row>
    <row r="912">
      <c r="B912" s="7"/>
      <c r="C912" s="62"/>
      <c r="D912" s="62"/>
    </row>
    <row r="913">
      <c r="B913" s="7"/>
      <c r="C913" s="62"/>
      <c r="D913" s="62"/>
    </row>
    <row r="914">
      <c r="B914" s="7"/>
      <c r="C914" s="62"/>
      <c r="D914" s="62"/>
    </row>
    <row r="915">
      <c r="B915" s="7"/>
      <c r="C915" s="62"/>
      <c r="D915" s="62"/>
    </row>
    <row r="916">
      <c r="B916" s="7"/>
      <c r="C916" s="62"/>
      <c r="D916" s="62"/>
    </row>
    <row r="917">
      <c r="B917" s="7"/>
      <c r="C917" s="62"/>
      <c r="D917" s="62"/>
    </row>
    <row r="918">
      <c r="B918" s="7"/>
      <c r="C918" s="62"/>
      <c r="D918" s="62"/>
    </row>
    <row r="919">
      <c r="B919" s="7"/>
      <c r="C919" s="62"/>
      <c r="D919" s="62"/>
    </row>
    <row r="920">
      <c r="B920" s="7"/>
      <c r="C920" s="62"/>
      <c r="D920" s="62"/>
    </row>
    <row r="921">
      <c r="B921" s="7"/>
      <c r="C921" s="62"/>
      <c r="D921" s="62"/>
    </row>
    <row r="922">
      <c r="B922" s="7"/>
      <c r="C922" s="62"/>
      <c r="D922" s="62"/>
    </row>
    <row r="923">
      <c r="B923" s="7"/>
      <c r="C923" s="62"/>
      <c r="D923" s="62"/>
    </row>
    <row r="924">
      <c r="B924" s="7"/>
      <c r="C924" s="62"/>
      <c r="D924" s="62"/>
    </row>
    <row r="925">
      <c r="B925" s="7"/>
      <c r="C925" s="62"/>
      <c r="D925" s="62"/>
    </row>
    <row r="926">
      <c r="B926" s="7"/>
      <c r="C926" s="62"/>
      <c r="D926" s="62"/>
    </row>
    <row r="927">
      <c r="B927" s="7"/>
      <c r="C927" s="62"/>
      <c r="D927" s="62"/>
    </row>
    <row r="928">
      <c r="B928" s="7"/>
      <c r="C928" s="62"/>
      <c r="D928" s="62"/>
    </row>
    <row r="929">
      <c r="B929" s="7"/>
      <c r="C929" s="62"/>
      <c r="D929" s="62"/>
    </row>
    <row r="930">
      <c r="B930" s="7"/>
      <c r="C930" s="62"/>
      <c r="D930" s="62"/>
    </row>
    <row r="931">
      <c r="B931" s="7"/>
      <c r="C931" s="62"/>
      <c r="D931" s="62"/>
    </row>
    <row r="932">
      <c r="B932" s="7"/>
      <c r="C932" s="62"/>
      <c r="D932" s="62"/>
    </row>
    <row r="933">
      <c r="B933" s="7"/>
      <c r="C933" s="62"/>
      <c r="D933" s="62"/>
    </row>
    <row r="934">
      <c r="B934" s="7"/>
      <c r="C934" s="62"/>
      <c r="D934" s="62"/>
    </row>
    <row r="935">
      <c r="B935" s="7"/>
      <c r="C935" s="62"/>
      <c r="D935" s="62"/>
    </row>
    <row r="936">
      <c r="B936" s="7"/>
      <c r="C936" s="62"/>
      <c r="D936" s="62"/>
    </row>
    <row r="937">
      <c r="B937" s="7"/>
      <c r="C937" s="62"/>
      <c r="D937" s="62"/>
    </row>
    <row r="938">
      <c r="B938" s="7"/>
      <c r="C938" s="62"/>
      <c r="D938" s="62"/>
    </row>
    <row r="939">
      <c r="B939" s="7"/>
      <c r="C939" s="62"/>
      <c r="D939" s="62"/>
    </row>
    <row r="940">
      <c r="B940" s="7"/>
      <c r="C940" s="62"/>
      <c r="D940" s="62"/>
    </row>
    <row r="941">
      <c r="B941" s="7"/>
      <c r="C941" s="62"/>
      <c r="D941" s="62"/>
    </row>
    <row r="942">
      <c r="B942" s="7"/>
      <c r="C942" s="62"/>
      <c r="D942" s="62"/>
    </row>
    <row r="943">
      <c r="B943" s="7"/>
      <c r="C943" s="62"/>
      <c r="D943" s="62"/>
    </row>
    <row r="944">
      <c r="B944" s="7"/>
      <c r="C944" s="62"/>
      <c r="D944" s="62"/>
    </row>
    <row r="945">
      <c r="B945" s="7"/>
      <c r="C945" s="62"/>
      <c r="D945" s="62"/>
    </row>
    <row r="946">
      <c r="B946" s="7"/>
      <c r="C946" s="62"/>
      <c r="D946" s="62"/>
    </row>
    <row r="947">
      <c r="B947" s="7"/>
      <c r="C947" s="62"/>
      <c r="D947" s="62"/>
    </row>
    <row r="948">
      <c r="B948" s="7"/>
      <c r="C948" s="62"/>
      <c r="D948" s="62"/>
    </row>
    <row r="949">
      <c r="B949" s="7"/>
      <c r="C949" s="62"/>
      <c r="D949" s="62"/>
    </row>
    <row r="950">
      <c r="B950" s="7"/>
      <c r="C950" s="62"/>
      <c r="D950" s="62"/>
    </row>
    <row r="951">
      <c r="B951" s="7"/>
      <c r="C951" s="62"/>
      <c r="D951" s="62"/>
    </row>
    <row r="952">
      <c r="B952" s="7"/>
      <c r="C952" s="62"/>
      <c r="D952" s="62"/>
    </row>
    <row r="953">
      <c r="B953" s="7"/>
      <c r="C953" s="62"/>
      <c r="D953" s="62"/>
    </row>
    <row r="954">
      <c r="B954" s="7"/>
      <c r="C954" s="62"/>
      <c r="D954" s="62"/>
    </row>
    <row r="955">
      <c r="B955" s="7"/>
      <c r="C955" s="62"/>
      <c r="D955" s="62"/>
    </row>
    <row r="956">
      <c r="B956" s="7"/>
      <c r="C956" s="62"/>
      <c r="D956" s="62"/>
    </row>
    <row r="957">
      <c r="B957" s="7"/>
      <c r="C957" s="62"/>
      <c r="D957" s="62"/>
    </row>
    <row r="958">
      <c r="B958" s="7"/>
      <c r="C958" s="62"/>
      <c r="D958" s="62"/>
    </row>
    <row r="959">
      <c r="B959" s="7"/>
      <c r="C959" s="62"/>
      <c r="D959" s="62"/>
    </row>
    <row r="960">
      <c r="B960" s="7"/>
      <c r="C960" s="62"/>
      <c r="D960" s="62"/>
    </row>
    <row r="961">
      <c r="B961" s="7"/>
      <c r="C961" s="62"/>
      <c r="D961" s="62"/>
    </row>
    <row r="962">
      <c r="B962" s="7"/>
      <c r="C962" s="62"/>
      <c r="D962" s="62"/>
    </row>
    <row r="963">
      <c r="B963" s="7"/>
      <c r="C963" s="62"/>
      <c r="D963" s="62"/>
    </row>
    <row r="964">
      <c r="B964" s="7"/>
      <c r="C964" s="62"/>
      <c r="D964" s="62"/>
    </row>
    <row r="965">
      <c r="B965" s="7"/>
      <c r="C965" s="62"/>
      <c r="D965" s="62"/>
    </row>
    <row r="966">
      <c r="B966" s="7"/>
      <c r="C966" s="62"/>
      <c r="D966" s="62"/>
    </row>
    <row r="967">
      <c r="B967" s="7"/>
      <c r="C967" s="62"/>
      <c r="D967" s="62"/>
    </row>
    <row r="968">
      <c r="B968" s="7"/>
      <c r="C968" s="62"/>
      <c r="D968" s="62"/>
    </row>
    <row r="969">
      <c r="B969" s="7"/>
      <c r="C969" s="62"/>
      <c r="D969" s="62"/>
    </row>
    <row r="970">
      <c r="B970" s="7"/>
      <c r="C970" s="62"/>
      <c r="D970" s="62"/>
    </row>
    <row r="971">
      <c r="B971" s="7"/>
      <c r="C971" s="62"/>
      <c r="D971" s="62"/>
    </row>
    <row r="972">
      <c r="B972" s="7"/>
      <c r="C972" s="62"/>
      <c r="D972" s="62"/>
    </row>
    <row r="973">
      <c r="B973" s="7"/>
      <c r="C973" s="62"/>
      <c r="D973" s="62"/>
    </row>
    <row r="974">
      <c r="B974" s="7"/>
      <c r="C974" s="62"/>
      <c r="D974" s="62"/>
    </row>
    <row r="975">
      <c r="B975" s="7"/>
      <c r="C975" s="62"/>
      <c r="D975" s="62"/>
    </row>
    <row r="976">
      <c r="B976" s="7"/>
      <c r="C976" s="62"/>
      <c r="D976" s="62"/>
    </row>
    <row r="977">
      <c r="B977" s="7"/>
      <c r="C977" s="62"/>
      <c r="D977" s="62"/>
    </row>
    <row r="978">
      <c r="B978" s="7"/>
      <c r="C978" s="62"/>
      <c r="D978" s="62"/>
    </row>
    <row r="979">
      <c r="B979" s="7"/>
      <c r="C979" s="62"/>
      <c r="D979" s="62"/>
    </row>
    <row r="980">
      <c r="B980" s="7"/>
      <c r="C980" s="62"/>
      <c r="D980" s="62"/>
    </row>
    <row r="981">
      <c r="B981" s="7"/>
      <c r="C981" s="62"/>
      <c r="D981" s="62"/>
    </row>
    <row r="982">
      <c r="B982" s="7"/>
      <c r="C982" s="62"/>
      <c r="D982" s="62"/>
    </row>
    <row r="983">
      <c r="B983" s="7"/>
      <c r="C983" s="62"/>
      <c r="D983" s="62"/>
    </row>
    <row r="984">
      <c r="B984" s="7"/>
      <c r="C984" s="62"/>
      <c r="D984" s="62"/>
    </row>
    <row r="985">
      <c r="B985" s="7"/>
      <c r="C985" s="62"/>
      <c r="D985" s="62"/>
    </row>
    <row r="986">
      <c r="B986" s="7"/>
      <c r="C986" s="62"/>
      <c r="D986" s="62"/>
    </row>
    <row r="987">
      <c r="B987" s="7"/>
      <c r="C987" s="62"/>
      <c r="D987" s="62"/>
    </row>
    <row r="988">
      <c r="B988" s="7"/>
      <c r="C988" s="62"/>
      <c r="D988" s="62"/>
    </row>
    <row r="989">
      <c r="B989" s="7"/>
      <c r="C989" s="62"/>
      <c r="D989" s="62"/>
    </row>
    <row r="990">
      <c r="B990" s="7"/>
      <c r="C990" s="62"/>
      <c r="D990" s="62"/>
    </row>
    <row r="991">
      <c r="B991" s="7"/>
      <c r="C991" s="62"/>
      <c r="D991" s="62"/>
    </row>
    <row r="992">
      <c r="B992" s="7"/>
      <c r="C992" s="62"/>
      <c r="D992" s="62"/>
    </row>
    <row r="993">
      <c r="B993" s="7"/>
      <c r="C993" s="62"/>
      <c r="D993" s="62"/>
    </row>
    <row r="994">
      <c r="B994" s="7"/>
      <c r="C994" s="62"/>
      <c r="D994" s="62"/>
    </row>
    <row r="995">
      <c r="B995" s="7"/>
      <c r="C995" s="62"/>
      <c r="D995" s="62"/>
    </row>
    <row r="996">
      <c r="B996" s="7"/>
      <c r="C996" s="62"/>
      <c r="D996" s="62"/>
    </row>
    <row r="997">
      <c r="B997" s="7"/>
      <c r="C997" s="62"/>
      <c r="D997" s="62"/>
    </row>
    <row r="998">
      <c r="B998" s="7"/>
      <c r="C998" s="62"/>
      <c r="D998" s="62"/>
    </row>
    <row r="999">
      <c r="B999" s="7"/>
      <c r="C999" s="62"/>
      <c r="D999" s="62"/>
    </row>
    <row r="1000">
      <c r="B1000" s="7"/>
      <c r="C1000" s="62"/>
      <c r="D1000" s="62"/>
    </row>
  </sheetData>
  <mergeCells count="1">
    <mergeCell ref="B4:B5"/>
  </mergeCells>
  <hyperlinks>
    <hyperlink r:id="rId1" ref="B2"/>
    <hyperlink r:id="rId2" ref="B3"/>
    <hyperlink r:id="rId3" ref="B4"/>
    <hyperlink r:id="rId4" ref="B6"/>
  </hyperlinks>
  <drawing r:id="rId5"/>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9.14"/>
    <col customWidth="1" min="2" max="3" width="30.71"/>
    <col customWidth="1" min="4" max="4" width="38.86"/>
  </cols>
  <sheetData>
    <row r="1">
      <c r="A1" s="51" t="s">
        <v>1208</v>
      </c>
      <c r="B1" s="5" t="s">
        <v>4689</v>
      </c>
      <c r="C1" s="5" t="s">
        <v>7</v>
      </c>
      <c r="D1" s="5" t="s">
        <v>8</v>
      </c>
    </row>
    <row r="2">
      <c r="A2" s="176" t="s">
        <v>4286</v>
      </c>
      <c r="B2" s="176"/>
      <c r="C2" s="176" t="s">
        <v>4287</v>
      </c>
      <c r="D2" s="178" t="s">
        <v>4288</v>
      </c>
    </row>
    <row r="3">
      <c r="A3" s="63" t="s">
        <v>4289</v>
      </c>
      <c r="B3" s="63"/>
      <c r="C3" s="63" t="s">
        <v>4290</v>
      </c>
      <c r="D3" s="178" t="s">
        <v>4291</v>
      </c>
    </row>
    <row r="4" ht="27.75" customHeight="1">
      <c r="A4" s="63" t="s">
        <v>4292</v>
      </c>
      <c r="B4" s="63"/>
      <c r="C4" s="63" t="s">
        <v>4293</v>
      </c>
      <c r="D4" s="178" t="s">
        <v>4294</v>
      </c>
    </row>
    <row r="5">
      <c r="A5" s="165" t="str">
        <f>IFERROR(__xludf.DUMMYFUNCTION("JOIN(""-"",""app"",SPLIT(LOWER( C5),"" ""))"),"app-edit-organization")</f>
        <v>app-edit-organization</v>
      </c>
      <c r="B5" s="171"/>
      <c r="C5" s="171" t="s">
        <v>4295</v>
      </c>
      <c r="D5" s="178" t="s">
        <v>4296</v>
      </c>
    </row>
    <row r="6">
      <c r="A6" s="165" t="str">
        <f>IFERROR(__xludf.DUMMYFUNCTION("JOIN(""-"",""app"",SPLIT(LOWER( C6),"" ""))"),"app-delete-organization")</f>
        <v>app-delete-organization</v>
      </c>
      <c r="B6" s="171"/>
      <c r="C6" s="171" t="s">
        <v>4297</v>
      </c>
      <c r="D6" s="178" t="s">
        <v>4298</v>
      </c>
    </row>
    <row r="7">
      <c r="A7" s="165" t="str">
        <f>IFERROR(__xludf.DUMMYFUNCTION("JOIN(""-"",""app"",SPLIT(LOWER( C7),"" ""))"),"app-create-new-group")</f>
        <v>app-create-new-group</v>
      </c>
      <c r="B7" s="171"/>
      <c r="C7" s="171" t="s">
        <v>4299</v>
      </c>
      <c r="D7" s="178" t="s">
        <v>4300</v>
      </c>
    </row>
    <row r="8">
      <c r="A8" s="165" t="str">
        <f>IFERROR(__xludf.DUMMYFUNCTION("JOIN(""-"",""app"",SPLIT(LOWER( C8),"" ""))"),"app-create-new-container")</f>
        <v>app-create-new-container</v>
      </c>
      <c r="B8" s="171"/>
      <c r="C8" s="171" t="s">
        <v>4301</v>
      </c>
      <c r="D8" s="178" t="s">
        <v>4302</v>
      </c>
    </row>
    <row r="9">
      <c r="A9" s="165" t="str">
        <f>IFERROR(__xludf.DUMMYFUNCTION("JOIN(""-"",""app"",SPLIT(LOWER( C9),"" ""))"),"app-create-new-asset")</f>
        <v>app-create-new-asset</v>
      </c>
      <c r="B9" s="171"/>
      <c r="C9" s="171" t="s">
        <v>2090</v>
      </c>
      <c r="D9" s="178" t="s">
        <v>2091</v>
      </c>
    </row>
    <row r="10">
      <c r="A10" s="165" t="str">
        <f>IFERROR(__xludf.DUMMYFUNCTION("JOIN(""-"",""app"",SPLIT(LOWER( C10),"" ""))"),"app-pin")</f>
        <v>app-pin</v>
      </c>
      <c r="B10" s="171"/>
      <c r="C10" s="171" t="s">
        <v>4303</v>
      </c>
      <c r="D10" s="178" t="s">
        <v>4304</v>
      </c>
    </row>
    <row r="11">
      <c r="A11" s="165" t="str">
        <f>IFERROR(__xludf.DUMMYFUNCTION("JOIN(""-"",""app"",SPLIT(LOWER( C11),"" ""))"),"app-unpin")</f>
        <v>app-unpin</v>
      </c>
      <c r="B11" s="171"/>
      <c r="C11" s="171" t="s">
        <v>4305</v>
      </c>
      <c r="D11" s="178" t="s">
        <v>4306</v>
      </c>
    </row>
    <row r="12">
      <c r="A12" s="186" t="s">
        <v>4617</v>
      </c>
      <c r="B12" s="183"/>
      <c r="C12" s="183" t="s">
        <v>2158</v>
      </c>
      <c r="D12" s="161" t="s">
        <v>2159</v>
      </c>
    </row>
    <row r="13">
      <c r="A13" s="165" t="str">
        <f>IFERROR(__xludf.DUMMYFUNCTION("JOIN(""-"",""app"",SPLIT(LOWER( C13),"" ""))"),"app-files")</f>
        <v>app-files</v>
      </c>
      <c r="B13" s="145"/>
      <c r="C13" s="145" t="s">
        <v>3215</v>
      </c>
      <c r="D13" s="122" t="s">
        <v>3216</v>
      </c>
    </row>
    <row r="14">
      <c r="A14" s="165" t="str">
        <f>IFERROR(__xludf.DUMMYFUNCTION("JOIN(""-"",""app"",SPLIT(LOWER( C14),"" ""))"),"app-folders")</f>
        <v>app-folders</v>
      </c>
      <c r="B14" s="145"/>
      <c r="C14" s="145" t="s">
        <v>3218</v>
      </c>
      <c r="D14" s="122" t="s">
        <v>3219</v>
      </c>
    </row>
    <row r="15">
      <c r="A15" s="165" t="str">
        <f>IFERROR(__xludf.DUMMYFUNCTION("JOIN(""-"",""app"",SPLIT(LOWER( C15),"" ""))"),"app-today")</f>
        <v>app-today</v>
      </c>
      <c r="B15" s="145"/>
      <c r="C15" s="145" t="s">
        <v>1492</v>
      </c>
      <c r="D15" s="106" t="s">
        <v>1493</v>
      </c>
    </row>
    <row r="16">
      <c r="A16" s="165" t="str">
        <f>IFERROR(__xludf.DUMMYFUNCTION("JOIN(""-"",""app"",SPLIT(LOWER( C16),"" ""))"),"app-last-week")</f>
        <v>app-last-week</v>
      </c>
      <c r="B16" s="145"/>
      <c r="C16" s="145" t="s">
        <v>4000</v>
      </c>
      <c r="D16" s="106" t="s">
        <v>3944</v>
      </c>
    </row>
    <row r="17">
      <c r="A17" s="165" t="str">
        <f>IFERROR(__xludf.DUMMYFUNCTION("JOIN(""-"",""app"",SPLIT(LOWER( C17),"" ""))"),"app-last-month")</f>
        <v>app-last-month</v>
      </c>
      <c r="B17" s="145"/>
      <c r="C17" s="145" t="s">
        <v>4001</v>
      </c>
      <c r="D17" s="106" t="s">
        <v>3946</v>
      </c>
    </row>
    <row r="18">
      <c r="A18" s="165" t="str">
        <f>IFERROR(__xludf.DUMMYFUNCTION("JOIN(""-"",""app"",SPLIT(LOWER( C18),"" ""))"),"app-last-year")</f>
        <v>app-last-year</v>
      </c>
      <c r="B18" s="145"/>
      <c r="C18" s="145" t="s">
        <v>4002</v>
      </c>
      <c r="D18" s="106" t="s">
        <v>3948</v>
      </c>
    </row>
    <row r="19">
      <c r="A19" s="165" t="str">
        <f>IFERROR(__xludf.DUMMYFUNCTION("JOIN(""-"",""app"",SPLIT(LOWER( C19),"" ""))"),"app-earlier")</f>
        <v>app-earlier</v>
      </c>
      <c r="B19" s="145"/>
      <c r="C19" s="145" t="s">
        <v>3975</v>
      </c>
      <c r="D19" s="26" t="s">
        <v>3976</v>
      </c>
    </row>
    <row r="20">
      <c r="A20" s="165" t="str">
        <f>IFERROR(__xludf.DUMMYFUNCTION("JOIN(""-"",""app"",SPLIT(LOWER( C20),"" ""))"),"app-info")</f>
        <v>app-info</v>
      </c>
      <c r="B20" s="145"/>
      <c r="C20" s="145" t="s">
        <v>3616</v>
      </c>
      <c r="D20" s="121" t="s">
        <v>3617</v>
      </c>
    </row>
    <row r="21">
      <c r="A21" s="165" t="str">
        <f>IFERROR(__xludf.DUMMYFUNCTION("JOIN(""-"",""app"",SPLIT(LOWER( C21),"" ""))"),"app-shared-by")</f>
        <v>app-shared-by</v>
      </c>
      <c r="B21" s="145"/>
      <c r="C21" s="145" t="s">
        <v>3953</v>
      </c>
      <c r="D21" s="106" t="s">
        <v>3954</v>
      </c>
    </row>
    <row r="22">
      <c r="A22" s="165" t="str">
        <f>IFERROR(__xludf.DUMMYFUNCTION("JOIN(""-"",""app"",SPLIT(LOWER( C22),"" ""))"),"app-rename")</f>
        <v>app-rename</v>
      </c>
      <c r="B22" s="145"/>
      <c r="C22" s="145" t="s">
        <v>1721</v>
      </c>
      <c r="D22" s="121" t="s">
        <v>1722</v>
      </c>
    </row>
    <row r="23">
      <c r="A23" s="165" t="str">
        <f>IFERROR(__xludf.DUMMYFUNCTION("JOIN(""-"",""app"",SPLIT(LOWER( C23),"" ""))"),"app-view-activity")</f>
        <v>app-view-activity</v>
      </c>
      <c r="B23" s="145"/>
      <c r="C23" s="145" t="s">
        <v>4003</v>
      </c>
      <c r="D23" s="121" t="s">
        <v>4004</v>
      </c>
    </row>
    <row r="24">
      <c r="A24" s="165" t="str">
        <f>IFERROR(__xludf.DUMMYFUNCTION("JOIN(""-"",""app"",SPLIT(LOWER( C24),"" ""))"),"app-download")</f>
        <v>app-download</v>
      </c>
      <c r="B24" s="145"/>
      <c r="C24" s="145" t="s">
        <v>3505</v>
      </c>
      <c r="D24" s="26" t="s">
        <v>3506</v>
      </c>
    </row>
    <row r="25">
      <c r="A25" s="165" t="str">
        <f>IFERROR(__xludf.DUMMYFUNCTION("JOIN(""-"",""app"",SPLIT(LOWER( C25),"" ""))"),"app-move-to")</f>
        <v>app-move-to</v>
      </c>
      <c r="B25" s="145"/>
      <c r="C25" s="145" t="s">
        <v>4005</v>
      </c>
      <c r="D25" s="26" t="s">
        <v>3634</v>
      </c>
    </row>
    <row r="26">
      <c r="A26" s="165" t="str">
        <f>IFERROR(__xludf.DUMMYFUNCTION("JOIN(""-"",""app"",SPLIT(LOWER( C26),"" ""))"),"app-create-ticket")</f>
        <v>app-create-ticket</v>
      </c>
      <c r="B26" s="145"/>
      <c r="C26" s="145" t="s">
        <v>3583</v>
      </c>
      <c r="D26" s="26" t="s">
        <v>399</v>
      </c>
    </row>
    <row r="27">
      <c r="A27" s="165" t="str">
        <f>IFERROR(__xludf.DUMMYFUNCTION("JOIN(""-"",""app"",SPLIT(LOWER( C27),"" ""))"),"app-versions")</f>
        <v>app-versions</v>
      </c>
      <c r="B27" s="145"/>
      <c r="C27" s="145" t="s">
        <v>3663</v>
      </c>
      <c r="D27" s="26" t="s">
        <v>3664</v>
      </c>
    </row>
    <row r="28">
      <c r="A28" s="165" t="str">
        <f>IFERROR(__xludf.DUMMYFUNCTION("JOIN(""-"",""app"",SPLIT(LOWER( C28),"" ""))"),"app-upload-new-version")</f>
        <v>app-upload-new-version</v>
      </c>
      <c r="B28" s="145"/>
      <c r="C28" s="145" t="s">
        <v>4006</v>
      </c>
      <c r="D28" s="106" t="s">
        <v>3653</v>
      </c>
    </row>
    <row r="29">
      <c r="A29" s="165" t="str">
        <f>IFERROR(__xludf.DUMMYFUNCTION("JOIN(""-"",""app"",SPLIT(LOWER( C29),"" ""))"),"app-share")</f>
        <v>app-share</v>
      </c>
      <c r="B29" s="145"/>
      <c r="C29" s="145" t="s">
        <v>501</v>
      </c>
      <c r="D29" s="121" t="s">
        <v>502</v>
      </c>
    </row>
    <row r="30">
      <c r="A30" s="165" t="str">
        <f>IFERROR(__xludf.DUMMYFUNCTION("JOIN(""-"",""app"",SPLIT(LOWER( C30),"" ""))"),"app-sharing")</f>
        <v>app-sharing</v>
      </c>
      <c r="B30" s="145"/>
      <c r="C30" s="145" t="s">
        <v>3987</v>
      </c>
      <c r="D30" s="121" t="s">
        <v>4007</v>
      </c>
    </row>
    <row r="31">
      <c r="A31" s="165" t="str">
        <f>IFERROR(__xludf.DUMMYFUNCTION("JOIN(""-"",""app"",SPLIT(LOWER( C31),"" ""))"),"app-created")</f>
        <v>app-created</v>
      </c>
      <c r="B31" s="145"/>
      <c r="C31" s="145" t="s">
        <v>3622</v>
      </c>
      <c r="D31" s="26" t="s">
        <v>3623</v>
      </c>
    </row>
    <row r="32">
      <c r="A32" s="165" t="str">
        <f>IFERROR(__xludf.DUMMYFUNCTION("JOIN(""-"",""app"",SPLIT(LOWER( C32),"" ""))"),"app-modified")</f>
        <v>app-modified</v>
      </c>
      <c r="B32" s="145"/>
      <c r="C32" s="145" t="s">
        <v>3625</v>
      </c>
      <c r="D32" s="26" t="s">
        <v>3626</v>
      </c>
    </row>
    <row r="33">
      <c r="A33" s="165" t="str">
        <f>IFERROR(__xludf.DUMMYFUNCTION("JOIN(""-"",""app"",SPLIT(LOWER( C33),"" ""))"),"app-download-all")</f>
        <v>app-download-all</v>
      </c>
      <c r="B33" s="145"/>
      <c r="C33" s="145" t="s">
        <v>3628</v>
      </c>
      <c r="D33" s="106" t="s">
        <v>3629</v>
      </c>
    </row>
    <row r="34">
      <c r="A34" s="165" t="str">
        <f>IFERROR(__xludf.DUMMYFUNCTION("JOIN(""-"",""app"",SPLIT(LOWER( C34),"" ""))"),"app-show-versions")</f>
        <v>app-show-versions</v>
      </c>
      <c r="B34" s="145"/>
      <c r="C34" s="145" t="s">
        <v>4008</v>
      </c>
      <c r="D34" s="106" t="s">
        <v>3660</v>
      </c>
    </row>
    <row r="35">
      <c r="A35" s="165" t="str">
        <f>IFERROR(__xludf.DUMMYFUNCTION("JOIN(""-"",""app"",SPLIT(LOWER( C35),"" ""))"),"app-search-teams")</f>
        <v>app-search-teams</v>
      </c>
      <c r="B35" s="145"/>
      <c r="C35" s="145" t="s">
        <v>1670</v>
      </c>
      <c r="D35" s="121" t="s">
        <v>1671</v>
      </c>
    </row>
    <row r="36">
      <c r="A36" s="2" t="s">
        <v>1143</v>
      </c>
      <c r="B36" s="187"/>
      <c r="C36" s="187" t="s">
        <v>1144</v>
      </c>
      <c r="D36" s="121" t="s">
        <v>1145</v>
      </c>
    </row>
    <row r="37">
      <c r="A37" s="188" t="s">
        <v>948</v>
      </c>
      <c r="B37" s="189"/>
      <c r="C37" s="189" t="s">
        <v>2829</v>
      </c>
      <c r="D37" s="121" t="s">
        <v>951</v>
      </c>
    </row>
    <row r="38">
      <c r="A38" s="188" t="s">
        <v>3911</v>
      </c>
      <c r="B38" s="189"/>
      <c r="C38" s="189" t="s">
        <v>3912</v>
      </c>
      <c r="D38" s="121" t="s">
        <v>3913</v>
      </c>
    </row>
    <row r="39">
      <c r="A39" s="2" t="s">
        <v>636</v>
      </c>
      <c r="B39" s="113"/>
      <c r="C39" s="113" t="s">
        <v>638</v>
      </c>
      <c r="D39" s="121" t="s">
        <v>639</v>
      </c>
    </row>
    <row r="40">
      <c r="A40" s="2" t="s">
        <v>529</v>
      </c>
      <c r="B40" s="113"/>
      <c r="C40" s="113" t="s">
        <v>531</v>
      </c>
      <c r="D40" s="121" t="s">
        <v>532</v>
      </c>
    </row>
    <row r="41">
      <c r="A41" s="2" t="s">
        <v>571</v>
      </c>
      <c r="B41" s="113"/>
      <c r="C41" s="113" t="s">
        <v>573</v>
      </c>
      <c r="D41" s="121" t="s">
        <v>574</v>
      </c>
    </row>
    <row r="42">
      <c r="A42" s="190" t="s">
        <v>1961</v>
      </c>
      <c r="B42" s="191"/>
      <c r="C42" s="191" t="s">
        <v>3876</v>
      </c>
      <c r="D42" s="121" t="s">
        <v>3877</v>
      </c>
    </row>
    <row r="43">
      <c r="A43" s="2" t="s">
        <v>1965</v>
      </c>
      <c r="B43" s="113"/>
      <c r="C43" s="113" t="s">
        <v>3878</v>
      </c>
      <c r="D43" s="121" t="s">
        <v>3879</v>
      </c>
    </row>
    <row r="44">
      <c r="A44" s="2" t="s">
        <v>3880</v>
      </c>
      <c r="B44" s="113"/>
      <c r="C44" s="113" t="s">
        <v>3881</v>
      </c>
      <c r="D44" s="121" t="s">
        <v>3882</v>
      </c>
    </row>
    <row r="45">
      <c r="A45" s="2" t="s">
        <v>3883</v>
      </c>
      <c r="B45" s="113"/>
      <c r="C45" s="113" t="s">
        <v>3884</v>
      </c>
      <c r="D45" s="121" t="s">
        <v>3885</v>
      </c>
    </row>
    <row r="46">
      <c r="A46" s="2" t="s">
        <v>3886</v>
      </c>
      <c r="B46" s="113"/>
      <c r="C46" s="113" t="s">
        <v>3887</v>
      </c>
      <c r="D46" s="121" t="s">
        <v>3888</v>
      </c>
    </row>
    <row r="47">
      <c r="A47" s="2" t="s">
        <v>3889</v>
      </c>
      <c r="B47" s="113"/>
      <c r="C47" s="113" t="s">
        <v>3890</v>
      </c>
      <c r="D47" s="121" t="s">
        <v>3891</v>
      </c>
    </row>
    <row r="48">
      <c r="A48" s="2" t="s">
        <v>3892</v>
      </c>
      <c r="B48" s="26"/>
      <c r="C48" s="26" t="s">
        <v>3893</v>
      </c>
      <c r="D48" s="121" t="s">
        <v>3894</v>
      </c>
    </row>
    <row r="49">
      <c r="A49" s="2" t="s">
        <v>3895</v>
      </c>
      <c r="B49" s="26"/>
      <c r="C49" s="26" t="s">
        <v>3896</v>
      </c>
      <c r="D49" s="121" t="s">
        <v>3897</v>
      </c>
    </row>
    <row r="50">
      <c r="A50" s="2" t="s">
        <v>3898</v>
      </c>
      <c r="B50" s="26"/>
      <c r="C50" s="26" t="s">
        <v>3899</v>
      </c>
      <c r="D50" s="121" t="s">
        <v>3900</v>
      </c>
    </row>
    <row r="51">
      <c r="A51" s="2" t="s">
        <v>3901</v>
      </c>
      <c r="B51" s="26"/>
      <c r="C51" s="26" t="s">
        <v>3902</v>
      </c>
      <c r="D51" s="121" t="s">
        <v>3903</v>
      </c>
    </row>
    <row r="52">
      <c r="A52" s="2" t="s">
        <v>3904</v>
      </c>
      <c r="B52" s="26"/>
      <c r="C52" s="26" t="s">
        <v>3905</v>
      </c>
      <c r="D52" s="121" t="s">
        <v>3906</v>
      </c>
    </row>
    <row r="53">
      <c r="A53" s="2" t="s">
        <v>3907</v>
      </c>
      <c r="B53" s="26"/>
      <c r="C53" s="26" t="s">
        <v>3153</v>
      </c>
      <c r="D53" s="121" t="s">
        <v>3154</v>
      </c>
    </row>
    <row r="54">
      <c r="A54" s="2" t="s">
        <v>3908</v>
      </c>
      <c r="B54" s="26"/>
      <c r="C54" s="26" t="s">
        <v>3909</v>
      </c>
      <c r="D54" s="121" t="s">
        <v>3910</v>
      </c>
    </row>
    <row r="55">
      <c r="A55" s="165" t="str">
        <f>IFERROR(__xludf.DUMMYFUNCTION("JOIN(""-"",""app"",SPLIT(LOWER( C55),"" ""))"),"app-select-due-date-range")</f>
        <v>app-select-due-date-range</v>
      </c>
      <c r="B55" s="106"/>
      <c r="C55" s="106" t="s">
        <v>1486</v>
      </c>
      <c r="D55" s="127" t="s">
        <v>1487</v>
      </c>
    </row>
    <row r="56">
      <c r="A56" s="165" t="str">
        <f>IFERROR(__xludf.DUMMYFUNCTION("JOIN(""-"",""app"",SPLIT(LOWER( C56),"" ""))"),"app-are-you-sure-you-want-to-delete-the-template?")</f>
        <v>app-are-you-sure-you-want-to-delete-the-template?</v>
      </c>
      <c r="B56" s="106"/>
      <c r="C56" s="106" t="s">
        <v>3797</v>
      </c>
      <c r="D56" s="106" t="s">
        <v>3798</v>
      </c>
    </row>
    <row r="57">
      <c r="A57" s="165" t="str">
        <f>IFERROR(__xludf.DUMMYFUNCTION("JOIN(""-"",""app"",SPLIT(LOWER( C57),"" ""))"),"app-selected")</f>
        <v>app-selected</v>
      </c>
      <c r="B57" s="106"/>
      <c r="C57" s="106" t="s">
        <v>757</v>
      </c>
      <c r="D57" s="106" t="s">
        <v>3707</v>
      </c>
    </row>
    <row r="58">
      <c r="A58" s="165" t="str">
        <f>IFERROR(__xludf.DUMMYFUNCTION("JOIN(""-"",""app"",SPLIT(LOWER( C58),"" ""))"),"app-name")</f>
        <v>app-name</v>
      </c>
      <c r="B58" s="106"/>
      <c r="C58" s="106" t="s">
        <v>327</v>
      </c>
      <c r="D58" s="106" t="s">
        <v>328</v>
      </c>
    </row>
    <row r="59">
      <c r="A59" s="165" t="str">
        <f>IFERROR(__xludf.DUMMYFUNCTION("JOIN(""-"",""app"",SPLIT(LOWER( C59),"" ""))"),"app-new-checklist")</f>
        <v>app-new-checklist</v>
      </c>
      <c r="B59" s="106"/>
      <c r="C59" s="106" t="s">
        <v>3079</v>
      </c>
      <c r="D59" s="106" t="s">
        <v>3080</v>
      </c>
    </row>
    <row r="60">
      <c r="A60" s="165" t="str">
        <f>IFERROR(__xludf.DUMMYFUNCTION("JOIN(""-"",""app"",SPLIT(LOWER( C60),"" ""))"),"app-checklist-name")</f>
        <v>app-checklist-name</v>
      </c>
      <c r="B60" s="106"/>
      <c r="C60" s="106" t="s">
        <v>3805</v>
      </c>
      <c r="D60" s="106" t="s">
        <v>3806</v>
      </c>
    </row>
    <row r="61">
      <c r="A61" s="165" t="str">
        <f>IFERROR(__xludf.DUMMYFUNCTION("JOIN(""-"",""app"",SPLIT(LOWER( C61),"" ""))"),"app-create-new-checklist")</f>
        <v>app-create-new-checklist</v>
      </c>
      <c r="B61" s="106"/>
      <c r="C61" s="106" t="s">
        <v>3808</v>
      </c>
      <c r="D61" s="106" t="s">
        <v>3809</v>
      </c>
    </row>
    <row r="62">
      <c r="A62" s="165" t="str">
        <f>IFERROR(__xludf.DUMMYFUNCTION("JOIN(""-"",""app"",SPLIT(LOWER( C62),"" ""))"),"app-are-you-sure-you-want-to-delete-the-checklist?")</f>
        <v>app-are-you-sure-you-want-to-delete-the-checklist?</v>
      </c>
      <c r="B62" s="106"/>
      <c r="C62" s="106" t="s">
        <v>3811</v>
      </c>
      <c r="D62" s="106" t="s">
        <v>3812</v>
      </c>
    </row>
    <row r="63">
      <c r="A63" s="68" t="str">
        <f>IFERROR(__xludf.DUMMYFUNCTION("JOIN(""-"",""app"",SPLIT(LOWER( C63),"" ""))"),"app-report-dashboard")</f>
        <v>app-report-dashboard</v>
      </c>
      <c r="B63" s="106"/>
      <c r="C63" s="106" t="s">
        <v>3344</v>
      </c>
      <c r="D63" s="106" t="s">
        <v>3345</v>
      </c>
    </row>
    <row r="64">
      <c r="A64" s="68" t="str">
        <f>IFERROR(__xludf.DUMMYFUNCTION("JOIN(""-"",""app"",SPLIT(LOWER( C64),"" ""))"),"app-new-view")</f>
        <v>app-new-view</v>
      </c>
      <c r="B64" s="106"/>
      <c r="C64" s="106" t="s">
        <v>3346</v>
      </c>
      <c r="D64" s="106" t="s">
        <v>3347</v>
      </c>
    </row>
    <row r="65">
      <c r="A65" s="68" t="str">
        <f>IFERROR(__xludf.DUMMYFUNCTION("JOIN(""-"",""app"",SPLIT(LOWER( C65),"" ""))"),"app-no-description")</f>
        <v>app-no-description</v>
      </c>
      <c r="B65" s="106"/>
      <c r="C65" s="106" t="s">
        <v>43</v>
      </c>
      <c r="D65" s="106" t="s">
        <v>3364</v>
      </c>
    </row>
    <row r="66">
      <c r="A66" s="68" t="str">
        <f>IFERROR(__xludf.DUMMYFUNCTION("JOIN(""-"",""app"",SPLIT(LOWER( C66),"" ""))"),"app-no-teams-assigned")</f>
        <v>app-no-teams-assigned</v>
      </c>
      <c r="B66" s="106"/>
      <c r="C66" s="106" t="s">
        <v>2333</v>
      </c>
      <c r="D66" s="106" t="s">
        <v>2334</v>
      </c>
    </row>
    <row r="67">
      <c r="A67" s="68" t="str">
        <f>IFERROR(__xludf.DUMMYFUNCTION("JOIN(""-"",""app"",SPLIT(LOWER( C67),"" ""))"),"app-download-csv")</f>
        <v>app-download-csv</v>
      </c>
      <c r="B67" s="106"/>
      <c r="C67" s="106" t="s">
        <v>3367</v>
      </c>
      <c r="D67" s="106" t="s">
        <v>3368</v>
      </c>
    </row>
    <row r="68">
      <c r="A68" s="68" t="str">
        <f>IFERROR(__xludf.DUMMYFUNCTION("JOIN(""-"",""app"",SPLIT(LOWER( C68),"" ""))"),"app-tickets-progress")</f>
        <v>app-tickets-progress</v>
      </c>
      <c r="B68" s="106"/>
      <c r="C68" s="106" t="s">
        <v>3369</v>
      </c>
      <c r="D68" s="106" t="s">
        <v>3370</v>
      </c>
    </row>
    <row r="69">
      <c r="A69" s="68" t="str">
        <f>IFERROR(__xludf.DUMMYFUNCTION("JOIN(""-"",""app"",SPLIT(LOWER( C69),"" ""))"),"app-download-plot")</f>
        <v>app-download-plot</v>
      </c>
      <c r="B69" s="106"/>
      <c r="C69" s="106" t="s">
        <v>3372</v>
      </c>
      <c r="D69" s="106" t="s">
        <v>3373</v>
      </c>
    </row>
    <row r="70">
      <c r="A70" s="68" t="str">
        <f>IFERROR(__xludf.DUMMYFUNCTION("JOIN(""-"",""app"",SPLIT(LOWER( C70),"" ""))"),"app-zoom")</f>
        <v>app-zoom</v>
      </c>
      <c r="B70" s="106"/>
      <c r="C70" s="106" t="s">
        <v>3376</v>
      </c>
      <c r="D70" s="106" t="s">
        <v>3377</v>
      </c>
    </row>
    <row r="71">
      <c r="A71" s="68" t="str">
        <f>IFERROR(__xludf.DUMMYFUNCTION("JOIN(""-"",""app"",SPLIT(LOWER( C71),"" ""))"),"app-pan")</f>
        <v>app-pan</v>
      </c>
      <c r="B71" s="106"/>
      <c r="C71" s="106" t="s">
        <v>3380</v>
      </c>
      <c r="D71" s="106" t="s">
        <v>3381</v>
      </c>
    </row>
    <row r="72">
      <c r="A72" s="68" t="str">
        <f>IFERROR(__xludf.DUMMYFUNCTION("JOIN(""-"",""app"",SPLIT(LOWER( C72),"" ""))"),"app-zoom-in")</f>
        <v>app-zoom-in</v>
      </c>
      <c r="B72" s="106"/>
      <c r="C72" s="106" t="s">
        <v>2770</v>
      </c>
      <c r="D72" s="106" t="s">
        <v>2771</v>
      </c>
    </row>
    <row r="73">
      <c r="A73" s="68" t="str">
        <f>IFERROR(__xludf.DUMMYFUNCTION("JOIN(""-"",""app"",SPLIT(LOWER( C73),"" ""))"),"app-zoom-out")</f>
        <v>app-zoom-out</v>
      </c>
      <c r="B73" s="106"/>
      <c r="C73" s="106" t="s">
        <v>2774</v>
      </c>
      <c r="D73" s="106" t="s">
        <v>2775</v>
      </c>
    </row>
    <row r="74">
      <c r="A74" s="68" t="str">
        <f>IFERROR(__xludf.DUMMYFUNCTION("JOIN(""-"",""app"",SPLIT(LOWER( C74),"" ""))"),"app-create-thermal-view-for")</f>
        <v>app-create-thermal-view-for</v>
      </c>
      <c r="B74" s="106"/>
      <c r="C74" s="106" t="s">
        <v>3440</v>
      </c>
      <c r="D74" s="106" t="s">
        <v>3441</v>
      </c>
    </row>
    <row r="75">
      <c r="A75" s="68" t="str">
        <f>IFERROR(__xludf.DUMMYFUNCTION("JOIN(""-"",""app"",SPLIT(LOWER( C75),"" ""))"),"app-select")</f>
        <v>app-select</v>
      </c>
      <c r="B75" s="106"/>
      <c r="C75" s="106" t="s">
        <v>971</v>
      </c>
      <c r="D75" s="106" t="s">
        <v>972</v>
      </c>
    </row>
    <row r="76">
      <c r="A76" s="68" t="str">
        <f>IFERROR(__xludf.DUMMYFUNCTION("JOIN(""-"",""app"",SPLIT(LOWER( C76),"" ""))"),"app-asset?")</f>
        <v>app-asset?</v>
      </c>
      <c r="B76" s="106"/>
      <c r="C76" s="106" t="s">
        <v>3443</v>
      </c>
      <c r="D76" s="106" t="s">
        <v>3444</v>
      </c>
    </row>
    <row r="77">
      <c r="A77" s="68" t="str">
        <f>IFERROR(__xludf.DUMMYFUNCTION("JOIN(""-"",""app"",SPLIT(LOWER( C77),"" ""))"),"app-temperature-difference")</f>
        <v>app-temperature-difference</v>
      </c>
      <c r="B77" s="106"/>
      <c r="C77" s="106" t="s">
        <v>3359</v>
      </c>
      <c r="D77" s="106" t="s">
        <v>3360</v>
      </c>
    </row>
    <row r="78">
      <c r="A78" s="68" t="str">
        <f>IFERROR(__xludf.DUMMYFUNCTION("JOIN(""-"",""app"",SPLIT(LOWER( C78),"" ""))"),"app-create-thermal-new")</f>
        <v>app-create-thermal-new</v>
      </c>
      <c r="B78" s="106"/>
      <c r="C78" s="106" t="s">
        <v>3445</v>
      </c>
      <c r="D78" s="106" t="s">
        <v>3446</v>
      </c>
    </row>
    <row r="79">
      <c r="A79" s="142" t="s">
        <v>34</v>
      </c>
      <c r="B79" s="118"/>
      <c r="C79" s="118" t="s">
        <v>35</v>
      </c>
      <c r="D79" s="118" t="s">
        <v>36</v>
      </c>
    </row>
    <row r="80">
      <c r="A80" s="142" t="s">
        <v>3449</v>
      </c>
      <c r="B80" s="118"/>
      <c r="C80" s="118" t="s">
        <v>3450</v>
      </c>
      <c r="D80" s="118" t="s">
        <v>3451</v>
      </c>
    </row>
    <row r="81">
      <c r="A81" s="142" t="s">
        <v>3452</v>
      </c>
      <c r="B81" s="118"/>
      <c r="C81" s="118" t="s">
        <v>3453</v>
      </c>
      <c r="D81" s="26" t="s">
        <v>3454</v>
      </c>
    </row>
    <row r="82">
      <c r="A82" s="142" t="s">
        <v>3458</v>
      </c>
      <c r="B82" s="118"/>
      <c r="C82" s="118" t="s">
        <v>2530</v>
      </c>
      <c r="D82" s="118" t="s">
        <v>2531</v>
      </c>
    </row>
    <row r="83">
      <c r="A83" s="142" t="s">
        <v>3459</v>
      </c>
      <c r="B83" s="118"/>
      <c r="C83" s="118" t="s">
        <v>1638</v>
      </c>
      <c r="D83" s="118" t="s">
        <v>3461</v>
      </c>
    </row>
    <row r="84">
      <c r="A84" s="142" t="s">
        <v>3462</v>
      </c>
      <c r="B84" s="118"/>
      <c r="C84" s="118" t="s">
        <v>2534</v>
      </c>
      <c r="D84" s="118" t="s">
        <v>2535</v>
      </c>
    </row>
    <row r="85">
      <c r="A85" s="142" t="s">
        <v>3463</v>
      </c>
      <c r="B85" s="118"/>
      <c r="C85" s="118" t="s">
        <v>3465</v>
      </c>
      <c r="D85" s="118" t="s">
        <v>3466</v>
      </c>
    </row>
    <row r="86">
      <c r="A86" s="142" t="s">
        <v>3467</v>
      </c>
      <c r="B86" s="118"/>
      <c r="C86" s="118" t="s">
        <v>3469</v>
      </c>
      <c r="D86" s="118" t="s">
        <v>3470</v>
      </c>
    </row>
    <row r="87">
      <c r="A87" s="142" t="s">
        <v>3471</v>
      </c>
      <c r="B87" s="118"/>
      <c r="C87" s="118" t="s">
        <v>3472</v>
      </c>
      <c r="D87" s="118" t="s">
        <v>3473</v>
      </c>
    </row>
    <row r="88">
      <c r="A88" s="68" t="str">
        <f>IFERROR(__xludf.DUMMYFUNCTION("JOIN(""-"",""app"",SPLIT(LOWER( C88),"" ""))"),"app-issue-timestamp")</f>
        <v>app-issue-timestamp</v>
      </c>
      <c r="B88" s="106"/>
      <c r="C88" s="106" t="s">
        <v>3578</v>
      </c>
      <c r="D88" s="106" t="s">
        <v>94</v>
      </c>
    </row>
    <row r="89">
      <c r="A89" s="68" t="str">
        <f>IFERROR(__xludf.DUMMYFUNCTION("JOIN(""-"",""app"",SPLIT(LOWER( C89),"" ""))"),"app-status")</f>
        <v>app-status</v>
      </c>
      <c r="B89" s="106"/>
      <c r="C89" s="106" t="s">
        <v>339</v>
      </c>
      <c r="D89" s="106" t="s">
        <v>340</v>
      </c>
    </row>
    <row r="90">
      <c r="A90" s="68" t="str">
        <f>IFERROR(__xludf.DUMMYFUNCTION("JOIN(""-"",""app"",SPLIT(LOWER( C90),"" ""))"),"app-not-available")</f>
        <v>app-not-available</v>
      </c>
      <c r="B90" s="106"/>
      <c r="C90" s="106" t="s">
        <v>3580</v>
      </c>
      <c r="D90" s="106" t="s">
        <v>3575</v>
      </c>
    </row>
    <row r="91">
      <c r="A91" s="2" t="s">
        <v>3678</v>
      </c>
      <c r="B91" s="192"/>
      <c r="C91" s="192" t="s">
        <v>3679</v>
      </c>
      <c r="D91" s="148" t="s">
        <v>3680</v>
      </c>
    </row>
    <row r="92">
      <c r="A92" s="2" t="s">
        <v>3682</v>
      </c>
      <c r="B92" s="193"/>
      <c r="C92" s="193" t="s">
        <v>3683</v>
      </c>
      <c r="D92" s="148" t="s">
        <v>3684</v>
      </c>
    </row>
    <row r="93">
      <c r="A93" s="68" t="str">
        <f>IFERROR(__xludf.DUMMYFUNCTION("JOIN(""-"",""app"",SPLIT(LOWER( C93),"" ""))"),"app-create-terra-view-for")</f>
        <v>app-create-terra-view-for</v>
      </c>
      <c r="B93" s="106"/>
      <c r="C93" s="106" t="s">
        <v>2433</v>
      </c>
      <c r="D93" s="106" t="s">
        <v>2434</v>
      </c>
    </row>
    <row r="94">
      <c r="A94" s="68" t="str">
        <f>IFERROR(__xludf.DUMMYFUNCTION("JOIN(""-"",""app"",SPLIT(LOWER( C94),"" ""))"),"app-new-terra")</f>
        <v>app-new-terra</v>
      </c>
      <c r="B94" s="106"/>
      <c r="C94" s="106" t="s">
        <v>2436</v>
      </c>
      <c r="D94" s="106" t="s">
        <v>2437</v>
      </c>
    </row>
    <row r="95">
      <c r="A95" s="68" t="str">
        <f>IFERROR(__xludf.DUMMYFUNCTION("JOIN(""-"",""app"",SPLIT(LOWER( C95),"" ""))"),"app-add-groups")</f>
        <v>app-add-groups</v>
      </c>
      <c r="B95" s="106"/>
      <c r="C95" s="106" t="s">
        <v>2439</v>
      </c>
      <c r="D95" s="106" t="s">
        <v>2440</v>
      </c>
    </row>
    <row r="96">
      <c r="A96" s="68" t="str">
        <f>IFERROR(__xludf.DUMMYFUNCTION("JOIN(""-"",""app"",SPLIT(LOWER( C96),"" ""))"),"app-search-groups")</f>
        <v>app-search-groups</v>
      </c>
      <c r="B96" s="106"/>
      <c r="C96" s="106" t="s">
        <v>2442</v>
      </c>
      <c r="D96" s="106" t="s">
        <v>2443</v>
      </c>
    </row>
    <row r="97">
      <c r="A97" s="68" t="str">
        <f>IFERROR(__xludf.DUMMYFUNCTION("JOIN(""-"",""app"",SPLIT(LOWER( C97),"" ""))"),"app-create-terra-view")</f>
        <v>app-create-terra-view</v>
      </c>
      <c r="B97" s="106"/>
      <c r="C97" s="106" t="s">
        <v>2445</v>
      </c>
      <c r="D97" s="106" t="s">
        <v>2446</v>
      </c>
    </row>
    <row r="98">
      <c r="A98" s="68" t="str">
        <f>IFERROR(__xludf.DUMMYFUNCTION("JOIN(""-"",""app"",SPLIT(LOWER( C98),"" ""))"),"app-enter-tags")</f>
        <v>app-enter-tags</v>
      </c>
      <c r="B98" s="106"/>
      <c r="C98" s="106" t="s">
        <v>2105</v>
      </c>
      <c r="D98" s="106" t="s">
        <v>2106</v>
      </c>
    </row>
    <row r="99">
      <c r="A99" s="68" t="str">
        <f>IFERROR(__xludf.DUMMYFUNCTION("JOIN(""-"",""app"",SPLIT(LOWER( C99),"" ""))"),"app-are-you-sure-you-want-to-delete-the-terra?")</f>
        <v>app-are-you-sure-you-want-to-delete-the-terra?</v>
      </c>
      <c r="B99" s="106"/>
      <c r="C99" s="106" t="s">
        <v>2450</v>
      </c>
      <c r="D99" s="106" t="s">
        <v>2451</v>
      </c>
    </row>
    <row r="100">
      <c r="A100" s="68" t="str">
        <f>IFERROR(__xludf.DUMMYFUNCTION("JOIN(""-"",""app"",SPLIT(LOWER( C100),"" ""))"),"app-properties")</f>
        <v>app-properties</v>
      </c>
      <c r="B100" s="106"/>
      <c r="C100" s="106" t="s">
        <v>2558</v>
      </c>
      <c r="D100" s="106" t="s">
        <v>2559</v>
      </c>
    </row>
    <row r="101">
      <c r="A101" s="68" t="str">
        <f>IFERROR(__xludf.DUMMYFUNCTION("JOIN(""-"",""app"",SPLIT(LOWER( C101),"" ""))"),"app-volume-calculation")</f>
        <v>app-volume-calculation</v>
      </c>
      <c r="B101" s="106"/>
      <c r="C101" s="106" t="s">
        <v>2652</v>
      </c>
      <c r="D101" s="122" t="s">
        <v>2653</v>
      </c>
    </row>
    <row r="102">
      <c r="A102" s="68" t="str">
        <f>IFERROR(__xludf.DUMMYFUNCTION("JOIN(""-"",""app"",SPLIT(LOWER( C102),"" ""))"),"app-calculation")</f>
        <v>app-calculation</v>
      </c>
      <c r="B102" s="106"/>
      <c r="C102" s="106" t="s">
        <v>2656</v>
      </c>
      <c r="D102" s="122" t="s">
        <v>2657</v>
      </c>
    </row>
    <row r="103">
      <c r="A103" s="68" t="str">
        <f>IFERROR(__xludf.DUMMYFUNCTION("JOIN(""-"",""app"",SPLIT(LOWER( C103),"" ""))"),"app-volume")</f>
        <v>app-volume</v>
      </c>
      <c r="B103" s="106"/>
      <c r="C103" s="106" t="s">
        <v>2658</v>
      </c>
      <c r="D103" s="122" t="s">
        <v>2659</v>
      </c>
    </row>
    <row r="104">
      <c r="A104" s="68" t="str">
        <f>IFERROR(__xludf.DUMMYFUNCTION("JOIN(""-"",""app"",SPLIT(LOWER( C104),"" ""))"),"app-calculate-volume")</f>
        <v>app-calculate-volume</v>
      </c>
      <c r="B104" s="106"/>
      <c r="C104" s="106" t="s">
        <v>2661</v>
      </c>
      <c r="D104" s="122" t="s">
        <v>2662</v>
      </c>
    </row>
    <row r="105">
      <c r="A105" s="68" t="str">
        <f>IFERROR(__xludf.DUMMYFUNCTION("JOIN(""-"",""app"",SPLIT(LOWER( C105),"" ""))"),"app-method")</f>
        <v>app-method</v>
      </c>
      <c r="B105" s="106"/>
      <c r="C105" s="106" t="s">
        <v>2664</v>
      </c>
      <c r="D105" s="122" t="s">
        <v>2665</v>
      </c>
    </row>
    <row r="106">
      <c r="A106" s="68" t="str">
        <f>IFERROR(__xludf.DUMMYFUNCTION("JOIN(""-"",""app"",SPLIT(LOWER( C106),"" ""))"),"app-base-height")</f>
        <v>app-base-height</v>
      </c>
      <c r="B106" s="106"/>
      <c r="C106" s="106" t="s">
        <v>2666</v>
      </c>
      <c r="D106" s="122" t="s">
        <v>2667</v>
      </c>
    </row>
    <row r="107">
      <c r="A107" s="68" t="str">
        <f>IFERROR(__xludf.DUMMYFUNCTION("JOIN(""-"",""app"",SPLIT(LOWER( C107),"" ""))"),"app-triangulated")</f>
        <v>app-triangulated</v>
      </c>
      <c r="B107" s="106"/>
      <c r="C107" s="106" t="s">
        <v>2668</v>
      </c>
      <c r="D107" s="122" t="s">
        <v>2669</v>
      </c>
    </row>
    <row r="108">
      <c r="A108" s="68" t="str">
        <f>IFERROR(__xludf.DUMMYFUNCTION("JOIN(""-"",""app"",SPLIT(LOWER( C108),"" ""))"),"app-surface-to-surface")</f>
        <v>app-surface-to-surface</v>
      </c>
      <c r="B108" s="106"/>
      <c r="C108" s="106" t="s">
        <v>2671</v>
      </c>
      <c r="D108" s="122" t="s">
        <v>2672</v>
      </c>
    </row>
    <row r="109">
      <c r="A109" s="68" t="str">
        <f>IFERROR(__xludf.DUMMYFUNCTION("JOIN(""-"",""app"",SPLIT(LOWER( C109),"" ""))"),"app-height-(m)")</f>
        <v>app-height-(m)</v>
      </c>
      <c r="B109" s="106"/>
      <c r="C109" s="106" t="s">
        <v>2673</v>
      </c>
      <c r="D109" s="122" t="s">
        <v>2674</v>
      </c>
    </row>
    <row r="110">
      <c r="A110" s="68" t="str">
        <f>IFERROR(__xludf.DUMMYFUNCTION("JOIN(""-"",""app"",SPLIT(LOWER( C110),"" ""))"),"app-select-from-extend")</f>
        <v>app-select-from-extend</v>
      </c>
      <c r="B110" s="106"/>
      <c r="C110" s="106" t="s">
        <v>2676</v>
      </c>
      <c r="D110" s="122" t="s">
        <v>2677</v>
      </c>
    </row>
    <row r="111">
      <c r="A111" s="68" t="str">
        <f>IFERROR(__xludf.DUMMYFUNCTION("JOIN(""-"",""app"",SPLIT(LOWER( C111),"" ""))"),"app-select-bounds-from-map")</f>
        <v>app-select-bounds-from-map</v>
      </c>
      <c r="B111" s="106"/>
      <c r="C111" s="106" t="s">
        <v>2679</v>
      </c>
      <c r="D111" s="122" t="s">
        <v>2680</v>
      </c>
    </row>
    <row r="112">
      <c r="A112" s="68" t="str">
        <f>IFERROR(__xludf.DUMMYFUNCTION("JOIN(""-"",""app"",SPLIT(LOWER( C112),"" ""))"),"app-elevation-profile")</f>
        <v>app-elevation-profile</v>
      </c>
      <c r="B112" s="106"/>
      <c r="C112" s="106" t="s">
        <v>2682</v>
      </c>
      <c r="D112" s="122" t="s">
        <v>2683</v>
      </c>
    </row>
    <row r="113">
      <c r="A113" s="68" t="str">
        <f>IFERROR(__xludf.DUMMYFUNCTION("JOIN(""-"",""app"",SPLIT(LOWER( C113),"" ""))"),"app-elevation")</f>
        <v>app-elevation</v>
      </c>
      <c r="B113" s="106"/>
      <c r="C113" s="106" t="s">
        <v>2684</v>
      </c>
      <c r="D113" s="122" t="s">
        <v>2685</v>
      </c>
    </row>
    <row r="114">
      <c r="A114" s="68" t="str">
        <f>IFERROR(__xludf.DUMMYFUNCTION("JOIN(""-"",""app"",SPLIT(LOWER( C114),"" ""))"),"app-calculate-elevation")</f>
        <v>app-calculate-elevation</v>
      </c>
      <c r="B114" s="106"/>
      <c r="C114" s="106" t="s">
        <v>2687</v>
      </c>
      <c r="D114" s="122" t="s">
        <v>2688</v>
      </c>
    </row>
    <row r="115">
      <c r="A115" s="68" t="str">
        <f>IFERROR(__xludf.DUMMYFUNCTION("JOIN(""-"",""app"",SPLIT(LOWER( C115),"" ""))"),"app-line")</f>
        <v>app-line</v>
      </c>
      <c r="B115" s="106"/>
      <c r="C115" s="106" t="s">
        <v>2691</v>
      </c>
      <c r="D115" s="122" t="s">
        <v>2692</v>
      </c>
    </row>
    <row r="116">
      <c r="A116" s="68" t="str">
        <f>IFERROR(__xludf.DUMMYFUNCTION("JOIN(""-"",""app"",SPLIT(LOWER( C116),"" ""))"),"app-layer")</f>
        <v>app-layer</v>
      </c>
      <c r="B116" s="106"/>
      <c r="C116" s="106" t="s">
        <v>2693</v>
      </c>
      <c r="D116" s="122" t="s">
        <v>2694</v>
      </c>
    </row>
    <row r="117">
      <c r="A117" s="68" t="str">
        <f>IFERROR(__xludf.DUMMYFUNCTION("JOIN(""-"",""app"",SPLIT(LOWER( C117),"" ""))"),"app-sampling-(m)")</f>
        <v>app-sampling-(m)</v>
      </c>
      <c r="B117" s="106"/>
      <c r="C117" s="106" t="s">
        <v>2696</v>
      </c>
      <c r="D117" s="122" t="s">
        <v>2697</v>
      </c>
    </row>
    <row r="118">
      <c r="A118" s="68" t="str">
        <f>IFERROR(__xludf.DUMMYFUNCTION("JOIN(""-"",""app"",SPLIT(LOWER( C118),"" ""))"),"app-choose-extend")</f>
        <v>app-choose-extend</v>
      </c>
      <c r="B118" s="106"/>
      <c r="C118" s="106" t="s">
        <v>2699</v>
      </c>
      <c r="D118" s="122" t="s">
        <v>2700</v>
      </c>
    </row>
    <row r="119">
      <c r="A119" s="68" t="str">
        <f>IFERROR(__xludf.DUMMYFUNCTION("JOIN(""-"",""app"",SPLIT(LOWER( C119),"" ""))"),"app-point")</f>
        <v>app-point</v>
      </c>
      <c r="B119" s="106"/>
      <c r="C119" s="106" t="s">
        <v>2703</v>
      </c>
      <c r="D119" s="122" t="s">
        <v>2704</v>
      </c>
    </row>
    <row r="120">
      <c r="A120" s="68" t="str">
        <f>IFERROR(__xludf.DUMMYFUNCTION("JOIN(""-"",""app"",SPLIT(LOWER( C120),"" ""))"),"app-select-from-map")</f>
        <v>app-select-from-map</v>
      </c>
      <c r="B120" s="106"/>
      <c r="C120" s="106" t="s">
        <v>2706</v>
      </c>
      <c r="D120" s="122" t="s">
        <v>2707</v>
      </c>
    </row>
    <row r="121">
      <c r="A121" s="68" t="str">
        <f>IFERROR(__xludf.DUMMYFUNCTION("JOIN(""-"",""app"",SPLIT(LOWER( C121),"" ""))"),"app-feature-details")</f>
        <v>app-feature-details</v>
      </c>
      <c r="B121" s="106"/>
      <c r="C121" s="106" t="s">
        <v>2709</v>
      </c>
      <c r="D121" s="122" t="s">
        <v>2710</v>
      </c>
    </row>
    <row r="122">
      <c r="A122" s="68" t="str">
        <f>IFERROR(__xludf.DUMMYFUNCTION("JOIN(""-"",""app"",SPLIT(LOWER( C122),"" ""))"),"app-project-name")</f>
        <v>app-project-name</v>
      </c>
      <c r="B122" s="106"/>
      <c r="C122" s="106" t="s">
        <v>2713</v>
      </c>
      <c r="D122" s="122" t="s">
        <v>2714</v>
      </c>
    </row>
    <row r="123">
      <c r="A123" s="68" t="str">
        <f>IFERROR(__xludf.DUMMYFUNCTION("JOIN(""-"",""app"",SPLIT(LOWER( C123),"" ""))"),"app-base-height")</f>
        <v>app-base-height</v>
      </c>
      <c r="B123" s="106"/>
      <c r="C123" s="106" t="s">
        <v>2716</v>
      </c>
      <c r="D123" s="122" t="s">
        <v>2717</v>
      </c>
    </row>
    <row r="124">
      <c r="A124" s="68" t="str">
        <f>IFERROR(__xludf.DUMMYFUNCTION("JOIN(""-"",""app"",SPLIT(LOWER( C124),"" ""))"),"app-cut")</f>
        <v>app-cut</v>
      </c>
      <c r="B124" s="106"/>
      <c r="C124" s="106" t="s">
        <v>2720</v>
      </c>
      <c r="D124" s="122" t="s">
        <v>2721</v>
      </c>
    </row>
    <row r="125">
      <c r="A125" s="68" t="str">
        <f>IFERROR(__xludf.DUMMYFUNCTION("JOIN(""-"",""app"",SPLIT(LOWER( C125),"" ""))"),"app-fill")</f>
        <v>app-fill</v>
      </c>
      <c r="B125" s="62"/>
      <c r="C125" s="106" t="s">
        <v>2723</v>
      </c>
      <c r="D125" s="122" t="s">
        <v>2724</v>
      </c>
    </row>
    <row r="126">
      <c r="A126" s="68" t="str">
        <f>IFERROR(__xludf.DUMMYFUNCTION("JOIN(""-"",""app"",SPLIT(LOWER( C126),"" ""))"),"app-total")</f>
        <v>app-total</v>
      </c>
      <c r="B126" s="62"/>
      <c r="C126" s="106" t="s">
        <v>2726</v>
      </c>
      <c r="D126" s="122" t="s">
        <v>2726</v>
      </c>
    </row>
    <row r="127">
      <c r="A127" s="68" t="str">
        <f>IFERROR(__xludf.DUMMYFUNCTION("JOIN(""-"",""app"",SPLIT(LOWER( C127),"" ""))"),"app-assets-dashboard")</f>
        <v>app-assets-dashboard</v>
      </c>
      <c r="B127" s="62"/>
      <c r="C127" s="104" t="s">
        <v>2085</v>
      </c>
      <c r="D127" s="104" t="s">
        <v>2086</v>
      </c>
    </row>
    <row r="128">
      <c r="A128" s="68" t="str">
        <f>IFERROR(__xludf.DUMMYFUNCTION("JOIN(""-"",""app"",SPLIT(LOWER( C128),"" ""))"),"app-no-assets-found")</f>
        <v>app-no-assets-found</v>
      </c>
      <c r="B128" s="62"/>
      <c r="C128" s="104" t="s">
        <v>2087</v>
      </c>
      <c r="D128" s="104" t="s">
        <v>2088</v>
      </c>
    </row>
    <row r="129">
      <c r="A129" s="68" t="str">
        <f>IFERROR(__xludf.DUMMYFUNCTION("JOIN(""-"",""app"",SPLIT(LOWER( C129),"" ""))"),"app-create-asset-for")</f>
        <v>app-create-asset-for</v>
      </c>
      <c r="B129" s="62"/>
      <c r="C129" s="104" t="s">
        <v>2093</v>
      </c>
      <c r="D129" s="104" t="s">
        <v>2094</v>
      </c>
    </row>
    <row r="130">
      <c r="A130" s="68" t="str">
        <f>IFERROR(__xludf.DUMMYFUNCTION("JOIN(""-"",""app"",SPLIT(LOWER( C130),"" ""))"),"app-select-asset-type")</f>
        <v>app-select-asset-type</v>
      </c>
      <c r="B130" s="62"/>
      <c r="C130" s="104" t="s">
        <v>2096</v>
      </c>
      <c r="D130" s="104" t="s">
        <v>2097</v>
      </c>
    </row>
    <row r="131">
      <c r="A131" s="68" t="str">
        <f>IFERROR(__xludf.DUMMYFUNCTION("JOIN(""-"",""app"",SPLIT(LOWER( C131),"" ""))"),"app-select-entity")</f>
        <v>app-select-entity</v>
      </c>
      <c r="B131" s="62"/>
      <c r="C131" s="104" t="s">
        <v>2099</v>
      </c>
      <c r="D131" s="104" t="s">
        <v>2100</v>
      </c>
    </row>
    <row r="132">
      <c r="A132" s="68" t="str">
        <f>IFERROR(__xludf.DUMMYFUNCTION("JOIN(""-"",""app"",SPLIT(LOWER( C132),"" ""))"),"app-select-owner")</f>
        <v>app-select-owner</v>
      </c>
      <c r="B132" s="62"/>
      <c r="C132" s="104" t="s">
        <v>2102</v>
      </c>
      <c r="D132" s="104" t="s">
        <v>2103</v>
      </c>
    </row>
    <row r="133">
      <c r="A133" s="68" t="str">
        <f>IFERROR(__xludf.DUMMYFUNCTION("JOIN(""-"",""app"",SPLIT(LOWER( C133),"" ""))"),"app-browse")</f>
        <v>app-browse</v>
      </c>
      <c r="B133" s="62"/>
      <c r="C133" s="106" t="s">
        <v>2598</v>
      </c>
      <c r="D133" s="122" t="s">
        <v>2599</v>
      </c>
    </row>
    <row r="134">
      <c r="A134" s="68" t="str">
        <f>IFERROR(__xludf.DUMMYFUNCTION("JOIN(""-"",""app"",SPLIT(LOWER( C134),"" ""))"),"app-feature-type")</f>
        <v>app-feature-type</v>
      </c>
      <c r="B134" s="62"/>
      <c r="C134" s="106" t="s">
        <v>2581</v>
      </c>
      <c r="D134" s="122" t="s">
        <v>2582</v>
      </c>
    </row>
    <row r="135">
      <c r="A135" s="68" t="str">
        <f>IFERROR(__xludf.DUMMYFUNCTION("JOIN(""-"",""app"",SPLIT(LOWER( C135),"" ""))"),"app-add-priority")</f>
        <v>app-add-priority</v>
      </c>
      <c r="B135" s="62"/>
      <c r="C135" s="194" t="s">
        <v>1842</v>
      </c>
      <c r="D135" s="194" t="s">
        <v>1843</v>
      </c>
    </row>
    <row r="136">
      <c r="A136" s="68" t="str">
        <f>IFERROR(__xludf.DUMMYFUNCTION("JOIN(""-"",""app"",SPLIT(LOWER( C136),"" ""))"),"app-show-less")</f>
        <v>app-show-less</v>
      </c>
      <c r="B136" s="62"/>
      <c r="C136" s="106" t="s">
        <v>1672</v>
      </c>
      <c r="D136" s="106" t="s">
        <v>155</v>
      </c>
    </row>
    <row r="137">
      <c r="A137" s="68" t="str">
        <f>IFERROR(__xludf.DUMMYFUNCTION("JOIN(""-"",""app"",SPLIT(LOWER( C137),"" ""))"),"app-show-all")</f>
        <v>app-show-all</v>
      </c>
      <c r="B137" s="62"/>
      <c r="C137" s="104" t="s">
        <v>1674</v>
      </c>
      <c r="D137" s="104" t="s">
        <v>1937</v>
      </c>
    </row>
    <row r="138">
      <c r="A138" s="68" t="str">
        <f>IFERROR(__xludf.DUMMYFUNCTION("JOIN(""-"",""app"",SPLIT(LOWER( C138),"" ""))"),"app-drag-and-drop-files-here-to-upload.-you-can-add-users,-teams,-tags-and-multiple-versions-to-a-file.
you-can-share-a-file-with-other-members-without-adding-them-to-the-file.")</f>
        <v>app-drag-and-drop-files-here-to-upload.-you-can-add-users,-teams,-tags-and-multiple-versions-to-a-file.
you-can-share-a-file-with-other-members-without-adding-them-to-the-file.</v>
      </c>
      <c r="B138" s="62"/>
      <c r="C138" s="106" t="s">
        <v>3602</v>
      </c>
      <c r="D138" s="106" t="s">
        <v>3603</v>
      </c>
    </row>
    <row r="139">
      <c r="A139" s="68" t="str">
        <f>IFERROR(__xludf.DUMMYFUNCTION("JOIN(""-"",""app"",SPLIT(LOWER( C139),"" ""))"),"app-you-added-1-user")</f>
        <v>app-you-added-1-user</v>
      </c>
      <c r="B139" s="62"/>
      <c r="C139" s="106" t="s">
        <v>3606</v>
      </c>
      <c r="D139" s="106" t="s">
        <v>3607</v>
      </c>
    </row>
    <row r="140">
      <c r="A140" s="68" t="str">
        <f>IFERROR(__xludf.DUMMYFUNCTION("JOIN(""-"",""app"",SPLIT(LOWER( C140),"" ""))"),"app-you-created-a-new-file")</f>
        <v>app-you-created-a-new-file</v>
      </c>
      <c r="B140" s="62"/>
      <c r="C140" s="106" t="s">
        <v>3609</v>
      </c>
      <c r="D140" s="106" t="s">
        <v>3610</v>
      </c>
    </row>
    <row r="141">
      <c r="A141" s="68" t="str">
        <f>IFERROR(__xludf.DUMMYFUNCTION("JOIN(""-"",""app"",SPLIT(LOWER( C141),"" ""))"),"app-you-created-a-new-folder")</f>
        <v>app-you-created-a-new-folder</v>
      </c>
      <c r="B141" s="62"/>
      <c r="C141" s="106" t="s">
        <v>3612</v>
      </c>
      <c r="D141" s="106" t="s">
        <v>3613</v>
      </c>
    </row>
    <row r="142">
      <c r="A142" s="68" t="str">
        <f>IFERROR(__xludf.DUMMYFUNCTION("JOIN(""-"",""app"",SPLIT(LOWER( C142),"" ""))"),"app-mo")</f>
        <v>app-mo</v>
      </c>
      <c r="B142" s="62"/>
      <c r="C142" s="106" t="s">
        <v>551</v>
      </c>
      <c r="D142" s="106" t="s">
        <v>552</v>
      </c>
    </row>
    <row r="143">
      <c r="A143" s="68" t="str">
        <f>IFERROR(__xludf.DUMMYFUNCTION("JOIN(""-"",""app"",SPLIT(LOWER( C143),"" ""))"),"app-tu")</f>
        <v>app-tu</v>
      </c>
      <c r="B143" s="62"/>
      <c r="C143" s="106" t="s">
        <v>554</v>
      </c>
      <c r="D143" s="106" t="s">
        <v>555</v>
      </c>
    </row>
    <row r="144">
      <c r="A144" s="68" t="str">
        <f>IFERROR(__xludf.DUMMYFUNCTION("JOIN(""-"",""app"",SPLIT(LOWER( C144),"" ""))"),"app-wd")</f>
        <v>app-wd</v>
      </c>
      <c r="B144" s="62"/>
      <c r="C144" s="106" t="s">
        <v>557</v>
      </c>
      <c r="D144" s="106" t="s">
        <v>558</v>
      </c>
    </row>
    <row r="145">
      <c r="A145" s="68" t="str">
        <f>IFERROR(__xludf.DUMMYFUNCTION("JOIN(""-"",""app"",SPLIT(LOWER( C145),"" ""))"),"app-th")</f>
        <v>app-th</v>
      </c>
      <c r="B145" s="62"/>
      <c r="C145" s="106" t="s">
        <v>560</v>
      </c>
      <c r="D145" s="106" t="s">
        <v>561</v>
      </c>
    </row>
    <row r="146">
      <c r="A146" s="68" t="str">
        <f>IFERROR(__xludf.DUMMYFUNCTION("JOIN(""-"",""app"",SPLIT(LOWER( C146),"" ""))"),"app-fr")</f>
        <v>app-fr</v>
      </c>
      <c r="B146" s="62"/>
      <c r="C146" s="106" t="s">
        <v>563</v>
      </c>
      <c r="D146" s="106" t="s">
        <v>564</v>
      </c>
    </row>
    <row r="147">
      <c r="A147" s="68" t="str">
        <f>IFERROR(__xludf.DUMMYFUNCTION("JOIN(""-"",""app"",SPLIT(LOWER( C147),"" ""))"),"app-sa")</f>
        <v>app-sa</v>
      </c>
      <c r="B147" s="62"/>
      <c r="C147" s="106" t="s">
        <v>566</v>
      </c>
      <c r="D147" s="106" t="s">
        <v>567</v>
      </c>
    </row>
    <row r="148">
      <c r="A148" s="68" t="str">
        <f>IFERROR(__xludf.DUMMYFUNCTION("JOIN(""-"",""app"",SPLIT(LOWER( C148),"" ""))"),"app-su")</f>
        <v>app-su</v>
      </c>
      <c r="B148" s="62"/>
      <c r="C148" s="106" t="s">
        <v>569</v>
      </c>
      <c r="D148" s="106" t="s">
        <v>570</v>
      </c>
    </row>
    <row r="149">
      <c r="A149" s="68" t="str">
        <f>IFERROR(__xludf.DUMMYFUNCTION("JOIN(""-"",""app"",SPLIT(LOWER( C149),"" ""))"),"app-repeat-forever")</f>
        <v>app-repeat-forever</v>
      </c>
      <c r="B149" s="62"/>
      <c r="C149" s="106" t="s">
        <v>534</v>
      </c>
      <c r="D149" s="106" t="s">
        <v>535</v>
      </c>
    </row>
    <row r="150">
      <c r="A150" s="68" t="str">
        <f>IFERROR(__xludf.DUMMYFUNCTION("JOIN(""-"",""app"",SPLIT(LOWER( C150),"" ""))"),"app-comment")</f>
        <v>app-comment</v>
      </c>
      <c r="B150" s="62"/>
      <c r="C150" s="187" t="s">
        <v>3673</v>
      </c>
      <c r="D150" s="148" t="s">
        <v>3674</v>
      </c>
    </row>
    <row r="151">
      <c r="A151" s="68" t="str">
        <f>IFERROR(__xludf.DUMMYFUNCTION("JOIN(""-"",""app"",SPLIT(LOWER( C151),"" ""))"),"app-view-ticket")</f>
        <v>app-view-ticket</v>
      </c>
      <c r="B151" s="62"/>
      <c r="C151" s="187" t="s">
        <v>3675</v>
      </c>
      <c r="D151" s="148" t="s">
        <v>3676</v>
      </c>
    </row>
    <row r="152">
      <c r="A152" s="68" t="str">
        <f>IFERROR(__xludf.DUMMYFUNCTION("JOIN(""-"",""app"",SPLIT(LOWER( C152),"" ""))"),"app-copied-to-clipboard")</f>
        <v>app-copied-to-clipboard</v>
      </c>
      <c r="B152" s="62"/>
      <c r="C152" s="104" t="s">
        <v>1988</v>
      </c>
      <c r="D152" s="104" t="s">
        <v>1989</v>
      </c>
    </row>
    <row r="153">
      <c r="A153" s="68" t="str">
        <f>IFERROR(__xludf.DUMMYFUNCTION("JOIN(""-"",""app"",SPLIT(LOWER( C153),"" ""))"),"app-mobile-number")</f>
        <v>app-mobile-number</v>
      </c>
      <c r="B153" s="62"/>
      <c r="C153" s="104" t="s">
        <v>2378</v>
      </c>
      <c r="D153" s="104" t="s">
        <v>2379</v>
      </c>
    </row>
    <row r="154">
      <c r="A154" s="68" t="str">
        <f>IFERROR(__xludf.DUMMYFUNCTION("JOIN(""-"",""app"",SPLIT(LOWER( C154),"" ""))"),"app-type-email-address-and-press-enter")</f>
        <v>app-type-email-address-and-press-enter</v>
      </c>
      <c r="B154" s="62"/>
      <c r="C154" s="106" t="s">
        <v>2158</v>
      </c>
      <c r="D154" s="106" t="s">
        <v>2159</v>
      </c>
    </row>
    <row r="155">
      <c r="A155" s="68" t="str">
        <f>IFERROR(__xludf.DUMMYFUNCTION("JOIN(""-"",""app"",SPLIT(LOWER( C155),"" ""))"),"app-name-(optional)")</f>
        <v>app-name-(optional)</v>
      </c>
      <c r="B155" s="62"/>
      <c r="C155" s="104" t="s">
        <v>2161</v>
      </c>
      <c r="D155" s="104" t="s">
        <v>2162</v>
      </c>
    </row>
    <row r="156">
      <c r="A156" s="68" t="str">
        <f>IFERROR(__xludf.DUMMYFUNCTION("JOIN(""-"",""app"",SPLIT(LOWER( C156),"" ""))"),"app-type-name")</f>
        <v>app-type-name</v>
      </c>
      <c r="B156" s="62"/>
      <c r="C156" s="104" t="s">
        <v>2164</v>
      </c>
      <c r="D156" s="104" t="s">
        <v>2165</v>
      </c>
    </row>
    <row r="157">
      <c r="A157" s="68" t="str">
        <f>IFERROR(__xludf.DUMMYFUNCTION("JOIN(""-"",""app"",SPLIT(LOWER( C157),"" ""))"),"app-note")</f>
        <v>app-note</v>
      </c>
      <c r="B157" s="62"/>
      <c r="C157" s="104" t="s">
        <v>2167</v>
      </c>
      <c r="D157" s="104" t="s">
        <v>2168</v>
      </c>
    </row>
    <row r="158">
      <c r="A158" s="68" t="str">
        <f>IFERROR(__xludf.DUMMYFUNCTION("JOIN(""-"",""app"",SPLIT(LOWER( C158),"" ""))"),"app-users-from-other-organizations-will-be-added-as-a-guest-in-your-organization,-you-can-add-them-to-resources/teams-as-usual.")</f>
        <v>app-users-from-other-organizations-will-be-added-as-a-guest-in-your-organization,-you-can-add-them-to-resources/teams-as-usual.</v>
      </c>
      <c r="B158" s="62"/>
      <c r="C158" s="106" t="s">
        <v>2172</v>
      </c>
      <c r="D158" s="106" t="s">
        <v>2173</v>
      </c>
    </row>
    <row r="159">
      <c r="A159" s="68" t="str">
        <f>IFERROR(__xludf.DUMMYFUNCTION("JOIN(""-"",""app"",SPLIT(LOWER( C159),"" ""))"),"app-invite-guest-users")</f>
        <v>app-invite-guest-users</v>
      </c>
      <c r="B159" s="62"/>
      <c r="C159" s="104" t="s">
        <v>2175</v>
      </c>
      <c r="D159" s="104" t="s">
        <v>2144</v>
      </c>
    </row>
    <row r="160">
      <c r="A160" s="68" t="str">
        <f>IFERROR(__xludf.DUMMYFUNCTION("JOIN(""-"",""app"",SPLIT(LOWER( C160),"" ""))"),"app-unpin-ticket")</f>
        <v>app-unpin-ticket</v>
      </c>
      <c r="B160" s="62"/>
      <c r="C160" s="194" t="s">
        <v>2009</v>
      </c>
      <c r="D160" s="194" t="s">
        <v>2010</v>
      </c>
    </row>
    <row r="161">
      <c r="A161" s="68" t="str">
        <f>IFERROR(__xludf.DUMMYFUNCTION("JOIN(""-"",""app"",SPLIT(LOWER( C161),"" ""))"),"app-search-ticket")</f>
        <v>app-search-ticket</v>
      </c>
      <c r="B161" s="62"/>
      <c r="C161" s="106" t="s">
        <v>2826</v>
      </c>
      <c r="D161" s="106" t="s">
        <v>1127</v>
      </c>
    </row>
    <row r="162">
      <c r="A162" s="68" t="str">
        <f>IFERROR(__xludf.DUMMYFUNCTION("JOIN(""-"",""app"",SPLIT(LOWER( C162),"" ""))"),"app-none")</f>
        <v>app-none</v>
      </c>
      <c r="B162" s="62"/>
      <c r="C162" s="106" t="s">
        <v>439</v>
      </c>
      <c r="D162" s="127" t="s">
        <v>440</v>
      </c>
    </row>
    <row r="163">
      <c r="A163" s="68" t="str">
        <f>IFERROR(__xludf.DUMMYFUNCTION("JOIN(""-"",""app"",SPLIT(LOWER( C163),"" ""))"),"app-no-tickets")</f>
        <v>app-no-tickets</v>
      </c>
      <c r="B163" s="62"/>
      <c r="C163" s="106" t="s">
        <v>2831</v>
      </c>
      <c r="D163" s="106" t="s">
        <v>2832</v>
      </c>
    </row>
    <row r="164">
      <c r="A164" s="68" t="str">
        <f>IFERROR(__xludf.DUMMYFUNCTION("JOIN(""-"",""app"",SPLIT(LOWER( C164),"" ""))"),"app-no-results-found")</f>
        <v>app-no-results-found</v>
      </c>
      <c r="B164" s="62"/>
      <c r="C164" s="106" t="s">
        <v>2834</v>
      </c>
      <c r="D164" s="106" t="s">
        <v>2835</v>
      </c>
    </row>
    <row r="165">
      <c r="A165" s="68" t="str">
        <f>IFERROR(__xludf.DUMMYFUNCTION("JOIN(""-"",""app"",SPLIT(LOWER( C165),"" ""))"),"app-due-date")</f>
        <v>app-due-date</v>
      </c>
      <c r="B165" s="62"/>
      <c r="C165" s="106" t="s">
        <v>443</v>
      </c>
      <c r="D165" s="106" t="s">
        <v>1478</v>
      </c>
    </row>
    <row r="166">
      <c r="A166" s="68" t="str">
        <f>IFERROR(__xludf.DUMMYFUNCTION("JOIN(""-"",""app"",SPLIT(LOWER( C166),"" ""))"),"app-no-tags")</f>
        <v>app-no-tags</v>
      </c>
      <c r="B166" s="62"/>
      <c r="C166" s="106" t="s">
        <v>2841</v>
      </c>
      <c r="D166" s="127" t="s">
        <v>2842</v>
      </c>
    </row>
    <row r="167">
      <c r="A167" s="68" t="str">
        <f>IFERROR(__xludf.DUMMYFUNCTION("JOIN(""-"",""app"",SPLIT(LOWER( C167),"" ""))"),"app-type-here-to-add-description")</f>
        <v>app-type-here-to-add-description</v>
      </c>
      <c r="B167" s="62"/>
      <c r="C167" s="106" t="s">
        <v>2845</v>
      </c>
      <c r="D167" s="127" t="s">
        <v>2846</v>
      </c>
    </row>
    <row r="168">
      <c r="A168" s="68" t="str">
        <f>IFERROR(__xludf.DUMMYFUNCTION("JOIN(""-"",""app"",SPLIT(LOWER( C168),"" ""))"),"app-drag-&amp;-drop-file-here")</f>
        <v>app-drag-&amp;-drop-file-here</v>
      </c>
      <c r="B168" s="62"/>
      <c r="C168" s="106" t="s">
        <v>2848</v>
      </c>
      <c r="D168" s="106" t="s">
        <v>1616</v>
      </c>
    </row>
    <row r="169">
      <c r="A169" s="68" t="str">
        <f>IFERROR(__xludf.DUMMYFUNCTION("JOIN(""-"",""app"",SPLIT(LOWER( C169),"" ""))"),"app-drag-and-drop-to-add-attachments-to-preview,-bookmark-and-create-templates-for-later-use")</f>
        <v>app-drag-and-drop-to-add-attachments-to-preview,-bookmark-and-create-templates-for-later-use</v>
      </c>
      <c r="B169" s="62"/>
      <c r="C169" s="106" t="s">
        <v>1188</v>
      </c>
      <c r="D169" s="106" t="s">
        <v>1189</v>
      </c>
    </row>
    <row r="170">
      <c r="A170" s="68" t="str">
        <f>IFERROR(__xludf.DUMMYFUNCTION("JOIN(""-"",""app"",SPLIT(LOWER( C170),"" ""))"),"app-heading")</f>
        <v>app-heading</v>
      </c>
      <c r="B170" s="62"/>
      <c r="C170" s="106" t="s">
        <v>2852</v>
      </c>
      <c r="D170" s="106" t="s">
        <v>2853</v>
      </c>
    </row>
    <row r="171">
      <c r="A171" s="68" t="str">
        <f>IFERROR(__xludf.DUMMYFUNCTION("JOIN(""-"",""app"",SPLIT(LOWER( C171),"" ""))"),"app-bold")</f>
        <v>app-bold</v>
      </c>
      <c r="B171" s="62"/>
      <c r="C171" s="106" t="s">
        <v>2856</v>
      </c>
      <c r="D171" s="106" t="s">
        <v>2857</v>
      </c>
    </row>
    <row r="172">
      <c r="A172" s="68" t="str">
        <f>IFERROR(__xludf.DUMMYFUNCTION("JOIN(""-"",""app"",SPLIT(LOWER( C172),"" ""))"),"app-italic")</f>
        <v>app-italic</v>
      </c>
      <c r="B172" s="62"/>
      <c r="C172" s="106" t="s">
        <v>2860</v>
      </c>
      <c r="D172" s="106" t="s">
        <v>2861</v>
      </c>
    </row>
    <row r="173">
      <c r="A173" s="68" t="str">
        <f>IFERROR(__xludf.DUMMYFUNCTION("JOIN(""-"",""app"",SPLIT(LOWER( C173),"" ""))"),"app-highlight")</f>
        <v>app-highlight</v>
      </c>
      <c r="B173" s="62"/>
      <c r="C173" s="106" t="s">
        <v>2864</v>
      </c>
      <c r="D173" s="106" t="s">
        <v>2865</v>
      </c>
    </row>
    <row r="174">
      <c r="A174" s="68" t="str">
        <f>IFERROR(__xludf.DUMMYFUNCTION("JOIN(""-"",""app"",SPLIT(LOWER( C174),"" ""))"),"app-yellow-marker")</f>
        <v>app-yellow-marker</v>
      </c>
      <c r="B174" s="62"/>
      <c r="C174" s="106" t="s">
        <v>2868</v>
      </c>
      <c r="D174" s="106" t="s">
        <v>2869</v>
      </c>
    </row>
    <row r="175">
      <c r="A175" s="68" t="str">
        <f>IFERROR(__xludf.DUMMYFUNCTION("JOIN(""-"",""app"",SPLIT(LOWER( C175),"" ""))"),"app-green-marker")</f>
        <v>app-green-marker</v>
      </c>
      <c r="B175" s="62"/>
      <c r="C175" s="106" t="s">
        <v>2872</v>
      </c>
      <c r="D175" s="106" t="s">
        <v>2873</v>
      </c>
    </row>
    <row r="176">
      <c r="A176" s="68" t="str">
        <f>IFERROR(__xludf.DUMMYFUNCTION("JOIN(""-"",""app"",SPLIT(LOWER( C176),"" ""))"),"app-pink-marker")</f>
        <v>app-pink-marker</v>
      </c>
      <c r="B176" s="62"/>
      <c r="C176" s="106" t="s">
        <v>2876</v>
      </c>
      <c r="D176" s="106" t="s">
        <v>2877</v>
      </c>
    </row>
    <row r="177">
      <c r="A177" s="68" t="str">
        <f>IFERROR(__xludf.DUMMYFUNCTION("JOIN(""-"",""app"",SPLIT(LOWER( C177),"" ""))"),"app-blue-marker")</f>
        <v>app-blue-marker</v>
      </c>
      <c r="B177" s="62"/>
      <c r="C177" s="106" t="s">
        <v>2880</v>
      </c>
      <c r="D177" s="106" t="s">
        <v>2881</v>
      </c>
    </row>
    <row r="178">
      <c r="A178" s="68" t="str">
        <f>IFERROR(__xludf.DUMMYFUNCTION("JOIN(""-"",""app"",SPLIT(LOWER( C178),"" ""))"),"app-red-pen")</f>
        <v>app-red-pen</v>
      </c>
      <c r="B178" s="62"/>
      <c r="C178" s="106" t="s">
        <v>2884</v>
      </c>
      <c r="D178" s="106" t="s">
        <v>2885</v>
      </c>
    </row>
    <row r="179">
      <c r="A179" s="68" t="str">
        <f>IFERROR(__xludf.DUMMYFUNCTION("JOIN(""-"",""app"",SPLIT(LOWER( C179),"" ""))"),"app-green-pen")</f>
        <v>app-green-pen</v>
      </c>
      <c r="B179" s="62"/>
      <c r="C179" s="106" t="s">
        <v>2888</v>
      </c>
      <c r="D179" s="106" t="s">
        <v>2889</v>
      </c>
    </row>
    <row r="180">
      <c r="A180" s="68" t="str">
        <f>IFERROR(__xludf.DUMMYFUNCTION("JOIN(""-"",""app"",SPLIT(LOWER( C180),"" ""))"),"app-remove-highlight")</f>
        <v>app-remove-highlight</v>
      </c>
      <c r="B180" s="62"/>
      <c r="C180" s="106" t="s">
        <v>2892</v>
      </c>
      <c r="D180" s="106" t="s">
        <v>2893</v>
      </c>
    </row>
    <row r="181">
      <c r="A181" s="68" t="str">
        <f>IFERROR(__xludf.DUMMYFUNCTION("JOIN(""-"",""app"",SPLIT(LOWER( C181),"" ""))"),"app-block-quote")</f>
        <v>app-block-quote</v>
      </c>
      <c r="B181" s="62"/>
      <c r="C181" s="106" t="s">
        <v>2896</v>
      </c>
      <c r="D181" s="106" t="s">
        <v>2897</v>
      </c>
    </row>
    <row r="182">
      <c r="A182" s="68" t="str">
        <f>IFERROR(__xludf.DUMMYFUNCTION("JOIN(""-"",""app"",SPLIT(LOWER( C182),"" ""))"),"app-link")</f>
        <v>app-link</v>
      </c>
      <c r="B182" s="62"/>
      <c r="C182" s="106" t="s">
        <v>1047</v>
      </c>
      <c r="D182" s="106" t="s">
        <v>1048</v>
      </c>
    </row>
    <row r="183">
      <c r="A183" s="68" t="str">
        <f>IFERROR(__xludf.DUMMYFUNCTION("JOIN(""-"",""app"",SPLIT(LOWER( C183),"" ""))"),"app-numbered-list")</f>
        <v>app-numbered-list</v>
      </c>
      <c r="B183" s="62"/>
      <c r="C183" s="106" t="s">
        <v>2902</v>
      </c>
      <c r="D183" s="106" t="s">
        <v>2903</v>
      </c>
    </row>
    <row r="184">
      <c r="A184" s="68" t="str">
        <f>IFERROR(__xludf.DUMMYFUNCTION("JOIN(""-"",""app"",SPLIT(LOWER( C184),"" ""))"),"app-bulleted-list")</f>
        <v>app-bulleted-list</v>
      </c>
      <c r="B184" s="62"/>
      <c r="C184" s="106" t="s">
        <v>2906</v>
      </c>
      <c r="D184" s="106" t="s">
        <v>2907</v>
      </c>
    </row>
    <row r="185">
      <c r="A185" s="68" t="str">
        <f>IFERROR(__xludf.DUMMYFUNCTION("JOIN(""-"",""app"",SPLIT(LOWER( C185),"" ""))"),"app-to-do-list")</f>
        <v>app-to-do-list</v>
      </c>
      <c r="B185" s="62"/>
      <c r="C185" s="106" t="s">
        <v>2910</v>
      </c>
      <c r="D185" s="106" t="s">
        <v>2911</v>
      </c>
    </row>
    <row r="186">
      <c r="A186" s="68" t="str">
        <f>IFERROR(__xludf.DUMMYFUNCTION("JOIN(""-"",""app"",SPLIT(LOWER( C186),"" ""))"),"app-insert-table")</f>
        <v>app-insert-table</v>
      </c>
      <c r="B186" s="62"/>
      <c r="C186" s="106" t="s">
        <v>2914</v>
      </c>
      <c r="D186" s="106" t="s">
        <v>2915</v>
      </c>
    </row>
    <row r="187">
      <c r="A187" s="68" t="str">
        <f>IFERROR(__xludf.DUMMYFUNCTION("JOIN(""-"",""app"",SPLIT(LOWER( C187),"" ""))"),"app-undo")</f>
        <v>app-undo</v>
      </c>
      <c r="B187" s="62"/>
      <c r="C187" s="106" t="s">
        <v>2918</v>
      </c>
      <c r="D187" s="106" t="s">
        <v>2919</v>
      </c>
    </row>
    <row r="188">
      <c r="A188" s="68" t="str">
        <f>IFERROR(__xludf.DUMMYFUNCTION("JOIN(""-"",""app"",SPLIT(LOWER( C188),"" ""))"),"app-redo")</f>
        <v>app-redo</v>
      </c>
      <c r="B188" s="62"/>
      <c r="C188" s="106" t="s">
        <v>2922</v>
      </c>
      <c r="D188" s="106" t="s">
        <v>2923</v>
      </c>
    </row>
    <row r="189">
      <c r="A189" s="68" t="str">
        <f>IFERROR(__xludf.DUMMYFUNCTION("JOIN(""-"",""app"",SPLIT(LOWER( C189),"" ""))"),"app-drop-files,-paste,-browse-files-or-import-from:")</f>
        <v>app-drop-files,-paste,-browse-files-or-import-from:</v>
      </c>
      <c r="B189" s="62"/>
      <c r="C189" s="106" t="s">
        <v>2926</v>
      </c>
      <c r="D189" s="106" t="s">
        <v>2927</v>
      </c>
    </row>
    <row r="190">
      <c r="A190" s="68" t="str">
        <f>IFERROR(__xludf.DUMMYFUNCTION("JOIN(""-"",""app"",SPLIT(LOWER( C190),"" ""))"),"app-my-device")</f>
        <v>app-my-device</v>
      </c>
      <c r="B190" s="62"/>
      <c r="C190" s="106" t="s">
        <v>2929</v>
      </c>
      <c r="D190" s="106" t="s">
        <v>2930</v>
      </c>
    </row>
    <row r="191">
      <c r="A191" s="68" t="str">
        <f>IFERROR(__xludf.DUMMYFUNCTION("JOIN(""-"",""app"",SPLIT(LOWER( C191),"" ""))"),"app-camera")</f>
        <v>app-camera</v>
      </c>
      <c r="B191" s="62"/>
      <c r="C191" s="106" t="s">
        <v>2932</v>
      </c>
      <c r="D191" s="106" t="s">
        <v>2933</v>
      </c>
    </row>
    <row r="192">
      <c r="A192" s="68" t="str">
        <f>IFERROR(__xludf.DUMMYFUNCTION("JOIN(""-"",""app"",SPLIT(LOWER( C192),"" ""))"),"app-import-from-link")</f>
        <v>app-import-from-link</v>
      </c>
      <c r="B192" s="62"/>
      <c r="C192" s="106" t="s">
        <v>2936</v>
      </c>
      <c r="D192" s="106" t="s">
        <v>2937</v>
      </c>
    </row>
    <row r="193">
      <c r="A193" s="68" t="str">
        <f>IFERROR(__xludf.DUMMYFUNCTION("JOIN(""-"",""app"",SPLIT(LOWER( C193),"" ""))"),"app-done")</f>
        <v>app-done</v>
      </c>
      <c r="B193" s="62"/>
      <c r="C193" s="106" t="s">
        <v>2939</v>
      </c>
      <c r="D193" s="106" t="s">
        <v>2940</v>
      </c>
    </row>
    <row r="194">
      <c r="A194" s="68" t="str">
        <f>IFERROR(__xludf.DUMMYFUNCTION("JOIN(""-"",""app"",SPLIT(LOWER( C194),"" ""))"),"app-enter-url-to-import-a-file")</f>
        <v>app-enter-url-to-import-a-file</v>
      </c>
      <c r="B194" s="62"/>
      <c r="C194" s="106" t="s">
        <v>2942</v>
      </c>
      <c r="D194" s="106" t="s">
        <v>2943</v>
      </c>
    </row>
    <row r="195">
      <c r="A195" s="68" t="str">
        <f>IFERROR(__xludf.DUMMYFUNCTION("JOIN(""-"",""app"",SPLIT(LOWER( C195),"" ""))"),"app-1-file-selected")</f>
        <v>app-1-file-selected</v>
      </c>
      <c r="B195" s="62"/>
      <c r="C195" s="106" t="s">
        <v>2947</v>
      </c>
      <c r="D195" s="106" t="s">
        <v>2948</v>
      </c>
    </row>
    <row r="196">
      <c r="A196" s="68" t="str">
        <f>IFERROR(__xludf.DUMMYFUNCTION("JOIN(""-"",""app"",SPLIT(LOWER( C196),"" ""))"),"app-add-more")</f>
        <v>app-add-more</v>
      </c>
      <c r="B196" s="62"/>
      <c r="C196" s="106" t="s">
        <v>2950</v>
      </c>
      <c r="D196" s="106" t="s">
        <v>2951</v>
      </c>
    </row>
    <row r="197">
      <c r="A197" s="68" t="str">
        <f>IFERROR(__xludf.DUMMYFUNCTION("JOIN(""-"",""app"",SPLIT(LOWER( C197),"" ""))"),"app-close-modal")</f>
        <v>app-close-modal</v>
      </c>
      <c r="B197" s="62"/>
      <c r="C197" s="106" t="s">
        <v>2953</v>
      </c>
      <c r="D197" s="106" t="s">
        <v>1469</v>
      </c>
    </row>
    <row r="198">
      <c r="A198" s="68" t="str">
        <f>IFERROR(__xludf.DUMMYFUNCTION("JOIN(""-"",""app"",SPLIT(LOWER( C198),"" ""))"),"app-remove-file")</f>
        <v>app-remove-file</v>
      </c>
      <c r="B198" s="62"/>
      <c r="C198" s="106" t="s">
        <v>2955</v>
      </c>
      <c r="D198" s="106" t="s">
        <v>2956</v>
      </c>
    </row>
    <row r="199">
      <c r="A199" s="68" t="str">
        <f>IFERROR(__xludf.DUMMYFUNCTION("JOIN(""-"",""app"",SPLIT(LOWER( C199),"" ""))"),"app-upload-1-file")</f>
        <v>app-upload-1-file</v>
      </c>
      <c r="B199" s="62"/>
      <c r="C199" s="106" t="s">
        <v>2958</v>
      </c>
      <c r="D199" s="106" t="s">
        <v>2959</v>
      </c>
    </row>
    <row r="200">
      <c r="A200" s="68" t="str">
        <f>IFERROR(__xludf.DUMMYFUNCTION("JOIN(""-"",""app"",SPLIT(LOWER( C200),"" ""))"),"app-uploading-1-file")</f>
        <v>app-uploading-1-file</v>
      </c>
      <c r="B200" s="62"/>
      <c r="C200" s="106" t="s">
        <v>2962</v>
      </c>
      <c r="D200" s="106" t="s">
        <v>2963</v>
      </c>
    </row>
    <row r="201">
      <c r="A201" s="68" t="str">
        <f>IFERROR(__xludf.DUMMYFUNCTION("JOIN(""-"",""app"",SPLIT(LOWER( C201),"" ""))"),"app-uploading")</f>
        <v>app-uploading</v>
      </c>
      <c r="B201" s="62"/>
      <c r="C201" s="106" t="s">
        <v>2965</v>
      </c>
      <c r="D201" s="106" t="s">
        <v>1522</v>
      </c>
    </row>
    <row r="202">
      <c r="A202" s="68" t="str">
        <f>IFERROR(__xludf.DUMMYFUNCTION("JOIN(""-"",""app"",SPLIT(LOWER( C202),"" ""))"),"app-files-uploaded")</f>
        <v>app-files-uploaded</v>
      </c>
      <c r="B202" s="62"/>
      <c r="C202" s="106" t="s">
        <v>1194</v>
      </c>
      <c r="D202" s="106" t="s">
        <v>1195</v>
      </c>
    </row>
    <row r="203">
      <c r="A203" s="68" t="str">
        <f>IFERROR(__xludf.DUMMYFUNCTION("JOIN(""-"",""app"",SPLIT(LOWER( C203),"" ""))"),"app-import-from-google-drive")</f>
        <v>app-import-from-google-drive</v>
      </c>
      <c r="B203" s="62"/>
      <c r="C203" s="106" t="s">
        <v>2970</v>
      </c>
      <c r="D203" s="106" t="s">
        <v>2971</v>
      </c>
    </row>
    <row r="204">
      <c r="A204" s="68" t="str">
        <f>IFERROR(__xludf.DUMMYFUNCTION("JOIN(""-"",""app"",SPLIT(LOWER( C204),"" ""))"),"app-loading")</f>
        <v>app-loading</v>
      </c>
      <c r="B204" s="62"/>
      <c r="C204" s="106" t="s">
        <v>1521</v>
      </c>
      <c r="D204" s="106" t="s">
        <v>1522</v>
      </c>
    </row>
    <row r="205">
      <c r="A205" s="68" t="str">
        <f>IFERROR(__xludf.DUMMYFUNCTION("JOIN(""-"",""app"",SPLIT(LOWER( C205),"" ""))"),"app-please-authenticate-with-google-drive-to-select-files")</f>
        <v>app-please-authenticate-with-google-drive-to-select-files</v>
      </c>
      <c r="B205" s="62"/>
      <c r="C205" s="106" t="s">
        <v>2975</v>
      </c>
      <c r="D205" s="106" t="s">
        <v>2976</v>
      </c>
    </row>
    <row r="206">
      <c r="A206" s="68" t="str">
        <f>IFERROR(__xludf.DUMMYFUNCTION("JOIN(""-"",""app"",SPLIT(LOWER( C206),"" ""))"),"app-connect-to-google-drive")</f>
        <v>app-connect-to-google-drive</v>
      </c>
      <c r="B206" s="62"/>
      <c r="C206" s="106" t="s">
        <v>2978</v>
      </c>
      <c r="D206" s="106" t="s">
        <v>2979</v>
      </c>
    </row>
    <row r="207">
      <c r="A207" s="68" t="str">
        <f>IFERROR(__xludf.DUMMYFUNCTION("JOIN(""-"",""app"",SPLIT(LOWER( C207),"" ""))"),"app-filter")</f>
        <v>app-filter</v>
      </c>
      <c r="B207" s="62"/>
      <c r="C207" s="106" t="s">
        <v>2982</v>
      </c>
      <c r="D207" s="106" t="s">
        <v>2983</v>
      </c>
    </row>
    <row r="208">
      <c r="A208" s="68" t="str">
        <f>IFERROR(__xludf.DUMMYFUNCTION("JOIN(""-"",""app"",SPLIT(LOWER( C208),"" ""))"),"app-log-out")</f>
        <v>app-log-out</v>
      </c>
      <c r="B208" s="62"/>
      <c r="C208" s="106" t="s">
        <v>2985</v>
      </c>
      <c r="D208" s="106" t="s">
        <v>2318</v>
      </c>
    </row>
    <row r="209">
      <c r="A209" s="68" t="str">
        <f>IFERROR(__xludf.DUMMYFUNCTION("JOIN(""-"",""app"",SPLIT(LOWER( C209),"" ""))"),"app-import-from-onedrive")</f>
        <v>app-import-from-onedrive</v>
      </c>
      <c r="B209" s="62"/>
      <c r="C209" s="106" t="s">
        <v>2993</v>
      </c>
      <c r="D209" s="106" t="s">
        <v>2994</v>
      </c>
    </row>
    <row r="210">
      <c r="A210" s="68" t="str">
        <f>IFERROR(__xludf.DUMMYFUNCTION("JOIN(""-"",""app"",SPLIT(LOWER( C210),"" ""))"),"app-please-authenticate-with-onedrive-to-select-files")</f>
        <v>app-please-authenticate-with-onedrive-to-select-files</v>
      </c>
      <c r="B210" s="62"/>
      <c r="C210" s="106" t="s">
        <v>2997</v>
      </c>
      <c r="D210" s="106" t="s">
        <v>2998</v>
      </c>
    </row>
    <row r="211">
      <c r="A211" s="68" t="str">
        <f>IFERROR(__xludf.DUMMYFUNCTION("JOIN(""-"",""app"",SPLIT(LOWER( C211),"" ""))"),"app-connect-to-onedrive")</f>
        <v>app-connect-to-onedrive</v>
      </c>
      <c r="B211" s="62"/>
      <c r="C211" s="106" t="s">
        <v>3000</v>
      </c>
      <c r="D211" s="106" t="s">
        <v>3001</v>
      </c>
    </row>
    <row r="212">
      <c r="A212" s="68" t="str">
        <f>IFERROR(__xludf.DUMMYFUNCTION("JOIN(""-"",""app"",SPLIT(LOWER( C212),"" ""))"),"app-import-from-dropbox")</f>
        <v>app-import-from-dropbox</v>
      </c>
      <c r="B212" s="62"/>
      <c r="C212" s="106" t="s">
        <v>3004</v>
      </c>
      <c r="D212" s="106" t="s">
        <v>3005</v>
      </c>
    </row>
    <row r="213">
      <c r="A213" s="68" t="str">
        <f>IFERROR(__xludf.DUMMYFUNCTION("JOIN(""-"",""app"",SPLIT(LOWER( C213),"" ""))"),"app-please-authenticate-with-dropbox-to-select-files")</f>
        <v>app-please-authenticate-with-dropbox-to-select-files</v>
      </c>
      <c r="B213" s="62"/>
      <c r="C213" s="106" t="s">
        <v>3008</v>
      </c>
      <c r="D213" s="106" t="s">
        <v>3009</v>
      </c>
    </row>
    <row r="214">
      <c r="A214" s="68" t="str">
        <f>IFERROR(__xludf.DUMMYFUNCTION("JOIN(""-"",""app"",SPLIT(LOWER( C214),"" ""))"),"app-connect-to-dropbox")</f>
        <v>app-connect-to-dropbox</v>
      </c>
      <c r="B214" s="62"/>
      <c r="C214" s="106" t="s">
        <v>3011</v>
      </c>
      <c r="D214" s="106" t="s">
        <v>3012</v>
      </c>
    </row>
    <row r="215">
      <c r="A215" s="68" t="str">
        <f>IFERROR(__xludf.DUMMYFUNCTION("JOIN(""-"",""app"",SPLIT(LOWER( C215),"" ""))"),"app-import-from-camera")</f>
        <v>app-import-from-camera</v>
      </c>
      <c r="B215" s="62"/>
      <c r="C215" s="106" t="s">
        <v>3015</v>
      </c>
      <c r="D215" s="106" t="s">
        <v>3016</v>
      </c>
    </row>
    <row r="216">
      <c r="A216" s="68" t="str">
        <f>IFERROR(__xludf.DUMMYFUNCTION("JOIN(""-"",""app"",SPLIT(LOWER( C216),"" ""))"),"app-please-allow-access-to-your-camera")</f>
        <v>app-please-allow-access-to-your-camera</v>
      </c>
      <c r="B216" s="62"/>
      <c r="C216" s="106" t="s">
        <v>1120</v>
      </c>
      <c r="D216" s="106" t="s">
        <v>1121</v>
      </c>
    </row>
    <row r="217">
      <c r="A217" s="68" t="str">
        <f>IFERROR(__xludf.DUMMYFUNCTION("JOIN(""-"",""app"",SPLIT(LOWER( C217),"" ""))"),"app-in-order-to-take-pictures-or-record-video-with-your-camera,-please-allow-camera-access-for-this-site.")</f>
        <v>app-in-order-to-take-pictures-or-record-video-with-your-camera,-please-allow-camera-access-for-this-site.</v>
      </c>
      <c r="B217" s="62"/>
      <c r="C217" s="106" t="s">
        <v>1122</v>
      </c>
      <c r="D217" s="106" t="s">
        <v>1123</v>
      </c>
    </row>
    <row r="218">
      <c r="A218" s="68" t="str">
        <f>IFERROR(__xludf.DUMMYFUNCTION("JOIN(""-"",""app"",SPLIT(LOWER( C218),"" ""))"),"app-take-a-picture")</f>
        <v>app-take-a-picture</v>
      </c>
      <c r="B218" s="62"/>
      <c r="C218" s="106" t="s">
        <v>3021</v>
      </c>
      <c r="D218" s="106" t="s">
        <v>3022</v>
      </c>
    </row>
    <row r="219">
      <c r="A219" s="68" t="str">
        <f>IFERROR(__xludf.DUMMYFUNCTION("JOIN(""-"",""app"",SPLIT(LOWER( C219),"" ""))"),"app-begin-video-recording")</f>
        <v>app-begin-video-recording</v>
      </c>
      <c r="B219" s="62"/>
      <c r="C219" s="106" t="s">
        <v>3025</v>
      </c>
      <c r="D219" s="106" t="s">
        <v>3026</v>
      </c>
    </row>
    <row r="220">
      <c r="A220" s="68" t="str">
        <f>IFERROR(__xludf.DUMMYFUNCTION("JOIN(""-"",""app"",SPLIT(LOWER( C220),"" ""))"),"app-upload-failed")</f>
        <v>app-upload-failed</v>
      </c>
      <c r="B220" s="62"/>
      <c r="C220" s="106" t="s">
        <v>3031</v>
      </c>
      <c r="D220" s="106" t="s">
        <v>3032</v>
      </c>
    </row>
    <row r="221">
      <c r="A221" s="68" t="str">
        <f>IFERROR(__xludf.DUMMYFUNCTION("JOIN(""-"",""app"",SPLIT(LOWER( C221),"" ""))"),"app-retry")</f>
        <v>app-retry</v>
      </c>
      <c r="B221" s="62"/>
      <c r="C221" s="106" t="s">
        <v>800</v>
      </c>
      <c r="D221" s="106" t="s">
        <v>801</v>
      </c>
    </row>
    <row r="222">
      <c r="A222" s="68" t="str">
        <f>IFERROR(__xludf.DUMMYFUNCTION("JOIN(""-"",""app"",SPLIT(LOWER( C222),"" ""))"),"app-failed-to-upload")</f>
        <v>app-failed-to-upload</v>
      </c>
      <c r="B222" s="62"/>
      <c r="C222" s="106" t="s">
        <v>3034</v>
      </c>
      <c r="D222" s="106" t="s">
        <v>3035</v>
      </c>
    </row>
    <row r="223">
      <c r="A223" s="68" t="str">
        <f>IFERROR(__xludf.DUMMYFUNCTION("JOIN(""-"",""app"",SPLIT(LOWER( C223),"" ""))"),"app-import-from-screencast")</f>
        <v>app-import-from-screencast</v>
      </c>
      <c r="B223" s="62"/>
      <c r="C223" s="106" t="s">
        <v>3037</v>
      </c>
      <c r="D223" s="106" t="s">
        <v>3038</v>
      </c>
    </row>
    <row r="224">
      <c r="A224" s="68" t="str">
        <f>IFERROR(__xludf.DUMMYFUNCTION("JOIN(""-"",""app"",SPLIT(LOWER( C224),"" ""))"),"app-stream-active")</f>
        <v>app-stream-active</v>
      </c>
      <c r="B224" s="62"/>
      <c r="C224" s="106" t="s">
        <v>3041</v>
      </c>
      <c r="D224" s="106" t="s">
        <v>3042</v>
      </c>
    </row>
    <row r="225">
      <c r="A225" s="68" t="str">
        <f>IFERROR(__xludf.DUMMYFUNCTION("JOIN(""-"",""app"",SPLIT(LOWER( C225),"" ""))"),"app-begin-screen-capturing")</f>
        <v>app-begin-screen-capturing</v>
      </c>
      <c r="B225" s="62"/>
      <c r="C225" s="106" t="s">
        <v>3045</v>
      </c>
      <c r="D225" s="106" t="s">
        <v>3046</v>
      </c>
    </row>
    <row r="226">
      <c r="A226" s="68" t="str">
        <f>IFERROR(__xludf.DUMMYFUNCTION("JOIN(""-"",""app"",SPLIT(LOWER( C226),"" ""))"),"app-recording")</f>
        <v>app-recording</v>
      </c>
      <c r="B226" s="62"/>
      <c r="C226" s="106" t="s">
        <v>3049</v>
      </c>
      <c r="D226" s="106" t="s">
        <v>3050</v>
      </c>
    </row>
    <row r="227">
      <c r="A227" s="68" t="str">
        <f>IFERROR(__xludf.DUMMYFUNCTION("JOIN(""-"",""app"",SPLIT(LOWER( C227),"" ""))"),"app-no-task-list")</f>
        <v>app-no-task-list</v>
      </c>
      <c r="B227" s="62"/>
      <c r="C227" s="106" t="s">
        <v>3053</v>
      </c>
      <c r="D227" s="106" t="s">
        <v>3054</v>
      </c>
    </row>
    <row r="228">
      <c r="A228" s="68" t="str">
        <f>IFERROR(__xludf.DUMMYFUNCTION("JOIN(""-"",""app"",SPLIT(LOWER( C228),"" ""))"),"app-create-a-task-list-to-keep-track-of-changes.-you-could-also-create-templates-for-later.")</f>
        <v>app-create-a-task-list-to-keep-track-of-changes.-you-could-also-create-templates-for-later.</v>
      </c>
      <c r="B228" s="62"/>
      <c r="C228" s="106" t="s">
        <v>3056</v>
      </c>
      <c r="D228" s="106" t="s">
        <v>704</v>
      </c>
    </row>
    <row r="229">
      <c r="A229" s="68" t="str">
        <f>IFERROR(__xludf.DUMMYFUNCTION("JOIN(""-"",""app"",SPLIT(LOWER( C229),"" ""))"),"app-location")</f>
        <v>app-location</v>
      </c>
      <c r="B229" s="62"/>
      <c r="C229" s="106" t="s">
        <v>3059</v>
      </c>
      <c r="D229" s="106" t="s">
        <v>3060</v>
      </c>
    </row>
    <row r="230">
      <c r="A230" s="68" t="str">
        <f>IFERROR(__xludf.DUMMYFUNCTION("JOIN(""-"",""app"",SPLIT(LOWER( C230),"" ""))"),"app-changed-due-date")</f>
        <v>app-changed-due-date</v>
      </c>
      <c r="B230" s="62"/>
      <c r="C230" s="106" t="s">
        <v>3062</v>
      </c>
      <c r="D230" s="106" t="s">
        <v>3063</v>
      </c>
    </row>
    <row r="231">
      <c r="A231" s="68" t="str">
        <f>IFERROR(__xludf.DUMMYFUNCTION("JOIN(""-"",""app"",SPLIT(LOWER( C231),"" ""))"),"app-to")</f>
        <v>app-to</v>
      </c>
      <c r="B231" s="62"/>
      <c r="C231" s="106" t="s">
        <v>179</v>
      </c>
      <c r="D231" s="106" t="s">
        <v>180</v>
      </c>
    </row>
    <row r="232">
      <c r="A232" s="68" t="str">
        <f>IFERROR(__xludf.DUMMYFUNCTION("JOIN(""-"",""app"",SPLIT(LOWER( C232),"" ""))"),"app-assigned-ticket-to")</f>
        <v>app-assigned-ticket-to</v>
      </c>
      <c r="B232" s="62"/>
      <c r="C232" s="106" t="s">
        <v>169</v>
      </c>
      <c r="D232" s="106" t="s">
        <v>3066</v>
      </c>
    </row>
    <row r="233">
      <c r="A233" s="68" t="str">
        <f>IFERROR(__xludf.DUMMYFUNCTION("JOIN(""-"",""app"",SPLIT(LOWER( C233),"" ""))"),"app-added-attachment")</f>
        <v>app-added-attachment</v>
      </c>
      <c r="B233" s="62"/>
      <c r="C233" s="106" t="s">
        <v>172</v>
      </c>
      <c r="D233" s="106" t="s">
        <v>173</v>
      </c>
    </row>
    <row r="234">
      <c r="A234" s="68" t="str">
        <f>IFERROR(__xludf.DUMMYFUNCTION("JOIN(""-"",""app"",SPLIT(LOWER( C234),"" ""))"),"app-attachment-added")</f>
        <v>app-attachment-added</v>
      </c>
      <c r="B234" s="62"/>
      <c r="C234" s="106" t="s">
        <v>3070</v>
      </c>
      <c r="D234" s="106" t="s">
        <v>196</v>
      </c>
    </row>
    <row r="235">
      <c r="A235" s="68" t="str">
        <f>IFERROR(__xludf.DUMMYFUNCTION("JOIN(""-"",""app"",SPLIT(LOWER( C235),"" ""))"),"app-deleted-attachment")</f>
        <v>app-deleted-attachment</v>
      </c>
      <c r="B235" s="62"/>
      <c r="C235" s="106" t="s">
        <v>3072</v>
      </c>
      <c r="D235" s="106" t="s">
        <v>3073</v>
      </c>
    </row>
    <row r="236">
      <c r="A236" s="68" t="str">
        <f>IFERROR(__xludf.DUMMYFUNCTION("JOIN(""-"",""app"",SPLIT(LOWER( C236),"" ""))"),"app-deleted-1-attachment")</f>
        <v>app-deleted-1-attachment</v>
      </c>
      <c r="B236" s="62"/>
      <c r="C236" s="106" t="s">
        <v>3075</v>
      </c>
      <c r="D236" s="106" t="s">
        <v>3076</v>
      </c>
    </row>
    <row r="237">
      <c r="A237" s="68" t="str">
        <f>IFERROR(__xludf.DUMMYFUNCTION("JOIN(""-"",""app"",SPLIT(LOWER( C237),"" ""))"),"app-task-list")</f>
        <v>app-task-list</v>
      </c>
      <c r="B237" s="62"/>
      <c r="C237" s="106" t="s">
        <v>3083</v>
      </c>
      <c r="D237" s="106" t="s">
        <v>3084</v>
      </c>
    </row>
    <row r="238">
      <c r="A238" s="68" t="str">
        <f>IFERROR(__xludf.DUMMYFUNCTION("JOIN(""-"",""app"",SPLIT(LOWER( C238),"" ""))"),"app-checklist")</f>
        <v>app-checklist</v>
      </c>
      <c r="B238" s="62"/>
      <c r="C238" s="106" t="s">
        <v>1633</v>
      </c>
      <c r="D238" s="106" t="s">
        <v>1634</v>
      </c>
    </row>
    <row r="239">
      <c r="A239" s="68" t="str">
        <f>IFERROR(__xludf.DUMMYFUNCTION("JOIN(""-"",""app"",SPLIT(LOWER( C239),"" ""))"),"app-create-new-task")</f>
        <v>app-create-new-task</v>
      </c>
      <c r="B239" s="62"/>
      <c r="C239" s="106" t="s">
        <v>1265</v>
      </c>
      <c r="D239" s="106" t="s">
        <v>1266</v>
      </c>
    </row>
    <row r="240">
      <c r="A240" s="68" t="str">
        <f>IFERROR(__xludf.DUMMYFUNCTION("JOIN(""-"",""app"",SPLIT(LOWER( C240),"" ""))"),"app-add-notes-here")</f>
        <v>app-add-notes-here</v>
      </c>
      <c r="B240" s="62"/>
      <c r="C240" s="106" t="s">
        <v>287</v>
      </c>
      <c r="D240" s="106" t="s">
        <v>288</v>
      </c>
    </row>
    <row r="241">
      <c r="A241" s="68" t="str">
        <f>IFERROR(__xludf.DUMMYFUNCTION("JOIN(""-"",""app"",SPLIT(LOWER( C241),"" ""))"),"app-on-hold")</f>
        <v>app-on-hold</v>
      </c>
      <c r="B241" s="62"/>
      <c r="C241" s="106" t="s">
        <v>310</v>
      </c>
      <c r="D241" s="106" t="s">
        <v>311</v>
      </c>
    </row>
    <row r="242">
      <c r="A242" s="68" t="str">
        <f>IFERROR(__xludf.DUMMYFUNCTION("JOIN(""-"",""app"",SPLIT(LOWER( C242),"" ""))"),"app-add-task")</f>
        <v>app-add-task</v>
      </c>
      <c r="B242" s="62"/>
      <c r="C242" s="106" t="s">
        <v>3096</v>
      </c>
      <c r="D242" s="106" t="s">
        <v>3097</v>
      </c>
    </row>
    <row r="243">
      <c r="A243" s="68" t="str">
        <f>IFERROR(__xludf.DUMMYFUNCTION("JOIN(""-"",""app"",SPLIT(LOWER( C243),"" ""))"),"app-edit-name")</f>
        <v>app-edit-name</v>
      </c>
      <c r="B243" s="62"/>
      <c r="C243" s="106" t="s">
        <v>251</v>
      </c>
      <c r="D243" s="106" t="s">
        <v>3100</v>
      </c>
    </row>
    <row r="244">
      <c r="A244" s="68" t="str">
        <f>IFERROR(__xludf.DUMMYFUNCTION("JOIN(""-"",""app"",SPLIT(LOWER( C244),"" ""))"),"app-duplicate-checklist")</f>
        <v>app-duplicate-checklist</v>
      </c>
      <c r="B244" s="62"/>
      <c r="C244" s="106" t="s">
        <v>255</v>
      </c>
      <c r="D244" s="106" t="s">
        <v>256</v>
      </c>
    </row>
    <row r="245">
      <c r="A245" s="68" t="str">
        <f>IFERROR(__xludf.DUMMYFUNCTION("JOIN(""-"",""app"",SPLIT(LOWER( C245),"" ""))"),"app-checklist-duplicated")</f>
        <v>app-checklist-duplicated</v>
      </c>
      <c r="B245" s="62"/>
      <c r="C245" s="106" t="s">
        <v>291</v>
      </c>
      <c r="D245" s="106" t="s">
        <v>292</v>
      </c>
    </row>
    <row r="246">
      <c r="A246" s="68" t="str">
        <f>IFERROR(__xludf.DUMMYFUNCTION("JOIN(""-"",""app"",SPLIT(LOWER( C246),"" ""))"),"app-are-you-sure-you-want-to-delete-checklist?")</f>
        <v>app-are-you-sure-you-want-to-delete-checklist?</v>
      </c>
      <c r="B246" s="62"/>
      <c r="C246" s="106" t="s">
        <v>3108</v>
      </c>
      <c r="D246" s="106" t="s">
        <v>3109</v>
      </c>
    </row>
    <row r="247">
      <c r="A247" s="68" t="str">
        <f>IFERROR(__xludf.DUMMYFUNCTION("JOIN(""-"",""app"",SPLIT(LOWER( C247),"" ""))"),"app-assign-all-to")</f>
        <v>app-assign-all-to</v>
      </c>
      <c r="B247" s="62"/>
      <c r="C247" s="106" t="s">
        <v>234</v>
      </c>
      <c r="D247" s="106" t="s">
        <v>3112</v>
      </c>
    </row>
    <row r="248">
      <c r="A248" s="68" t="str">
        <f>IFERROR(__xludf.DUMMYFUNCTION("JOIN(""-"",""app"",SPLIT(LOWER( C248),"" ""))"),"app-search-users")</f>
        <v>app-search-users</v>
      </c>
      <c r="B248" s="62"/>
      <c r="C248" s="106" t="s">
        <v>3115</v>
      </c>
      <c r="D248" s="106" t="s">
        <v>3116</v>
      </c>
    </row>
    <row r="249">
      <c r="A249" s="68" t="str">
        <f>IFERROR(__xludf.DUMMYFUNCTION("JOIN(""-"",""app"",SPLIT(LOWER( C249),"" ""))"),"app-unassign-all")</f>
        <v>app-unassign-all</v>
      </c>
      <c r="B249" s="62"/>
      <c r="C249" s="106" t="s">
        <v>237</v>
      </c>
      <c r="D249" s="106" t="s">
        <v>3119</v>
      </c>
    </row>
    <row r="250">
      <c r="A250" s="68" t="str">
        <f>IFERROR(__xludf.DUMMYFUNCTION("JOIN(""-"",""app"",SPLIT(LOWER( C250),"" ""))"),"app-check-all")</f>
        <v>app-check-all</v>
      </c>
      <c r="B250" s="62"/>
      <c r="C250" s="106" t="s">
        <v>240</v>
      </c>
      <c r="D250" s="106" t="s">
        <v>3121</v>
      </c>
    </row>
    <row r="251">
      <c r="A251" s="68" t="str">
        <f>IFERROR(__xludf.DUMMYFUNCTION("JOIN(""-"",""app"",SPLIT(LOWER( C251),"" ""))"),"app-include")</f>
        <v>app-include</v>
      </c>
      <c r="B251" s="62"/>
      <c r="C251" s="106" t="s">
        <v>282</v>
      </c>
      <c r="D251" s="106" t="s">
        <v>283</v>
      </c>
    </row>
    <row r="252">
      <c r="A252" s="68" t="str">
        <f>IFERROR(__xludf.DUMMYFUNCTION("JOIN(""-"",""app"",SPLIT(LOWER( C252),"" ""))"),"app-pinned")</f>
        <v>app-pinned</v>
      </c>
      <c r="B252" s="62"/>
      <c r="C252" s="106" t="s">
        <v>166</v>
      </c>
      <c r="D252" s="106" t="s">
        <v>167</v>
      </c>
    </row>
    <row r="253">
      <c r="A253" s="68" t="str">
        <f>IFERROR(__xludf.DUMMYFUNCTION("JOIN(""-"",""app"",SPLIT(LOWER( C253),"" ""))"),"app-reply")</f>
        <v>app-reply</v>
      </c>
      <c r="B253" s="62"/>
      <c r="C253" s="106" t="s">
        <v>198</v>
      </c>
      <c r="D253" s="106" t="s">
        <v>199</v>
      </c>
    </row>
    <row r="254">
      <c r="A254" s="68" t="str">
        <f>IFERROR(__xludf.DUMMYFUNCTION("JOIN(""-"",""app"",SPLIT(LOWER( C254),"" ""))"),"app-type-something-to-comment")</f>
        <v>app-type-something-to-comment</v>
      </c>
      <c r="B254" s="62"/>
      <c r="C254" s="106" t="s">
        <v>1156</v>
      </c>
      <c r="D254" s="106" t="s">
        <v>1157</v>
      </c>
    </row>
    <row r="255">
      <c r="A255" s="68" t="str">
        <f>IFERROR(__xludf.DUMMYFUNCTION("JOIN(""-"",""app"",SPLIT(LOWER( C255),"" ""))"),"app-collapse")</f>
        <v>app-collapse</v>
      </c>
      <c r="B255" s="62"/>
      <c r="C255" s="106" t="s">
        <v>200</v>
      </c>
      <c r="D255" s="106" t="s">
        <v>201</v>
      </c>
    </row>
    <row r="256">
      <c r="A256" s="68" t="str">
        <f>IFERROR(__xludf.DUMMYFUNCTION("JOIN(""-"",""app"",SPLIT(LOWER( C256),"" ""))"),"app-un-pin-comment")</f>
        <v>app-un-pin-comment</v>
      </c>
      <c r="B256" s="62"/>
      <c r="C256" s="106" t="s">
        <v>204</v>
      </c>
      <c r="D256" s="106" t="s">
        <v>205</v>
      </c>
    </row>
    <row r="257">
      <c r="A257" s="68" t="str">
        <f>IFERROR(__xludf.DUMMYFUNCTION("JOIN(""-"",""app"",SPLIT(LOWER( C257),"" ""))"),"app-reply-to-this-comment")</f>
        <v>app-reply-to-this-comment</v>
      </c>
      <c r="B257" s="62"/>
      <c r="C257" s="106" t="s">
        <v>207</v>
      </c>
      <c r="D257" s="106" t="s">
        <v>208</v>
      </c>
    </row>
    <row r="258">
      <c r="A258" s="68" t="str">
        <f>IFERROR(__xludf.DUMMYFUNCTION("JOIN(""-"",""app"",SPLIT(LOWER( C258),"" ""))"),"app-edit-this-comment")</f>
        <v>app-edit-this-comment</v>
      </c>
      <c r="B258" s="62"/>
      <c r="C258" s="106" t="s">
        <v>210</v>
      </c>
      <c r="D258" s="106" t="s">
        <v>211</v>
      </c>
    </row>
    <row r="259">
      <c r="A259" s="68" t="str">
        <f>IFERROR(__xludf.DUMMYFUNCTION("JOIN(""-"",""app"",SPLIT(LOWER( C259),"" ""))"),"app-delete-this-comment")</f>
        <v>app-delete-this-comment</v>
      </c>
      <c r="B259" s="62"/>
      <c r="C259" s="106" t="s">
        <v>213</v>
      </c>
      <c r="D259" s="106" t="s">
        <v>214</v>
      </c>
    </row>
    <row r="260">
      <c r="A260" s="68" t="str">
        <f>IFERROR(__xludf.DUMMYFUNCTION("JOIN(""-"",""app"",SPLIT(LOWER( C260),"" ""))"),"app-ctrl-+-enter-to-add-the-comment")</f>
        <v>app-ctrl-+-enter-to-add-the-comment</v>
      </c>
      <c r="B260" s="62"/>
      <c r="C260" s="106" t="s">
        <v>3153</v>
      </c>
      <c r="D260" s="106" t="s">
        <v>3154</v>
      </c>
    </row>
    <row r="261">
      <c r="A261" s="68" t="str">
        <f>IFERROR(__xludf.DUMMYFUNCTION("JOIN(""-"",""app"",SPLIT(LOWER( C261),"" ""))"),"app-pin-to-this-conversation")</f>
        <v>app-pin-to-this-conversation</v>
      </c>
      <c r="B261" s="62"/>
      <c r="C261" s="106" t="s">
        <v>787</v>
      </c>
      <c r="D261" s="106" t="s">
        <v>789</v>
      </c>
    </row>
    <row r="262">
      <c r="A262" s="68" t="str">
        <f>IFERROR(__xludf.DUMMYFUNCTION("JOIN(""-"",""app"",SPLIT(LOWER( C262),"" ""))"),"app-follow")</f>
        <v>app-follow</v>
      </c>
      <c r="B262" s="62"/>
      <c r="C262" s="106" t="s">
        <v>3160</v>
      </c>
      <c r="D262" s="106" t="s">
        <v>3161</v>
      </c>
    </row>
    <row r="263">
      <c r="A263" s="68" t="str">
        <f>IFERROR(__xludf.DUMMYFUNCTION("JOIN(""-"",""app"",SPLIT(LOWER( C263),"" ""))"),"app-search/-create-tags")</f>
        <v>app-search/-create-tags</v>
      </c>
      <c r="B263" s="62"/>
      <c r="C263" s="106" t="s">
        <v>1905</v>
      </c>
      <c r="D263" s="106" t="s">
        <v>1906</v>
      </c>
    </row>
    <row r="264">
      <c r="A264" s="68" t="str">
        <f>IFERROR(__xludf.DUMMYFUNCTION("JOIN(""-"",""app"",SPLIT(LOWER( C264),"" ""))"),"app-see-more")</f>
        <v>app-see-more</v>
      </c>
      <c r="B264" s="62"/>
      <c r="C264" s="106" t="s">
        <v>884</v>
      </c>
      <c r="D264" s="106" t="s">
        <v>885</v>
      </c>
    </row>
    <row r="265">
      <c r="A265" s="68" t="str">
        <f>IFERROR(__xludf.DUMMYFUNCTION("JOIN(""-"",""app"",SPLIT(LOWER( C265),"" ""))"),"app-new-schedule")</f>
        <v>app-new-schedule</v>
      </c>
      <c r="B265" s="62"/>
      <c r="C265" s="106" t="s">
        <v>1678</v>
      </c>
      <c r="D265" s="106" t="s">
        <v>1679</v>
      </c>
    </row>
    <row r="266">
      <c r="A266" s="68" t="str">
        <f>IFERROR(__xludf.DUMMYFUNCTION("JOIN(""-"",""app"",SPLIT(LOWER( C266),"" ""))"),"app-frequency")</f>
        <v>app-frequency</v>
      </c>
      <c r="B266" s="62"/>
      <c r="C266" s="106" t="s">
        <v>1680</v>
      </c>
      <c r="D266" s="106" t="s">
        <v>1681</v>
      </c>
    </row>
    <row r="267">
      <c r="A267" s="68" t="str">
        <f>IFERROR(__xludf.DUMMYFUNCTION("JOIN(""-"",""app"",SPLIT(LOWER( C267),"" ""))"),"app-every")</f>
        <v>app-every</v>
      </c>
      <c r="B267" s="62"/>
      <c r="C267" s="106" t="s">
        <v>1682</v>
      </c>
      <c r="D267" s="106" t="s">
        <v>585</v>
      </c>
    </row>
    <row r="268">
      <c r="A268" s="68" t="str">
        <f>IFERROR(__xludf.DUMMYFUNCTION("JOIN(""-"",""app"",SPLIT(LOWER( C268),"" ""))"),"app-week")</f>
        <v>app-week</v>
      </c>
      <c r="B268" s="62"/>
      <c r="C268" s="106" t="s">
        <v>1683</v>
      </c>
      <c r="D268" s="106" t="s">
        <v>1684</v>
      </c>
    </row>
    <row r="269">
      <c r="A269" s="68" t="str">
        <f>IFERROR(__xludf.DUMMYFUNCTION("JOIN(""-"",""app"",SPLIT(LOWER( C269),"" ""))"),"app-repeat")</f>
        <v>app-repeat</v>
      </c>
      <c r="B269" s="62"/>
      <c r="C269" s="106" t="s">
        <v>537</v>
      </c>
      <c r="D269" s="106" t="s">
        <v>538</v>
      </c>
    </row>
    <row r="270">
      <c r="A270" s="68" t="str">
        <f>IFERROR(__xludf.DUMMYFUNCTION("JOIN(""-"",""app"",SPLIT(LOWER( C270),"" ""))"),"app-times")</f>
        <v>app-times</v>
      </c>
      <c r="B270" s="62"/>
      <c r="C270" s="106" t="s">
        <v>540</v>
      </c>
      <c r="D270" s="106" t="s">
        <v>541</v>
      </c>
    </row>
    <row r="271">
      <c r="A271" s="68" t="str">
        <f>IFERROR(__xludf.DUMMYFUNCTION("JOIN(""-"",""app"",SPLIT(LOWER( C271),"" ""))"),"app-repeat-until")</f>
        <v>app-repeat-until</v>
      </c>
      <c r="B271" s="62"/>
      <c r="C271" s="106" t="s">
        <v>544</v>
      </c>
      <c r="D271" s="106" t="s">
        <v>545</v>
      </c>
    </row>
    <row r="272">
      <c r="A272" s="68" t="str">
        <f>IFERROR(__xludf.DUMMYFUNCTION("JOIN(""-"",""app"",SPLIT(LOWER( C272),"" ""))"),"app-skip-missed-ticket")</f>
        <v>app-skip-missed-ticket</v>
      </c>
      <c r="B272" s="62"/>
      <c r="C272" s="106" t="s">
        <v>547</v>
      </c>
      <c r="D272" s="106" t="s">
        <v>548</v>
      </c>
    </row>
    <row r="273">
      <c r="A273" s="68" t="str">
        <f>IFERROR(__xludf.DUMMYFUNCTION("JOIN(""-"",""app"",SPLIT(LOWER( C273),"" ""))"),"app-day")</f>
        <v>app-day</v>
      </c>
      <c r="B273" s="62"/>
      <c r="C273" s="106" t="s">
        <v>1690</v>
      </c>
      <c r="D273" s="106" t="s">
        <v>1691</v>
      </c>
    </row>
    <row r="274">
      <c r="A274" s="68" t="str">
        <f>IFERROR(__xludf.DUMMYFUNCTION("JOIN(""-"",""app"",SPLIT(LOWER( C274),"" ""))"),"app-monthly")</f>
        <v>app-monthly</v>
      </c>
      <c r="B274" s="62"/>
      <c r="C274" s="106" t="s">
        <v>592</v>
      </c>
      <c r="D274" s="106" t="s">
        <v>593</v>
      </c>
    </row>
    <row r="275">
      <c r="A275" s="68" t="str">
        <f>IFERROR(__xludf.DUMMYFUNCTION("JOIN(""-"",""app"",SPLIT(LOWER( C275),"" ""))"),"app-month")</f>
        <v>app-month</v>
      </c>
      <c r="B275" s="62"/>
      <c r="C275" s="106" t="s">
        <v>1693</v>
      </c>
      <c r="D275" s="106" t="s">
        <v>1694</v>
      </c>
    </row>
    <row r="276">
      <c r="A276" s="68" t="str">
        <f>IFERROR(__xludf.DUMMYFUNCTION("JOIN(""-"",""app"",SPLIT(LOWER( C276),"" ""))"),"app-on-the")</f>
        <v>app-on-the</v>
      </c>
      <c r="B276" s="62"/>
      <c r="C276" s="106" t="s">
        <v>588</v>
      </c>
      <c r="D276" s="106" t="s">
        <v>589</v>
      </c>
    </row>
    <row r="277">
      <c r="A277" s="68" t="str">
        <f>IFERROR(__xludf.DUMMYFUNCTION("JOIN(""-"",""app"",SPLIT(LOWER( C277),"" ""))"),"app-1st")</f>
        <v>app-1st</v>
      </c>
      <c r="B277" s="62"/>
      <c r="C277" s="106" t="s">
        <v>596</v>
      </c>
      <c r="D277" s="106" t="s">
        <v>597</v>
      </c>
    </row>
    <row r="278">
      <c r="A278" s="68" t="str">
        <f>IFERROR(__xludf.DUMMYFUNCTION("JOIN(""-"",""app"",SPLIT(LOWER( C278),"" ""))"),"app-2nd")</f>
        <v>app-2nd</v>
      </c>
      <c r="B278" s="62"/>
      <c r="C278" s="106" t="s">
        <v>599</v>
      </c>
      <c r="D278" s="106" t="s">
        <v>600</v>
      </c>
    </row>
    <row r="279">
      <c r="A279" s="68" t="str">
        <f>IFERROR(__xludf.DUMMYFUNCTION("JOIN(""-"",""app"",SPLIT(LOWER( C279),"" ""))"),"app-3rd")</f>
        <v>app-3rd</v>
      </c>
      <c r="B279" s="62"/>
      <c r="C279" s="106" t="s">
        <v>602</v>
      </c>
      <c r="D279" s="106" t="s">
        <v>603</v>
      </c>
    </row>
    <row r="280">
      <c r="A280" s="68" t="str">
        <f>IFERROR(__xludf.DUMMYFUNCTION("JOIN(""-"",""app"",SPLIT(LOWER( C280),"" ""))"),"app-4th")</f>
        <v>app-4th</v>
      </c>
      <c r="B280" s="62"/>
      <c r="C280" s="106" t="s">
        <v>605</v>
      </c>
      <c r="D280" s="106" t="s">
        <v>606</v>
      </c>
    </row>
    <row r="281">
      <c r="A281" s="68" t="str">
        <f>IFERROR(__xludf.DUMMYFUNCTION("JOIN(""-"",""app"",SPLIT(LOWER( C281),"" ""))"),"app-last")</f>
        <v>app-last</v>
      </c>
      <c r="B281" s="62"/>
      <c r="C281" s="106" t="s">
        <v>608</v>
      </c>
      <c r="D281" s="106" t="s">
        <v>609</v>
      </c>
    </row>
    <row r="282">
      <c r="A282" s="68" t="str">
        <f>IFERROR(__xludf.DUMMYFUNCTION("JOIN(""-"",""app"",SPLIT(LOWER( C282),"" ""))"),"app-monday")</f>
        <v>app-monday</v>
      </c>
      <c r="B282" s="62"/>
      <c r="C282" s="106" t="s">
        <v>612</v>
      </c>
      <c r="D282" s="106" t="s">
        <v>613</v>
      </c>
    </row>
    <row r="283">
      <c r="A283" s="68" t="str">
        <f>IFERROR(__xludf.DUMMYFUNCTION("JOIN(""-"",""app"",SPLIT(LOWER( C283),"" ""))"),"app-tuesday")</f>
        <v>app-tuesday</v>
      </c>
      <c r="B283" s="62"/>
      <c r="C283" s="106" t="s">
        <v>615</v>
      </c>
      <c r="D283" s="106" t="s">
        <v>616</v>
      </c>
    </row>
    <row r="284">
      <c r="A284" s="68" t="str">
        <f>IFERROR(__xludf.DUMMYFUNCTION("JOIN(""-"",""app"",SPLIT(LOWER( C284),"" ""))"),"app-wednesday")</f>
        <v>app-wednesday</v>
      </c>
      <c r="B284" s="62"/>
      <c r="C284" s="106" t="s">
        <v>618</v>
      </c>
      <c r="D284" s="106" t="s">
        <v>619</v>
      </c>
    </row>
    <row r="285">
      <c r="A285" s="68" t="str">
        <f>IFERROR(__xludf.DUMMYFUNCTION("JOIN(""-"",""app"",SPLIT(LOWER( C285),"" ""))"),"app-thursday")</f>
        <v>app-thursday</v>
      </c>
      <c r="B285" s="62"/>
      <c r="C285" s="106" t="s">
        <v>621</v>
      </c>
      <c r="D285" s="106" t="s">
        <v>622</v>
      </c>
    </row>
    <row r="286">
      <c r="A286" s="68" t="str">
        <f>IFERROR(__xludf.DUMMYFUNCTION("JOIN(""-"",""app"",SPLIT(LOWER( C286),"" ""))"),"app-friday")</f>
        <v>app-friday</v>
      </c>
      <c r="B286" s="62"/>
      <c r="C286" s="106" t="s">
        <v>624</v>
      </c>
      <c r="D286" s="106" t="s">
        <v>625</v>
      </c>
    </row>
    <row r="287">
      <c r="A287" s="68" t="str">
        <f>IFERROR(__xludf.DUMMYFUNCTION("JOIN(""-"",""app"",SPLIT(LOWER( C287),"" ""))"),"app-saturday")</f>
        <v>app-saturday</v>
      </c>
      <c r="B287" s="62"/>
      <c r="C287" s="106" t="s">
        <v>627</v>
      </c>
      <c r="D287" s="106" t="s">
        <v>628</v>
      </c>
    </row>
    <row r="288">
      <c r="A288" s="68" t="str">
        <f>IFERROR(__xludf.DUMMYFUNCTION("JOIN(""-"",""app"",SPLIT(LOWER( C288),"" ""))"),"app-sunday")</f>
        <v>app-sunday</v>
      </c>
      <c r="B288" s="62"/>
      <c r="C288" s="106" t="s">
        <v>630</v>
      </c>
      <c r="D288" s="106" t="s">
        <v>631</v>
      </c>
    </row>
    <row r="289">
      <c r="A289" s="68" t="str">
        <f>IFERROR(__xludf.DUMMYFUNCTION("JOIN(""-"",""app"",SPLIT(LOWER( C289),"" ""))"),"app-when-checked,-if-a-ticket-is-missed-because-the-status-of-the-ticket-was-not-updated-before-due-date,-that-ticket-will-be-skipped.-this-means,-only-tickets-in-the-future-are-possible.")</f>
        <v>app-when-checked,-if-a-ticket-is-missed-because-the-status-of-the-ticket-was-not-updated-before-due-date,-that-ticket-will-be-skipped.-this-means,-only-tickets-in-the-future-are-possible.</v>
      </c>
      <c r="B289" s="62"/>
      <c r="C289" s="106" t="s">
        <v>3209</v>
      </c>
      <c r="D289" s="106" t="s">
        <v>3210</v>
      </c>
    </row>
    <row r="290">
      <c r="A290" s="68" t="str">
        <f>IFERROR(__xludf.DUMMYFUNCTION("JOIN(""-"",""app"",SPLIT(LOWER( C290),"" ""))"),"app-forms")</f>
        <v>app-forms</v>
      </c>
      <c r="B290" s="62"/>
      <c r="C290" s="106" t="s">
        <v>12</v>
      </c>
      <c r="D290" s="106" t="s">
        <v>13</v>
      </c>
    </row>
    <row r="291">
      <c r="A291" s="68" t="str">
        <f>IFERROR(__xludf.DUMMYFUNCTION("JOIN(""-"",""app"",SPLIT(LOWER( C291),"" ""))"),"app-shared-with-me")</f>
        <v>app-shared-with-me</v>
      </c>
      <c r="B291" s="62"/>
      <c r="C291" s="106" t="s">
        <v>3225</v>
      </c>
      <c r="D291" s="106" t="s">
        <v>3226</v>
      </c>
    </row>
    <row r="292">
      <c r="A292" s="68" t="str">
        <f>IFERROR(__xludf.DUMMYFUNCTION("JOIN(""-"",""app"",SPLIT(LOWER( C292),"" ""))"),"app-my-submission")</f>
        <v>app-my-submission</v>
      </c>
      <c r="B292" s="62"/>
      <c r="C292" s="106" t="s">
        <v>3228</v>
      </c>
      <c r="D292" s="106" t="s">
        <v>3229</v>
      </c>
    </row>
    <row r="293">
      <c r="A293" s="68" t="str">
        <f>IFERROR(__xludf.DUMMYFUNCTION("JOIN(""-"",""app"",SPLIT(LOWER( C293),"" ""))"),"app-other-submission")</f>
        <v>app-other-submission</v>
      </c>
      <c r="B293" s="62"/>
      <c r="C293" s="106" t="s">
        <v>3231</v>
      </c>
      <c r="D293" s="106" t="s">
        <v>3232</v>
      </c>
    </row>
    <row r="294">
      <c r="A294" s="68" t="str">
        <f>IFERROR(__xludf.DUMMYFUNCTION("JOIN(""-"",""app"",SPLIT(LOWER( C294),"" ""))"),"app-no-forms")</f>
        <v>app-no-forms</v>
      </c>
      <c r="B294" s="62"/>
      <c r="C294" s="106" t="s">
        <v>3234</v>
      </c>
      <c r="D294" s="106" t="s">
        <v>458</v>
      </c>
    </row>
    <row r="295">
      <c r="A295" s="68" t="str">
        <f>IFERROR(__xludf.DUMMYFUNCTION("JOIN(""-"",""app"",SPLIT(LOWER( C295),"" ""))"),"app-new-form")</f>
        <v>app-new-form</v>
      </c>
      <c r="B295" s="62"/>
      <c r="C295" s="106" t="s">
        <v>465</v>
      </c>
      <c r="D295" s="106" t="s">
        <v>466</v>
      </c>
    </row>
    <row r="296">
      <c r="A296" s="68" t="str">
        <f>IFERROR(__xludf.DUMMYFUNCTION("JOIN(""-"",""app"",SPLIT(LOWER( C296),"" ""))"),"app-untitled-form")</f>
        <v>app-untitled-form</v>
      </c>
      <c r="B296" s="62"/>
      <c r="C296" s="106" t="s">
        <v>1515</v>
      </c>
      <c r="D296" s="106" t="s">
        <v>3243</v>
      </c>
    </row>
    <row r="297">
      <c r="A297" s="68" t="str">
        <f>IFERROR(__xludf.DUMMYFUNCTION("JOIN(""-"",""app"",SPLIT(LOWER( C297),"" ""))"),"app-all-changes-saved")</f>
        <v>app-all-changes-saved</v>
      </c>
      <c r="B297" s="62"/>
      <c r="C297" s="106" t="s">
        <v>1517</v>
      </c>
      <c r="D297" s="106" t="s">
        <v>1518</v>
      </c>
    </row>
    <row r="298">
      <c r="A298" s="68" t="str">
        <f>IFERROR(__xludf.DUMMYFUNCTION("JOIN(""-"",""app"",SPLIT(LOWER( C298),"" ""))"),"app-form")</f>
        <v>app-form</v>
      </c>
      <c r="B298" s="62"/>
      <c r="C298" s="106" t="s">
        <v>3246</v>
      </c>
      <c r="D298" s="106" t="s">
        <v>3247</v>
      </c>
    </row>
    <row r="299">
      <c r="A299" s="68" t="str">
        <f>IFERROR(__xludf.DUMMYFUNCTION("JOIN(""-"",""app"",SPLIT(LOWER( C299),"" ""))"),"app-submissions")</f>
        <v>app-submissions</v>
      </c>
      <c r="B299" s="62"/>
      <c r="C299" s="106" t="s">
        <v>841</v>
      </c>
      <c r="D299" s="106" t="s">
        <v>842</v>
      </c>
    </row>
    <row r="300">
      <c r="A300" s="68" t="str">
        <f>IFERROR(__xludf.DUMMYFUNCTION("JOIN(""-"",""app"",SPLIT(LOWER( C300),"" ""))"),"app-publish")</f>
        <v>app-publish</v>
      </c>
      <c r="B300" s="62"/>
      <c r="C300" s="106" t="s">
        <v>1713</v>
      </c>
      <c r="D300" s="106" t="s">
        <v>1714</v>
      </c>
    </row>
    <row r="301">
      <c r="A301" s="68" t="str">
        <f>IFERROR(__xludf.DUMMYFUNCTION("JOIN(""-"",""app"",SPLIT(LOWER( C301),"" ""))"),"app-asset-location")</f>
        <v>app-asset-location</v>
      </c>
      <c r="B301" s="62"/>
      <c r="C301" s="106" t="s">
        <v>3250</v>
      </c>
      <c r="D301" s="106" t="s">
        <v>3251</v>
      </c>
    </row>
    <row r="302">
      <c r="A302" s="68" t="str">
        <f>IFERROR(__xludf.DUMMYFUNCTION("JOIN(""-"",""app"",SPLIT(LOWER( C302),"" ""))"),"app-copy-link")</f>
        <v>app-copy-link</v>
      </c>
      <c r="B302" s="62"/>
      <c r="C302" s="106" t="s">
        <v>481</v>
      </c>
      <c r="D302" s="106" t="s">
        <v>482</v>
      </c>
    </row>
    <row r="303">
      <c r="A303" s="68" t="str">
        <f>IFERROR(__xludf.DUMMYFUNCTION("JOIN(""-"",""app"",SPLIT(LOWER( C303),"" ""))"),"app-link-copied!")</f>
        <v>app-link-copied!</v>
      </c>
      <c r="B303" s="62"/>
      <c r="C303" s="106" t="s">
        <v>3259</v>
      </c>
      <c r="D303" s="106" t="s">
        <v>3260</v>
      </c>
    </row>
    <row r="304">
      <c r="A304" s="68" t="str">
        <f>IFERROR(__xludf.DUMMYFUNCTION("JOIN(""-"",""app"",SPLIT(LOWER( C304),"" ""))"),"app-schedule")</f>
        <v>app-schedule</v>
      </c>
      <c r="B304" s="62"/>
      <c r="C304" s="106" t="s">
        <v>527</v>
      </c>
      <c r="D304" s="106" t="s">
        <v>528</v>
      </c>
    </row>
    <row r="305">
      <c r="A305" s="68" t="str">
        <f>IFERROR(__xludf.DUMMYFUNCTION("JOIN(""-"",""app"",SPLIT(LOWER( C305),"" ""))"),"app-create-team-for")</f>
        <v>app-create-team-for</v>
      </c>
      <c r="C305" s="122" t="s">
        <v>4381</v>
      </c>
      <c r="D305" s="122" t="s">
        <v>4382</v>
      </c>
    </row>
    <row r="306">
      <c r="A306" s="68" t="str">
        <f>IFERROR(__xludf.DUMMYFUNCTION("JOIN(""-"",""app"",SPLIT(LOWER( C306),"" ""))"),"app-select-parent-team-(optional)")</f>
        <v>app-select-parent-team-(optional)</v>
      </c>
      <c r="C306" s="122" t="s">
        <v>4384</v>
      </c>
      <c r="D306" s="122" t="s">
        <v>4385</v>
      </c>
    </row>
    <row r="307">
      <c r="A307" s="195" t="str">
        <f>IFERROR(__xludf.DUMMYFUNCTION("JOIN(""-"",""app"",SPLIT(LOWER( C307),"" ""))"),"app-edit-details")</f>
        <v>app-edit-details</v>
      </c>
      <c r="B307" s="163"/>
      <c r="C307" s="1" t="s">
        <v>3317</v>
      </c>
      <c r="D307" s="196" t="s">
        <v>3318</v>
      </c>
      <c r="E307" s="197"/>
      <c r="F307" s="197"/>
      <c r="G307" s="197"/>
      <c r="H307" s="197"/>
      <c r="I307" s="197"/>
      <c r="J307" s="197"/>
      <c r="K307" s="197"/>
      <c r="L307" s="197"/>
      <c r="M307" s="197"/>
      <c r="N307" s="197"/>
      <c r="O307" s="197"/>
      <c r="P307" s="197"/>
      <c r="Q307" s="197"/>
      <c r="R307" s="197"/>
      <c r="S307" s="197"/>
      <c r="T307" s="197"/>
      <c r="U307" s="197"/>
      <c r="V307" s="197"/>
      <c r="W307" s="197"/>
      <c r="X307" s="197"/>
      <c r="Y307" s="197"/>
      <c r="Z307" s="197"/>
    </row>
    <row r="308">
      <c r="A308" s="195" t="str">
        <f>IFERROR(__xludf.DUMMYFUNCTION("JOIN(""-"",""app"",SPLIT(LOWER( C308),"" ""))"),"app-update-details")</f>
        <v>app-update-details</v>
      </c>
      <c r="B308" s="163"/>
      <c r="C308" s="1" t="s">
        <v>3319</v>
      </c>
      <c r="D308" s="196" t="s">
        <v>3320</v>
      </c>
      <c r="E308" s="197"/>
      <c r="F308" s="197"/>
      <c r="G308" s="197"/>
      <c r="H308" s="197"/>
      <c r="I308" s="197"/>
      <c r="J308" s="197"/>
      <c r="K308" s="197"/>
      <c r="L308" s="197"/>
      <c r="M308" s="197"/>
      <c r="N308" s="197"/>
      <c r="O308" s="197"/>
      <c r="P308" s="197"/>
      <c r="Q308" s="197"/>
      <c r="R308" s="197"/>
      <c r="S308" s="197"/>
      <c r="T308" s="197"/>
      <c r="U308" s="197"/>
      <c r="V308" s="197"/>
      <c r="W308" s="197"/>
      <c r="X308" s="197"/>
      <c r="Y308" s="197"/>
      <c r="Z308" s="197"/>
    </row>
    <row r="309">
      <c r="A309" s="195" t="str">
        <f>IFERROR(__xludf.DUMMYFUNCTION("JOIN(""-"",""app"",SPLIT(LOWER( C309),"" ""))"),"app-height")</f>
        <v>app-height</v>
      </c>
      <c r="B309" s="163"/>
      <c r="C309" s="1" t="s">
        <v>3321</v>
      </c>
      <c r="D309" s="196" t="s">
        <v>3322</v>
      </c>
      <c r="E309" s="197"/>
      <c r="F309" s="197"/>
      <c r="G309" s="197"/>
      <c r="H309" s="197"/>
      <c r="I309" s="197"/>
      <c r="J309" s="197"/>
      <c r="K309" s="197"/>
      <c r="L309" s="197"/>
      <c r="M309" s="197"/>
      <c r="N309" s="197"/>
      <c r="O309" s="197"/>
      <c r="P309" s="197"/>
      <c r="Q309" s="197"/>
      <c r="R309" s="197"/>
      <c r="S309" s="197"/>
      <c r="T309" s="197"/>
      <c r="U309" s="197"/>
      <c r="V309" s="197"/>
      <c r="W309" s="197"/>
      <c r="X309" s="197"/>
      <c r="Y309" s="197"/>
      <c r="Z309" s="197"/>
    </row>
    <row r="310">
      <c r="A310" s="195" t="str">
        <f>IFERROR(__xludf.DUMMYFUNCTION("JOIN(""-"",""app"",SPLIT(LOWER( C310),"" ""))"),"app-create-group")</f>
        <v>app-create-group</v>
      </c>
      <c r="B310" s="163"/>
      <c r="C310" s="1" t="s">
        <v>3323</v>
      </c>
      <c r="D310" s="196" t="s">
        <v>3324</v>
      </c>
      <c r="E310" s="197"/>
      <c r="F310" s="197"/>
      <c r="G310" s="197"/>
      <c r="H310" s="197"/>
      <c r="I310" s="197"/>
      <c r="J310" s="197"/>
      <c r="K310" s="197"/>
      <c r="L310" s="197"/>
      <c r="M310" s="197"/>
      <c r="N310" s="197"/>
      <c r="O310" s="197"/>
      <c r="P310" s="197"/>
      <c r="Q310" s="197"/>
      <c r="R310" s="197"/>
      <c r="S310" s="197"/>
      <c r="T310" s="197"/>
      <c r="U310" s="197"/>
      <c r="V310" s="197"/>
      <c r="W310" s="197"/>
      <c r="X310" s="197"/>
      <c r="Y310" s="197"/>
      <c r="Z310" s="197"/>
    </row>
    <row r="311">
      <c r="A311" s="195" t="str">
        <f>IFERROR(__xludf.DUMMYFUNCTION("JOIN(""-"",""app"",SPLIT(LOWER( C311),"" ""))"),"app-marker")</f>
        <v>app-marker</v>
      </c>
      <c r="B311" s="163"/>
      <c r="C311" s="1" t="s">
        <v>3325</v>
      </c>
      <c r="D311" s="196" t="s">
        <v>3326</v>
      </c>
      <c r="E311" s="197"/>
      <c r="F311" s="197"/>
      <c r="G311" s="197"/>
      <c r="H311" s="197"/>
      <c r="I311" s="197"/>
      <c r="J311" s="197"/>
      <c r="K311" s="197"/>
      <c r="L311" s="197"/>
      <c r="M311" s="197"/>
      <c r="N311" s="197"/>
      <c r="O311" s="197"/>
      <c r="P311" s="197"/>
      <c r="Q311" s="197"/>
      <c r="R311" s="197"/>
      <c r="S311" s="197"/>
      <c r="T311" s="197"/>
      <c r="U311" s="197"/>
      <c r="V311" s="197"/>
      <c r="W311" s="197"/>
      <c r="X311" s="197"/>
      <c r="Y311" s="197"/>
      <c r="Z311" s="197"/>
    </row>
    <row r="312">
      <c r="A312" s="195" t="str">
        <f>IFERROR(__xludf.DUMMYFUNCTION("JOIN(""-"",""app"",SPLIT(LOWER( C312),"" ""))"),"app-create-container-for")</f>
        <v>app-create-container-for</v>
      </c>
      <c r="B312" s="62"/>
      <c r="C312" s="1" t="s">
        <v>2216</v>
      </c>
      <c r="D312" s="196" t="s">
        <v>2217</v>
      </c>
      <c r="E312" s="197"/>
      <c r="F312" s="197"/>
      <c r="G312" s="197"/>
      <c r="H312" s="197"/>
      <c r="I312" s="197"/>
      <c r="J312" s="197"/>
      <c r="K312" s="197"/>
      <c r="L312" s="197"/>
      <c r="M312" s="197"/>
      <c r="N312" s="197"/>
      <c r="O312" s="197"/>
      <c r="P312" s="197"/>
      <c r="Q312" s="197"/>
      <c r="R312" s="197"/>
      <c r="S312" s="197"/>
      <c r="T312" s="197"/>
      <c r="U312" s="197"/>
      <c r="V312" s="197"/>
      <c r="W312" s="197"/>
      <c r="X312" s="197"/>
      <c r="Y312" s="197"/>
      <c r="Z312" s="197"/>
    </row>
    <row r="313">
      <c r="A313" s="195" t="str">
        <f>IFERROR(__xludf.DUMMYFUNCTION("JOIN(""-"",""app"",SPLIT(LOWER( C313),"" ""))"),"app-group")</f>
        <v>app-group</v>
      </c>
      <c r="B313" s="62"/>
      <c r="C313" s="122" t="s">
        <v>4125</v>
      </c>
      <c r="D313" s="122" t="s">
        <v>4126</v>
      </c>
    </row>
    <row r="314">
      <c r="A314" s="195" t="str">
        <f>IFERROR(__xludf.DUMMYFUNCTION("JOIN(""-"",""app"",SPLIT(LOWER( C314),"" ""))"),"app-showing-1-to-10-of-13-entries")</f>
        <v>app-showing-1-to-10-of-13-entries</v>
      </c>
      <c r="B314" s="62"/>
      <c r="C314" s="122" t="s">
        <v>4201</v>
      </c>
      <c r="D314" s="122" t="s">
        <v>4202</v>
      </c>
    </row>
    <row r="315">
      <c r="A315" s="195" t="str">
        <f>IFERROR(__xludf.DUMMYFUNCTION("JOIN(""-"",""app"",SPLIT(LOWER( C315),"" ""))"),"app-configure-the-default-values-for-the-items-created-under-the-asset-here.-by-default,-any-ticket/vault-item-created-for-the-asset-will-use-the-pre-defined-values-set-unless-overridden.-please-note-that-the-changes-are-applied-only-to-the-new-items-crea"&amp;"ted.")</f>
        <v>app-configure-the-default-values-for-the-items-created-under-the-asset-here.-by-default,-any-ticket/vault-item-created-for-the-asset-will-use-the-pre-defined-values-set-unless-overridden.-please-note-that-the-changes-are-applied-only-to-the-new-items-created.</v>
      </c>
      <c r="B315" s="62"/>
      <c r="C315" s="122" t="s">
        <v>4204</v>
      </c>
      <c r="D315" s="122" t="s">
        <v>4205</v>
      </c>
    </row>
    <row r="316">
      <c r="A316" s="195" t="str">
        <f>IFERROR(__xludf.DUMMYFUNCTION("JOIN(""-"",""app"",SPLIT(LOWER( C316),"" ""))"),"app-assign-followers")</f>
        <v>app-assign-followers</v>
      </c>
      <c r="B316" s="62"/>
      <c r="C316" s="122" t="s">
        <v>1976</v>
      </c>
      <c r="D316" s="122" t="s">
        <v>1977</v>
      </c>
    </row>
    <row r="317">
      <c r="A317" s="195" t="str">
        <f>IFERROR(__xludf.DUMMYFUNCTION("JOIN(""-"",""app"",SPLIT(LOWER( C317),"" ""))"),"app-are-you-sure-you-want-to-delete-the-group?")</f>
        <v>app-are-you-sure-you-want-to-delete-the-group?</v>
      </c>
      <c r="B317" s="62"/>
      <c r="C317" s="122" t="s">
        <v>4075</v>
      </c>
      <c r="D317" s="122" t="s">
        <v>4076</v>
      </c>
    </row>
    <row r="318">
      <c r="A318" s="195" t="str">
        <f>IFERROR(__xludf.DUMMYFUNCTION("JOIN(""-"",""app"",SPLIT(LOWER( C318),"" ""))"),"app-edit-group-for")</f>
        <v>app-edit-group-for</v>
      </c>
      <c r="B318" s="62"/>
      <c r="C318" s="122" t="s">
        <v>4079</v>
      </c>
      <c r="D318" s="122" t="s">
        <v>4080</v>
      </c>
    </row>
    <row r="319">
      <c r="A319" s="195" t="str">
        <f>IFERROR(__xludf.DUMMYFUNCTION("JOIN(""-"",""app"",SPLIT(LOWER( C319),"" ""))"),"app-add-application")</f>
        <v>app-add-application</v>
      </c>
      <c r="B319" s="62"/>
      <c r="C319" s="122" t="s">
        <v>4083</v>
      </c>
      <c r="D319" s="122" t="s">
        <v>4084</v>
      </c>
    </row>
    <row r="320">
      <c r="A320" s="195" t="str">
        <f>IFERROR(__xludf.DUMMYFUNCTION("JOIN(""-"",""app"",SPLIT(LOWER( C320),"" ""))"),"app-search-application")</f>
        <v>app-search-application</v>
      </c>
      <c r="B320" s="62"/>
      <c r="C320" s="122" t="s">
        <v>4085</v>
      </c>
      <c r="D320" s="122" t="s">
        <v>4086</v>
      </c>
    </row>
    <row r="321">
      <c r="A321" s="195" t="str">
        <f>IFERROR(__xludf.DUMMYFUNCTION("JOIN(""-"",""app"",SPLIT(LOWER( C321),"" ""))"),"app-apps")</f>
        <v>app-apps</v>
      </c>
      <c r="B321" s="62"/>
      <c r="C321" s="122" t="s">
        <v>4087</v>
      </c>
      <c r="D321" s="122" t="s">
        <v>4025</v>
      </c>
    </row>
    <row r="322">
      <c r="A322" s="195" t="str">
        <f>IFERROR(__xludf.DUMMYFUNCTION("JOIN(""-"",""app"",SPLIT(LOWER( C322),"" ""))"),"app-edit-assets")</f>
        <v>app-edit-assets</v>
      </c>
      <c r="B322" s="62"/>
      <c r="C322" s="122" t="s">
        <v>4089</v>
      </c>
      <c r="D322" s="122" t="s">
        <v>4090</v>
      </c>
    </row>
    <row r="323">
      <c r="A323" s="195" t="str">
        <f>IFERROR(__xludf.DUMMYFUNCTION("JOIN(""-"",""app"",SPLIT(LOWER( C323),"" ""))"),"app-add-location")</f>
        <v>app-add-location</v>
      </c>
      <c r="B323" s="62"/>
      <c r="C323" s="122" t="s">
        <v>4091</v>
      </c>
      <c r="D323" s="122" t="s">
        <v>4092</v>
      </c>
    </row>
    <row r="324">
      <c r="A324" s="195" t="str">
        <f>IFERROR(__xludf.DUMMYFUNCTION("JOIN(""-"",""app"",SPLIT(LOWER( C324),"" ""))"),"app-move")</f>
        <v>app-move</v>
      </c>
      <c r="B324" s="62"/>
      <c r="C324" s="122" t="s">
        <v>4094</v>
      </c>
      <c r="D324" s="122" t="s">
        <v>4095</v>
      </c>
    </row>
    <row r="325">
      <c r="A325" s="195" t="str">
        <f>IFERROR(__xludf.DUMMYFUNCTION("JOIN(""-"",""app"",SPLIT(LOWER( C325),"" ""))"),"app-start")</f>
        <v>app-start</v>
      </c>
      <c r="B325" s="62"/>
      <c r="C325" s="122" t="s">
        <v>4065</v>
      </c>
      <c r="D325" s="122" t="s">
        <v>4096</v>
      </c>
    </row>
    <row r="326">
      <c r="A326" s="195" t="str">
        <f>IFERROR(__xludf.DUMMYFUNCTION("JOIN(""-"",""app"",SPLIT(LOWER( C326),"" ""))"),"app-image-details")</f>
        <v>app-image-details</v>
      </c>
      <c r="B326" s="62"/>
      <c r="C326" s="122" t="s">
        <v>4098</v>
      </c>
      <c r="D326" s="122" t="s">
        <v>4099</v>
      </c>
    </row>
    <row r="327">
      <c r="A327" s="195" t="str">
        <f>IFERROR(__xludf.DUMMYFUNCTION("JOIN(""-"",""app"",SPLIT(LOWER( C327),"" ""))"),"app-start-processing")</f>
        <v>app-start-processing</v>
      </c>
      <c r="B327" s="62"/>
      <c r="C327" s="122" t="s">
        <v>4100</v>
      </c>
      <c r="D327" s="122" t="s">
        <v>4101</v>
      </c>
    </row>
    <row r="328">
      <c r="A328" s="195" t="str">
        <f>IFERROR(__xludf.DUMMYFUNCTION("JOIN(""-"",""app"",SPLIT(LOWER( C328),"" ""))"),"app-no-missions-found")</f>
        <v>app-no-missions-found</v>
      </c>
      <c r="B328" s="62"/>
      <c r="C328" s="122" t="s">
        <v>4102</v>
      </c>
      <c r="D328" s="122" t="s">
        <v>4103</v>
      </c>
    </row>
    <row r="329">
      <c r="A329" s="195" t="str">
        <f>IFERROR(__xludf.DUMMYFUNCTION("JOIN(""-"",""app"",SPLIT(LOWER( C329),"" ""))"),"app-data-captured-time")</f>
        <v>app-data-captured-time</v>
      </c>
      <c r="B329" s="62"/>
      <c r="C329" s="122" t="s">
        <v>4104</v>
      </c>
      <c r="D329" s="122" t="s">
        <v>4105</v>
      </c>
    </row>
    <row r="330">
      <c r="A330" s="195" t="str">
        <f>IFERROR(__xludf.DUMMYFUNCTION("JOIN(""-"",""app"",SPLIT(LOWER( C330),"" ""))"),"app-data-upload-time")</f>
        <v>app-data-upload-time</v>
      </c>
      <c r="B330" s="62"/>
      <c r="C330" s="122" t="s">
        <v>4106</v>
      </c>
      <c r="D330" s="122" t="s">
        <v>4107</v>
      </c>
    </row>
    <row r="331">
      <c r="A331" s="195" t="str">
        <f>IFERROR(__xludf.DUMMYFUNCTION("JOIN(""-"",""app"",SPLIT(LOWER( C331),"" ""))"),"app-area-covered")</f>
        <v>app-area-covered</v>
      </c>
      <c r="B331" s="62"/>
      <c r="C331" s="122" t="s">
        <v>4108</v>
      </c>
      <c r="D331" s="122" t="s">
        <v>4109</v>
      </c>
    </row>
    <row r="332">
      <c r="A332" s="195" t="str">
        <f>IFERROR(__xludf.DUMMYFUNCTION("JOIN(""-"",""app"",SPLIT(LOWER( C332),"" ""))"),"app-camera-model")</f>
        <v>app-camera-model</v>
      </c>
      <c r="B332" s="62"/>
      <c r="C332" s="122" t="s">
        <v>4110</v>
      </c>
      <c r="D332" s="122" t="s">
        <v>4111</v>
      </c>
    </row>
    <row r="333">
      <c r="A333" s="195" t="str">
        <f>IFERROR(__xludf.DUMMYFUNCTION("JOIN(""-"",""app"",SPLIT(LOWER( C333),"" ""))"),"app-raw-images")</f>
        <v>app-raw-images</v>
      </c>
      <c r="B333" s="62"/>
      <c r="C333" s="122" t="s">
        <v>4112</v>
      </c>
      <c r="D333" s="122" t="s">
        <v>4113</v>
      </c>
    </row>
    <row r="334">
      <c r="A334" s="195" t="str">
        <f>IFERROR(__xludf.DUMMYFUNCTION("JOIN(""-"",""app"",SPLIT(LOWER( C334),"" ""))"),"app-upload")</f>
        <v>app-upload</v>
      </c>
      <c r="B334" s="62"/>
      <c r="C334" s="122" t="s">
        <v>4114</v>
      </c>
      <c r="D334" s="122" t="s">
        <v>4115</v>
      </c>
    </row>
    <row r="335">
      <c r="A335" s="195" t="str">
        <f>IFERROR(__xludf.DUMMYFUNCTION("JOIN(""-"",""app"",SPLIT(LOWER( C335),"" ""))"),"app-upload-more")</f>
        <v>app-upload-more</v>
      </c>
      <c r="B335" s="62"/>
      <c r="C335" s="122" t="s">
        <v>4116</v>
      </c>
      <c r="D335" s="122" t="s">
        <v>3962</v>
      </c>
    </row>
    <row r="336">
      <c r="A336" s="195" t="str">
        <f>IFERROR(__xludf.DUMMYFUNCTION("JOIN(""-"",""app"",SPLIT(LOWER( C336),"" ""))"),"app-average-ground-sampling-distance")</f>
        <v>app-average-ground-sampling-distance</v>
      </c>
      <c r="B336" s="62"/>
      <c r="C336" s="122" t="s">
        <v>4118</v>
      </c>
      <c r="D336" s="122" t="s">
        <v>4119</v>
      </c>
    </row>
    <row r="337">
      <c r="A337" s="195" t="str">
        <f>IFERROR(__xludf.DUMMYFUNCTION("JOIN(""-"",""app"",SPLIT(LOWER( C337),"" ""))"),"app-image-altitude")</f>
        <v>app-image-altitude</v>
      </c>
      <c r="B337" s="62"/>
      <c r="C337" s="122" t="s">
        <v>4120</v>
      </c>
      <c r="D337" s="122" t="s">
        <v>4121</v>
      </c>
    </row>
    <row r="338">
      <c r="A338" s="195" t="str">
        <f>IFERROR(__xludf.DUMMYFUNCTION("JOIN(""-"",""app"",SPLIT(LOWER( C338),"" ""))"),"app-action")</f>
        <v>app-action</v>
      </c>
      <c r="B338" s="62"/>
      <c r="C338" s="122" t="s">
        <v>4122</v>
      </c>
      <c r="D338" s="122" t="s">
        <v>4123</v>
      </c>
    </row>
    <row r="339">
      <c r="A339" s="195" t="str">
        <f>IFERROR(__xludf.DUMMYFUNCTION("JOIN(""-"",""app"",SPLIT(LOWER( C339),"" ""))"),"app-select-a-group")</f>
        <v>app-select-a-group</v>
      </c>
      <c r="B339" s="62"/>
      <c r="C339" s="122" t="s">
        <v>4127</v>
      </c>
      <c r="D339" s="122" t="s">
        <v>4128</v>
      </c>
    </row>
    <row r="340">
      <c r="A340" s="195" t="str">
        <f>IFERROR(__xludf.DUMMYFUNCTION("JOIN(""-"",""app"",SPLIT(LOWER( C340),"" ""))"),"app-key")</f>
        <v>app-key</v>
      </c>
      <c r="B340" s="62"/>
      <c r="C340" s="122" t="s">
        <v>3</v>
      </c>
      <c r="D340" s="122" t="s">
        <v>4130</v>
      </c>
    </row>
    <row r="341">
      <c r="A341" s="195" t="str">
        <f>IFERROR(__xludf.DUMMYFUNCTION("JOIN(""-"",""app"",SPLIT(LOWER( C341),"" ""))"),"app-value")</f>
        <v>app-value</v>
      </c>
      <c r="B341" s="62"/>
      <c r="C341" s="122" t="s">
        <v>395</v>
      </c>
      <c r="D341" s="122" t="s">
        <v>396</v>
      </c>
    </row>
    <row r="342">
      <c r="A342" s="195" t="str">
        <f>IFERROR(__xludf.DUMMYFUNCTION("JOIN(""-"",""app"",SPLIT(LOWER( C342),"" ""))"),"app-disable?")</f>
        <v>app-disable?</v>
      </c>
      <c r="B342" s="62"/>
      <c r="C342" s="122" t="s">
        <v>4131</v>
      </c>
      <c r="D342" s="122" t="s">
        <v>4132</v>
      </c>
    </row>
    <row r="343">
      <c r="A343" s="195" t="str">
        <f>IFERROR(__xludf.DUMMYFUNCTION("JOIN(""-"",""app"",SPLIT(LOWER( C343),"" ""))"),"app-update-properties")</f>
        <v>app-update-properties</v>
      </c>
      <c r="B343" s="62"/>
      <c r="C343" s="122" t="s">
        <v>4133</v>
      </c>
      <c r="D343" s="122" t="s">
        <v>4134</v>
      </c>
    </row>
    <row r="344">
      <c r="A344" s="195" t="str">
        <f>IFERROR(__xludf.DUMMYFUNCTION("JOIN(""-"",""app"",SPLIT(LOWER( C344),"" ""))"),"app-visual")</f>
        <v>app-visual</v>
      </c>
      <c r="B344" s="62"/>
      <c r="C344" s="122" t="s">
        <v>4136</v>
      </c>
      <c r="D344" s="122" t="s">
        <v>4136</v>
      </c>
    </row>
    <row r="345">
      <c r="A345" s="195" t="str">
        <f>IFERROR(__xludf.DUMMYFUNCTION("JOIN(""-"",""app"",SPLIT(LOWER( C345),"" ""))"),"app-plant_design")</f>
        <v>app-plant_design</v>
      </c>
      <c r="B345" s="62"/>
      <c r="C345" s="122" t="s">
        <v>4137</v>
      </c>
      <c r="D345" s="122" t="s">
        <v>4138</v>
      </c>
    </row>
    <row r="346">
      <c r="A346" s="195" t="str">
        <f>IFERROR(__xludf.DUMMYFUNCTION("JOIN(""-"",""app"",SPLIT(LOWER( C346),"" ""))"),"app-grayscale")</f>
        <v>app-grayscale</v>
      </c>
      <c r="B346" s="62"/>
      <c r="C346" s="122" t="s">
        <v>4139</v>
      </c>
      <c r="D346" s="122" t="s">
        <v>4140</v>
      </c>
    </row>
    <row r="347">
      <c r="A347" s="195" t="str">
        <f>IFERROR(__xludf.DUMMYFUNCTION("JOIN(""-"",""app"",SPLIT(LOWER( C347),"" ""))"),"app-others")</f>
        <v>app-others</v>
      </c>
      <c r="B347" s="62"/>
      <c r="C347" s="122" t="s">
        <v>2524</v>
      </c>
      <c r="D347" s="122" t="s">
        <v>2525</v>
      </c>
    </row>
    <row r="348">
      <c r="A348" s="195" t="str">
        <f>IFERROR(__xludf.DUMMYFUNCTION("JOIN(""-"",""app"",SPLIT(LOWER( C348),"" ""))"),"app-are-you-sure-you-want-to-delete-the-asset?")</f>
        <v>app-are-you-sure-you-want-to-delete-the-asset?</v>
      </c>
      <c r="B348" s="62"/>
      <c r="C348" s="106" t="s">
        <v>4019</v>
      </c>
      <c r="D348" s="106" t="s">
        <v>4020</v>
      </c>
    </row>
    <row r="349">
      <c r="A349" s="195" t="str">
        <f>IFERROR(__xludf.DUMMYFUNCTION("JOIN(""-"",""app"",SPLIT(LOWER( C349),"" ""))"),"app-are-you-sure-you-want-to-delete-the-container?")</f>
        <v>app-are-you-sure-you-want-to-delete-the-container?</v>
      </c>
      <c r="C349" s="106" t="s">
        <v>4040</v>
      </c>
      <c r="D349" s="106" t="s">
        <v>4041</v>
      </c>
    </row>
    <row r="350">
      <c r="A350" s="195" t="str">
        <f>IFERROR(__xludf.DUMMYFUNCTION("JOIN(""-"",""app"",SPLIT(LOWER( C350),"" ""))"),"app-are-you-sure-you-want-to-delete-the-team?")</f>
        <v>app-are-you-sure-you-want-to-delete-the-team?</v>
      </c>
      <c r="C350" s="106" t="s">
        <v>4395</v>
      </c>
      <c r="D350" s="106" t="s">
        <v>4396</v>
      </c>
    </row>
    <row r="351">
      <c r="A351" s="195" t="str">
        <f>IFERROR(__xludf.DUMMYFUNCTION("JOIN(""-"",""app"",SPLIT(LOWER( C351),"" ""))"),"app-added-a-new-version")</f>
        <v>app-added-a-new-version</v>
      </c>
      <c r="C351" s="161" t="s">
        <v>4690</v>
      </c>
      <c r="D351" s="161" t="s">
        <v>4691</v>
      </c>
    </row>
    <row r="352">
      <c r="A352" s="195" t="str">
        <f>IFERROR(__xludf.DUMMYFUNCTION("JOIN(""-"",""app"",SPLIT(LOWER( C352),"" ""))"),"app-downloaded-the-file")</f>
        <v>app-downloaded-the-file</v>
      </c>
      <c r="C352" s="161" t="s">
        <v>4692</v>
      </c>
      <c r="D352" s="161" t="s">
        <v>4693</v>
      </c>
    </row>
    <row r="353">
      <c r="A353" s="195" t="str">
        <f>IFERROR(__xludf.DUMMYFUNCTION("JOIN(""-"",""app"",SPLIT(LOWER( C353),"" ""))"),"app-deleted-the-file")</f>
        <v>app-deleted-the-file</v>
      </c>
      <c r="C353" s="161" t="s">
        <v>4694</v>
      </c>
      <c r="D353" s="161" t="s">
        <v>4695</v>
      </c>
    </row>
    <row r="354">
      <c r="A354" s="195" t="str">
        <f>IFERROR(__xludf.DUMMYFUNCTION("JOIN(""-"",""app"",SPLIT(LOWER( C354),"" ""))"),"app-last-7-days")</f>
        <v>app-last-7-days</v>
      </c>
      <c r="C354" s="106" t="s">
        <v>3929</v>
      </c>
      <c r="D354" s="106" t="s">
        <v>3930</v>
      </c>
    </row>
    <row r="355">
      <c r="A355" s="195" t="str">
        <f>IFERROR(__xludf.DUMMYFUNCTION("JOIN(""-"",""app"",SPLIT(LOWER( C355),"" ""))"),"app-you")</f>
        <v>app-you</v>
      </c>
      <c r="C355" s="2" t="s">
        <v>4696</v>
      </c>
      <c r="D355" s="198" t="s">
        <v>4697</v>
      </c>
    </row>
    <row r="356" ht="30.0" customHeight="1">
      <c r="A356" s="165" t="str">
        <f>IFERROR(__xludf.DUMMYFUNCTION("JOIN(""-"",""app"",SPLIT(LOWER( C356),"" ""))"),"app-defect-type")</f>
        <v>app-defect-type</v>
      </c>
      <c r="B356" s="7"/>
      <c r="C356" s="187" t="s">
        <v>333</v>
      </c>
      <c r="D356" s="148" t="s">
        <v>3677</v>
      </c>
    </row>
    <row r="357">
      <c r="A357" s="165" t="str">
        <f>IFERROR(__xludf.DUMMYFUNCTION("JOIN(""-"",""app"",SPLIT(LOWER( C357),"" ""))"),"app-compare-map")</f>
        <v>app-compare-map</v>
      </c>
      <c r="B357" s="128"/>
      <c r="C357" s="106" t="s">
        <v>2803</v>
      </c>
      <c r="D357" s="106" t="s">
        <v>2804</v>
      </c>
    </row>
    <row r="358">
      <c r="A358" s="165" t="str">
        <f>IFERROR(__xludf.DUMMYFUNCTION("JOIN(""-"",""app"",SPLIT(LOWER( C358),"" ""))"),"app-select-project")</f>
        <v>app-select-project</v>
      </c>
      <c r="B358" s="128"/>
      <c r="C358" s="106" t="s">
        <v>2575</v>
      </c>
      <c r="D358" s="106" t="s">
        <v>2576</v>
      </c>
    </row>
    <row r="362">
      <c r="B362" s="62"/>
    </row>
    <row r="363">
      <c r="B363" s="62"/>
    </row>
    <row r="364">
      <c r="B364" s="62"/>
    </row>
    <row r="365">
      <c r="B365" s="62"/>
    </row>
    <row r="366">
      <c r="B366" s="62"/>
    </row>
    <row r="367">
      <c r="B367" s="62"/>
    </row>
    <row r="368">
      <c r="B368" s="62"/>
    </row>
    <row r="369">
      <c r="B369" s="62"/>
    </row>
    <row r="370">
      <c r="B370" s="62"/>
    </row>
    <row r="371">
      <c r="B371" s="62"/>
      <c r="C371" s="62"/>
      <c r="D371" s="62"/>
    </row>
    <row r="372">
      <c r="B372" s="62"/>
      <c r="C372" s="62"/>
      <c r="D372" s="62"/>
    </row>
    <row r="373">
      <c r="B373" s="62"/>
      <c r="C373" s="62"/>
      <c r="D373" s="62"/>
    </row>
    <row r="374">
      <c r="B374" s="62"/>
      <c r="C374" s="62"/>
      <c r="D374" s="62"/>
    </row>
    <row r="375">
      <c r="B375" s="62"/>
      <c r="C375" s="62"/>
      <c r="D375" s="62"/>
    </row>
    <row r="376">
      <c r="B376" s="62"/>
      <c r="C376" s="62"/>
      <c r="D376" s="62"/>
    </row>
    <row r="377">
      <c r="B377" s="62"/>
      <c r="C377" s="62"/>
      <c r="D377" s="62"/>
    </row>
    <row r="378">
      <c r="B378" s="62"/>
      <c r="C378" s="62"/>
      <c r="D378" s="62"/>
    </row>
    <row r="379">
      <c r="B379" s="62"/>
      <c r="C379" s="62"/>
      <c r="D379" s="62"/>
    </row>
    <row r="380">
      <c r="B380" s="62"/>
      <c r="C380" s="62"/>
      <c r="D380" s="62"/>
    </row>
    <row r="381">
      <c r="B381" s="62"/>
      <c r="C381" s="62"/>
      <c r="D381" s="62"/>
    </row>
    <row r="382">
      <c r="B382" s="62"/>
      <c r="C382" s="62"/>
      <c r="D382" s="62"/>
    </row>
    <row r="383">
      <c r="B383" s="62"/>
      <c r="C383" s="62"/>
      <c r="D383" s="62"/>
    </row>
    <row r="384">
      <c r="B384" s="62"/>
      <c r="C384" s="62"/>
      <c r="D384" s="62"/>
    </row>
    <row r="385">
      <c r="B385" s="62"/>
      <c r="C385" s="62"/>
      <c r="D385" s="62"/>
    </row>
    <row r="386">
      <c r="B386" s="62"/>
      <c r="C386" s="62"/>
      <c r="D386" s="62"/>
    </row>
    <row r="387">
      <c r="B387" s="62"/>
      <c r="C387" s="62"/>
      <c r="D387" s="62"/>
    </row>
    <row r="388">
      <c r="B388" s="62"/>
      <c r="C388" s="62"/>
      <c r="D388" s="62"/>
    </row>
    <row r="389">
      <c r="B389" s="62"/>
      <c r="C389" s="62"/>
      <c r="D389" s="62"/>
    </row>
    <row r="390">
      <c r="B390" s="62"/>
      <c r="C390" s="62"/>
      <c r="D390" s="62"/>
    </row>
    <row r="391">
      <c r="B391" s="62"/>
      <c r="C391" s="62"/>
      <c r="D391" s="62"/>
    </row>
    <row r="392">
      <c r="B392" s="62"/>
      <c r="C392" s="62"/>
      <c r="D392" s="62"/>
    </row>
    <row r="393">
      <c r="B393" s="62"/>
      <c r="C393" s="62"/>
      <c r="D393" s="62"/>
    </row>
    <row r="394">
      <c r="B394" s="62"/>
      <c r="C394" s="62"/>
      <c r="D394" s="62"/>
    </row>
    <row r="395">
      <c r="B395" s="62"/>
      <c r="C395" s="62"/>
      <c r="D395" s="62"/>
    </row>
    <row r="396">
      <c r="B396" s="62"/>
      <c r="C396" s="62"/>
      <c r="D396" s="62"/>
    </row>
    <row r="397">
      <c r="B397" s="62"/>
      <c r="C397" s="62"/>
      <c r="D397" s="62"/>
    </row>
    <row r="398">
      <c r="B398" s="62"/>
      <c r="C398" s="62"/>
      <c r="D398" s="62"/>
    </row>
    <row r="399">
      <c r="B399" s="62"/>
      <c r="C399" s="62"/>
      <c r="D399" s="62"/>
    </row>
    <row r="400">
      <c r="B400" s="62"/>
      <c r="C400" s="62"/>
      <c r="D400" s="62"/>
    </row>
    <row r="401">
      <c r="B401" s="62"/>
      <c r="C401" s="62"/>
      <c r="D401" s="62"/>
    </row>
    <row r="402">
      <c r="B402" s="62"/>
      <c r="C402" s="62"/>
      <c r="D402" s="62"/>
    </row>
    <row r="403">
      <c r="B403" s="62"/>
      <c r="C403" s="62"/>
      <c r="D403" s="62"/>
    </row>
    <row r="404">
      <c r="B404" s="62"/>
      <c r="C404" s="62"/>
      <c r="D404" s="62"/>
    </row>
    <row r="405">
      <c r="B405" s="62"/>
      <c r="C405" s="62"/>
      <c r="D405" s="62"/>
    </row>
    <row r="406">
      <c r="B406" s="62"/>
      <c r="C406" s="62"/>
      <c r="D406" s="62"/>
    </row>
    <row r="407">
      <c r="B407" s="62"/>
      <c r="C407" s="62"/>
      <c r="D407" s="62"/>
    </row>
    <row r="408">
      <c r="B408" s="62"/>
      <c r="C408" s="62"/>
      <c r="D408" s="62"/>
    </row>
    <row r="409">
      <c r="B409" s="62"/>
      <c r="C409" s="62"/>
      <c r="D409" s="62"/>
    </row>
    <row r="410">
      <c r="B410" s="62"/>
      <c r="C410" s="62"/>
      <c r="D410" s="62"/>
    </row>
    <row r="411">
      <c r="B411" s="62"/>
      <c r="C411" s="62"/>
      <c r="D411" s="62"/>
    </row>
    <row r="412">
      <c r="B412" s="62"/>
      <c r="C412" s="62"/>
      <c r="D412" s="62"/>
    </row>
    <row r="413">
      <c r="B413" s="62"/>
      <c r="C413" s="62"/>
      <c r="D413" s="62"/>
    </row>
    <row r="414">
      <c r="B414" s="62"/>
      <c r="C414" s="62"/>
      <c r="D414" s="62"/>
    </row>
    <row r="415">
      <c r="B415" s="62"/>
      <c r="C415" s="62"/>
      <c r="D415" s="62"/>
    </row>
    <row r="416">
      <c r="B416" s="62"/>
      <c r="C416" s="62"/>
      <c r="D416" s="62"/>
    </row>
    <row r="417">
      <c r="B417" s="62"/>
      <c r="C417" s="62"/>
      <c r="D417" s="62"/>
    </row>
    <row r="418">
      <c r="B418" s="62"/>
      <c r="C418" s="62"/>
      <c r="D418" s="62"/>
    </row>
    <row r="419">
      <c r="B419" s="62"/>
      <c r="C419" s="62"/>
      <c r="D419" s="62"/>
    </row>
    <row r="420">
      <c r="B420" s="62"/>
      <c r="C420" s="62"/>
      <c r="D420" s="62"/>
    </row>
    <row r="421">
      <c r="B421" s="62"/>
      <c r="C421" s="62"/>
      <c r="D421" s="62"/>
    </row>
    <row r="422">
      <c r="B422" s="62"/>
      <c r="C422" s="62"/>
      <c r="D422" s="62"/>
    </row>
    <row r="423">
      <c r="B423" s="62"/>
      <c r="C423" s="62"/>
      <c r="D423" s="62"/>
    </row>
    <row r="424">
      <c r="B424" s="62"/>
      <c r="C424" s="62"/>
      <c r="D424" s="62"/>
    </row>
    <row r="425">
      <c r="B425" s="62"/>
      <c r="C425" s="62"/>
      <c r="D425" s="62"/>
    </row>
    <row r="426">
      <c r="B426" s="62"/>
      <c r="C426" s="62"/>
      <c r="D426" s="62"/>
    </row>
    <row r="427">
      <c r="B427" s="62"/>
      <c r="C427" s="62"/>
      <c r="D427" s="62"/>
    </row>
    <row r="428">
      <c r="B428" s="62"/>
      <c r="C428" s="62"/>
      <c r="D428" s="62"/>
    </row>
    <row r="429">
      <c r="B429" s="62"/>
      <c r="C429" s="62"/>
      <c r="D429" s="62"/>
    </row>
    <row r="430">
      <c r="B430" s="62"/>
      <c r="C430" s="62"/>
      <c r="D430" s="62"/>
    </row>
    <row r="431">
      <c r="B431" s="62"/>
      <c r="C431" s="62"/>
      <c r="D431" s="62"/>
    </row>
    <row r="432">
      <c r="B432" s="62"/>
      <c r="C432" s="62"/>
      <c r="D432" s="62"/>
    </row>
    <row r="433">
      <c r="B433" s="62"/>
      <c r="C433" s="62"/>
      <c r="D433" s="62"/>
    </row>
    <row r="434">
      <c r="B434" s="62"/>
      <c r="C434" s="62"/>
      <c r="D434" s="62"/>
    </row>
    <row r="435">
      <c r="B435" s="62"/>
      <c r="C435" s="62"/>
      <c r="D435" s="62"/>
    </row>
    <row r="436">
      <c r="B436" s="62"/>
      <c r="C436" s="62"/>
      <c r="D436" s="62"/>
    </row>
    <row r="437">
      <c r="B437" s="62"/>
      <c r="C437" s="62"/>
      <c r="D437" s="62"/>
    </row>
    <row r="438">
      <c r="B438" s="62"/>
      <c r="C438" s="62"/>
      <c r="D438" s="62"/>
    </row>
    <row r="439">
      <c r="B439" s="62"/>
      <c r="C439" s="62"/>
      <c r="D439" s="62"/>
    </row>
    <row r="440">
      <c r="B440" s="62"/>
      <c r="C440" s="62"/>
      <c r="D440" s="62"/>
    </row>
    <row r="441">
      <c r="B441" s="62"/>
      <c r="C441" s="62"/>
      <c r="D441" s="62"/>
    </row>
    <row r="442">
      <c r="B442" s="62"/>
      <c r="C442" s="62"/>
      <c r="D442" s="62"/>
    </row>
    <row r="443">
      <c r="B443" s="62"/>
      <c r="C443" s="62"/>
      <c r="D443" s="62"/>
    </row>
    <row r="444">
      <c r="B444" s="62"/>
      <c r="C444" s="62"/>
      <c r="D444" s="62"/>
    </row>
    <row r="445">
      <c r="B445" s="62"/>
      <c r="C445" s="62"/>
      <c r="D445" s="62"/>
    </row>
    <row r="446">
      <c r="B446" s="62"/>
      <c r="C446" s="62"/>
      <c r="D446" s="62"/>
    </row>
    <row r="447">
      <c r="B447" s="62"/>
      <c r="C447" s="62"/>
      <c r="D447" s="62"/>
    </row>
    <row r="448">
      <c r="B448" s="62"/>
      <c r="C448" s="62"/>
      <c r="D448" s="62"/>
    </row>
    <row r="449">
      <c r="B449" s="62"/>
      <c r="C449" s="62"/>
      <c r="D449" s="62"/>
    </row>
    <row r="450">
      <c r="B450" s="62"/>
      <c r="C450" s="62"/>
      <c r="D450" s="62"/>
    </row>
    <row r="451">
      <c r="B451" s="62"/>
      <c r="C451" s="62"/>
      <c r="D451" s="62"/>
    </row>
    <row r="452">
      <c r="B452" s="62"/>
      <c r="C452" s="62"/>
      <c r="D452" s="62"/>
    </row>
    <row r="453">
      <c r="B453" s="62"/>
      <c r="C453" s="62"/>
      <c r="D453" s="62"/>
    </row>
    <row r="454">
      <c r="B454" s="62"/>
      <c r="C454" s="62"/>
      <c r="D454" s="62"/>
    </row>
    <row r="455">
      <c r="B455" s="62"/>
      <c r="C455" s="62"/>
      <c r="D455" s="62"/>
    </row>
    <row r="456">
      <c r="B456" s="62"/>
      <c r="C456" s="62"/>
      <c r="D456" s="62"/>
    </row>
    <row r="457">
      <c r="B457" s="62"/>
      <c r="C457" s="62"/>
      <c r="D457" s="62"/>
    </row>
    <row r="458">
      <c r="B458" s="62"/>
      <c r="C458" s="62"/>
      <c r="D458" s="62"/>
    </row>
    <row r="459">
      <c r="B459" s="62"/>
      <c r="C459" s="62"/>
      <c r="D459" s="62"/>
    </row>
    <row r="460">
      <c r="B460" s="62"/>
      <c r="C460" s="62"/>
      <c r="D460" s="62"/>
    </row>
    <row r="461">
      <c r="B461" s="62"/>
      <c r="C461" s="62"/>
      <c r="D461" s="62"/>
    </row>
    <row r="462">
      <c r="B462" s="62"/>
      <c r="C462" s="62"/>
      <c r="D462" s="62"/>
    </row>
    <row r="463">
      <c r="B463" s="62"/>
      <c r="C463" s="62"/>
      <c r="D463" s="62"/>
    </row>
    <row r="464">
      <c r="B464" s="62"/>
      <c r="C464" s="62"/>
      <c r="D464" s="62"/>
    </row>
    <row r="465">
      <c r="B465" s="62"/>
      <c r="C465" s="62"/>
      <c r="D465" s="62"/>
    </row>
    <row r="466">
      <c r="B466" s="62"/>
      <c r="C466" s="62"/>
      <c r="D466" s="62"/>
    </row>
    <row r="467">
      <c r="B467" s="62"/>
      <c r="C467" s="62"/>
      <c r="D467" s="62"/>
    </row>
    <row r="468">
      <c r="B468" s="62"/>
      <c r="C468" s="62"/>
      <c r="D468" s="62"/>
    </row>
    <row r="469">
      <c r="B469" s="62"/>
      <c r="C469" s="62"/>
      <c r="D469" s="62"/>
    </row>
    <row r="470">
      <c r="B470" s="62"/>
      <c r="C470" s="62"/>
      <c r="D470" s="62"/>
    </row>
    <row r="471">
      <c r="B471" s="62"/>
      <c r="C471" s="62"/>
      <c r="D471" s="62"/>
    </row>
    <row r="472">
      <c r="B472" s="62"/>
      <c r="C472" s="62"/>
      <c r="D472" s="62"/>
    </row>
    <row r="473">
      <c r="B473" s="62"/>
      <c r="C473" s="62"/>
      <c r="D473" s="62"/>
    </row>
    <row r="474">
      <c r="B474" s="62"/>
      <c r="C474" s="62"/>
      <c r="D474" s="62"/>
    </row>
    <row r="475">
      <c r="B475" s="62"/>
      <c r="C475" s="62"/>
      <c r="D475" s="62"/>
    </row>
    <row r="476">
      <c r="B476" s="62"/>
      <c r="C476" s="62"/>
      <c r="D476" s="62"/>
    </row>
    <row r="477">
      <c r="B477" s="62"/>
      <c r="C477" s="62"/>
      <c r="D477" s="62"/>
    </row>
    <row r="478">
      <c r="B478" s="62"/>
      <c r="C478" s="62"/>
      <c r="D478" s="62"/>
    </row>
    <row r="479">
      <c r="B479" s="62"/>
      <c r="C479" s="62"/>
      <c r="D479" s="62"/>
    </row>
    <row r="480">
      <c r="B480" s="62"/>
      <c r="C480" s="62"/>
      <c r="D480" s="62"/>
    </row>
    <row r="481">
      <c r="B481" s="62"/>
      <c r="C481" s="62"/>
      <c r="D481" s="62"/>
    </row>
    <row r="482">
      <c r="B482" s="62"/>
      <c r="C482" s="62"/>
      <c r="D482" s="62"/>
    </row>
    <row r="483">
      <c r="B483" s="62"/>
      <c r="C483" s="62"/>
      <c r="D483" s="62"/>
    </row>
    <row r="484">
      <c r="B484" s="62"/>
      <c r="C484" s="62"/>
      <c r="D484" s="62"/>
    </row>
    <row r="485">
      <c r="B485" s="62"/>
      <c r="C485" s="62"/>
      <c r="D485" s="62"/>
    </row>
    <row r="486">
      <c r="B486" s="62"/>
      <c r="C486" s="62"/>
      <c r="D486" s="62"/>
    </row>
    <row r="487">
      <c r="B487" s="62"/>
      <c r="C487" s="62"/>
      <c r="D487" s="62"/>
    </row>
    <row r="488">
      <c r="B488" s="62"/>
      <c r="C488" s="62"/>
      <c r="D488" s="62"/>
    </row>
    <row r="489">
      <c r="B489" s="62"/>
      <c r="C489" s="62"/>
      <c r="D489" s="62"/>
    </row>
    <row r="490">
      <c r="B490" s="62"/>
      <c r="C490" s="62"/>
      <c r="D490" s="62"/>
    </row>
    <row r="491">
      <c r="B491" s="62"/>
      <c r="C491" s="62"/>
      <c r="D491" s="62"/>
    </row>
    <row r="492">
      <c r="B492" s="62"/>
      <c r="C492" s="62"/>
      <c r="D492" s="62"/>
    </row>
    <row r="493">
      <c r="B493" s="62"/>
      <c r="C493" s="62"/>
      <c r="D493" s="62"/>
    </row>
    <row r="494">
      <c r="B494" s="62"/>
      <c r="C494" s="62"/>
      <c r="D494" s="62"/>
    </row>
    <row r="495">
      <c r="B495" s="62"/>
      <c r="C495" s="62"/>
      <c r="D495" s="62"/>
    </row>
    <row r="496">
      <c r="B496" s="62"/>
      <c r="C496" s="62"/>
      <c r="D496" s="62"/>
    </row>
    <row r="497">
      <c r="B497" s="62"/>
      <c r="C497" s="62"/>
      <c r="D497" s="62"/>
    </row>
    <row r="498">
      <c r="B498" s="62"/>
      <c r="C498" s="62"/>
      <c r="D498" s="62"/>
    </row>
    <row r="499">
      <c r="B499" s="62"/>
      <c r="C499" s="62"/>
      <c r="D499" s="62"/>
    </row>
    <row r="500">
      <c r="B500" s="62"/>
      <c r="C500" s="62"/>
      <c r="D500" s="62"/>
    </row>
    <row r="501">
      <c r="B501" s="62"/>
      <c r="C501" s="62"/>
      <c r="D501" s="62"/>
    </row>
    <row r="502">
      <c r="B502" s="62"/>
      <c r="C502" s="62"/>
      <c r="D502" s="62"/>
    </row>
    <row r="503">
      <c r="B503" s="62"/>
      <c r="C503" s="62"/>
      <c r="D503" s="62"/>
    </row>
    <row r="504">
      <c r="B504" s="62"/>
      <c r="C504" s="62"/>
      <c r="D504" s="62"/>
    </row>
    <row r="505">
      <c r="B505" s="62"/>
      <c r="C505" s="62"/>
      <c r="D505" s="62"/>
    </row>
    <row r="506">
      <c r="B506" s="62"/>
      <c r="C506" s="62"/>
      <c r="D506" s="62"/>
    </row>
    <row r="507">
      <c r="B507" s="62"/>
      <c r="C507" s="62"/>
      <c r="D507" s="62"/>
    </row>
    <row r="508">
      <c r="B508" s="62"/>
      <c r="C508" s="62"/>
      <c r="D508" s="62"/>
    </row>
    <row r="509">
      <c r="B509" s="62"/>
      <c r="C509" s="62"/>
      <c r="D509" s="62"/>
    </row>
    <row r="510">
      <c r="B510" s="62"/>
      <c r="C510" s="62"/>
      <c r="D510" s="62"/>
    </row>
    <row r="511">
      <c r="B511" s="62"/>
      <c r="C511" s="62"/>
      <c r="D511" s="62"/>
    </row>
    <row r="512">
      <c r="B512" s="62"/>
      <c r="C512" s="62"/>
      <c r="D512" s="62"/>
    </row>
    <row r="513">
      <c r="B513" s="62"/>
      <c r="C513" s="62"/>
      <c r="D513" s="62"/>
    </row>
    <row r="514">
      <c r="B514" s="62"/>
      <c r="C514" s="62"/>
      <c r="D514" s="62"/>
    </row>
    <row r="515">
      <c r="B515" s="62"/>
      <c r="C515" s="62"/>
      <c r="D515" s="62"/>
    </row>
    <row r="516">
      <c r="B516" s="62"/>
      <c r="C516" s="62"/>
      <c r="D516" s="62"/>
    </row>
    <row r="517">
      <c r="B517" s="62"/>
      <c r="C517" s="62"/>
      <c r="D517" s="62"/>
    </row>
    <row r="518">
      <c r="B518" s="62"/>
      <c r="C518" s="62"/>
      <c r="D518" s="62"/>
    </row>
    <row r="519">
      <c r="B519" s="62"/>
      <c r="C519" s="62"/>
      <c r="D519" s="62"/>
    </row>
    <row r="520">
      <c r="B520" s="62"/>
      <c r="C520" s="62"/>
      <c r="D520" s="62"/>
    </row>
    <row r="521">
      <c r="B521" s="62"/>
      <c r="C521" s="62"/>
      <c r="D521" s="62"/>
    </row>
    <row r="522">
      <c r="B522" s="62"/>
      <c r="C522" s="62"/>
      <c r="D522" s="62"/>
    </row>
    <row r="523">
      <c r="B523" s="62"/>
      <c r="C523" s="62"/>
      <c r="D523" s="62"/>
    </row>
    <row r="524">
      <c r="B524" s="62"/>
      <c r="C524" s="62"/>
      <c r="D524" s="62"/>
    </row>
    <row r="525">
      <c r="B525" s="62"/>
      <c r="C525" s="62"/>
      <c r="D525" s="62"/>
    </row>
    <row r="526">
      <c r="B526" s="62"/>
      <c r="C526" s="62"/>
      <c r="D526" s="62"/>
    </row>
    <row r="527">
      <c r="B527" s="62"/>
      <c r="C527" s="62"/>
      <c r="D527" s="62"/>
    </row>
    <row r="528">
      <c r="B528" s="62"/>
      <c r="C528" s="62"/>
      <c r="D528" s="62"/>
    </row>
    <row r="529">
      <c r="B529" s="62"/>
      <c r="C529" s="62"/>
      <c r="D529" s="62"/>
    </row>
    <row r="530">
      <c r="B530" s="62"/>
      <c r="C530" s="62"/>
      <c r="D530" s="62"/>
    </row>
    <row r="531">
      <c r="B531" s="62"/>
      <c r="C531" s="62"/>
      <c r="D531" s="62"/>
    </row>
    <row r="532">
      <c r="B532" s="62"/>
      <c r="C532" s="62"/>
      <c r="D532" s="62"/>
    </row>
    <row r="533">
      <c r="B533" s="62"/>
      <c r="C533" s="62"/>
      <c r="D533" s="62"/>
    </row>
    <row r="534">
      <c r="B534" s="62"/>
      <c r="C534" s="62"/>
      <c r="D534" s="62"/>
    </row>
    <row r="535">
      <c r="B535" s="62"/>
      <c r="C535" s="62"/>
      <c r="D535" s="62"/>
    </row>
    <row r="536">
      <c r="B536" s="62"/>
      <c r="C536" s="62"/>
      <c r="D536" s="62"/>
    </row>
    <row r="537">
      <c r="B537" s="62"/>
      <c r="C537" s="62"/>
      <c r="D537" s="62"/>
    </row>
    <row r="538">
      <c r="B538" s="62"/>
      <c r="C538" s="62"/>
      <c r="D538" s="62"/>
    </row>
    <row r="539">
      <c r="B539" s="62"/>
      <c r="C539" s="62"/>
      <c r="D539" s="62"/>
    </row>
    <row r="540">
      <c r="B540" s="62"/>
      <c r="C540" s="62"/>
      <c r="D540" s="62"/>
    </row>
    <row r="541">
      <c r="B541" s="62"/>
      <c r="C541" s="62"/>
      <c r="D541" s="62"/>
    </row>
    <row r="542">
      <c r="B542" s="62"/>
      <c r="C542" s="62"/>
      <c r="D542" s="62"/>
    </row>
    <row r="543">
      <c r="B543" s="62"/>
      <c r="C543" s="62"/>
      <c r="D543" s="62"/>
    </row>
    <row r="544">
      <c r="B544" s="62"/>
      <c r="C544" s="62"/>
      <c r="D544" s="62"/>
    </row>
    <row r="545">
      <c r="B545" s="62"/>
      <c r="C545" s="62"/>
      <c r="D545" s="62"/>
    </row>
    <row r="546">
      <c r="B546" s="62"/>
      <c r="C546" s="62"/>
      <c r="D546" s="62"/>
    </row>
    <row r="547">
      <c r="B547" s="62"/>
      <c r="C547" s="62"/>
      <c r="D547" s="62"/>
    </row>
    <row r="548">
      <c r="B548" s="62"/>
      <c r="C548" s="62"/>
      <c r="D548" s="62"/>
    </row>
    <row r="549">
      <c r="B549" s="62"/>
      <c r="C549" s="62"/>
      <c r="D549" s="62"/>
    </row>
    <row r="550">
      <c r="B550" s="62"/>
      <c r="C550" s="62"/>
      <c r="D550" s="62"/>
    </row>
    <row r="551">
      <c r="B551" s="62"/>
      <c r="C551" s="62"/>
      <c r="D551" s="62"/>
    </row>
    <row r="552">
      <c r="B552" s="62"/>
      <c r="C552" s="62"/>
      <c r="D552" s="62"/>
    </row>
    <row r="553">
      <c r="B553" s="62"/>
      <c r="C553" s="62"/>
      <c r="D553" s="62"/>
    </row>
    <row r="554">
      <c r="B554" s="62"/>
      <c r="C554" s="62"/>
      <c r="D554" s="62"/>
    </row>
    <row r="555">
      <c r="B555" s="62"/>
      <c r="C555" s="62"/>
      <c r="D555" s="62"/>
    </row>
    <row r="556">
      <c r="B556" s="62"/>
      <c r="C556" s="62"/>
      <c r="D556" s="62"/>
    </row>
    <row r="557">
      <c r="B557" s="62"/>
      <c r="C557" s="62"/>
      <c r="D557" s="62"/>
    </row>
    <row r="558">
      <c r="B558" s="62"/>
      <c r="C558" s="62"/>
      <c r="D558" s="62"/>
    </row>
    <row r="559">
      <c r="B559" s="62"/>
      <c r="C559" s="62"/>
      <c r="D559" s="62"/>
    </row>
    <row r="560">
      <c r="B560" s="62"/>
      <c r="C560" s="62"/>
      <c r="D560" s="62"/>
    </row>
    <row r="561">
      <c r="B561" s="62"/>
      <c r="C561" s="62"/>
      <c r="D561" s="62"/>
    </row>
    <row r="562">
      <c r="B562" s="62"/>
      <c r="C562" s="62"/>
      <c r="D562" s="62"/>
    </row>
    <row r="563">
      <c r="B563" s="62"/>
      <c r="C563" s="62"/>
      <c r="D563" s="62"/>
    </row>
    <row r="564">
      <c r="B564" s="62"/>
      <c r="C564" s="62"/>
      <c r="D564" s="62"/>
    </row>
    <row r="565">
      <c r="B565" s="62"/>
      <c r="C565" s="62"/>
      <c r="D565" s="62"/>
    </row>
    <row r="566">
      <c r="B566" s="62"/>
      <c r="C566" s="62"/>
      <c r="D566" s="62"/>
    </row>
    <row r="567">
      <c r="B567" s="62"/>
      <c r="C567" s="62"/>
      <c r="D567" s="62"/>
    </row>
    <row r="568">
      <c r="B568" s="62"/>
      <c r="C568" s="62"/>
      <c r="D568" s="62"/>
    </row>
    <row r="569">
      <c r="B569" s="62"/>
      <c r="C569" s="62"/>
      <c r="D569" s="62"/>
    </row>
    <row r="570">
      <c r="B570" s="62"/>
      <c r="C570" s="62"/>
      <c r="D570" s="62"/>
    </row>
    <row r="571">
      <c r="B571" s="62"/>
      <c r="C571" s="62"/>
      <c r="D571" s="62"/>
    </row>
    <row r="572">
      <c r="B572" s="62"/>
      <c r="C572" s="62"/>
      <c r="D572" s="62"/>
    </row>
    <row r="573">
      <c r="B573" s="62"/>
      <c r="C573" s="62"/>
      <c r="D573" s="62"/>
    </row>
    <row r="574">
      <c r="B574" s="62"/>
      <c r="C574" s="62"/>
      <c r="D574" s="62"/>
    </row>
    <row r="575">
      <c r="B575" s="62"/>
      <c r="C575" s="62"/>
      <c r="D575" s="62"/>
    </row>
    <row r="576">
      <c r="B576" s="62"/>
      <c r="C576" s="62"/>
      <c r="D576" s="62"/>
    </row>
    <row r="577">
      <c r="B577" s="62"/>
      <c r="C577" s="62"/>
      <c r="D577" s="62"/>
    </row>
    <row r="578">
      <c r="B578" s="62"/>
      <c r="C578" s="62"/>
      <c r="D578" s="62"/>
    </row>
    <row r="579">
      <c r="B579" s="62"/>
      <c r="C579" s="62"/>
      <c r="D579" s="62"/>
    </row>
    <row r="580">
      <c r="B580" s="62"/>
      <c r="C580" s="62"/>
      <c r="D580" s="62"/>
    </row>
    <row r="581">
      <c r="B581" s="62"/>
      <c r="C581" s="62"/>
      <c r="D581" s="62"/>
    </row>
    <row r="582">
      <c r="B582" s="62"/>
      <c r="C582" s="62"/>
      <c r="D582" s="62"/>
    </row>
    <row r="583">
      <c r="B583" s="62"/>
      <c r="C583" s="62"/>
      <c r="D583" s="62"/>
    </row>
    <row r="584">
      <c r="B584" s="62"/>
      <c r="C584" s="62"/>
      <c r="D584" s="62"/>
    </row>
    <row r="585">
      <c r="B585" s="62"/>
      <c r="C585" s="62"/>
      <c r="D585" s="62"/>
    </row>
    <row r="586">
      <c r="B586" s="62"/>
      <c r="C586" s="62"/>
      <c r="D586" s="62"/>
    </row>
    <row r="587">
      <c r="B587" s="62"/>
      <c r="C587" s="62"/>
      <c r="D587" s="62"/>
    </row>
    <row r="588">
      <c r="B588" s="62"/>
      <c r="C588" s="62"/>
      <c r="D588" s="62"/>
    </row>
    <row r="589">
      <c r="B589" s="62"/>
      <c r="C589" s="62"/>
      <c r="D589" s="62"/>
    </row>
    <row r="590">
      <c r="B590" s="62"/>
      <c r="C590" s="62"/>
      <c r="D590" s="62"/>
    </row>
    <row r="591">
      <c r="B591" s="62"/>
      <c r="C591" s="62"/>
      <c r="D591" s="62"/>
    </row>
    <row r="592">
      <c r="B592" s="62"/>
      <c r="C592" s="62"/>
      <c r="D592" s="62"/>
    </row>
    <row r="593">
      <c r="B593" s="62"/>
      <c r="C593" s="62"/>
      <c r="D593" s="62"/>
    </row>
    <row r="594">
      <c r="B594" s="62"/>
      <c r="C594" s="62"/>
      <c r="D594" s="62"/>
    </row>
    <row r="595">
      <c r="B595" s="62"/>
      <c r="C595" s="62"/>
      <c r="D595" s="62"/>
    </row>
    <row r="596">
      <c r="B596" s="62"/>
      <c r="C596" s="62"/>
      <c r="D596" s="62"/>
    </row>
    <row r="597">
      <c r="B597" s="62"/>
      <c r="C597" s="62"/>
      <c r="D597" s="62"/>
    </row>
    <row r="598">
      <c r="B598" s="62"/>
      <c r="C598" s="62"/>
      <c r="D598" s="62"/>
    </row>
    <row r="599">
      <c r="B599" s="62"/>
      <c r="C599" s="62"/>
      <c r="D599" s="62"/>
    </row>
    <row r="600">
      <c r="B600" s="62"/>
      <c r="C600" s="62"/>
      <c r="D600" s="62"/>
    </row>
    <row r="601">
      <c r="B601" s="62"/>
      <c r="C601" s="62"/>
      <c r="D601" s="62"/>
    </row>
    <row r="602">
      <c r="B602" s="62"/>
      <c r="C602" s="62"/>
      <c r="D602" s="62"/>
    </row>
    <row r="603">
      <c r="B603" s="62"/>
      <c r="C603" s="62"/>
      <c r="D603" s="62"/>
    </row>
    <row r="604">
      <c r="B604" s="62"/>
      <c r="C604" s="62"/>
      <c r="D604" s="62"/>
    </row>
    <row r="605">
      <c r="B605" s="62"/>
      <c r="C605" s="62"/>
      <c r="D605" s="62"/>
    </row>
    <row r="606">
      <c r="B606" s="62"/>
      <c r="C606" s="62"/>
      <c r="D606" s="62"/>
    </row>
    <row r="607">
      <c r="B607" s="62"/>
      <c r="C607" s="62"/>
      <c r="D607" s="62"/>
    </row>
    <row r="608">
      <c r="B608" s="62"/>
      <c r="C608" s="62"/>
      <c r="D608" s="62"/>
    </row>
    <row r="609">
      <c r="B609" s="62"/>
      <c r="C609" s="62"/>
      <c r="D609" s="62"/>
    </row>
    <row r="610">
      <c r="B610" s="62"/>
      <c r="C610" s="62"/>
      <c r="D610" s="62"/>
    </row>
    <row r="611">
      <c r="B611" s="62"/>
      <c r="C611" s="62"/>
      <c r="D611" s="62"/>
    </row>
    <row r="612">
      <c r="B612" s="62"/>
      <c r="C612" s="62"/>
      <c r="D612" s="62"/>
    </row>
    <row r="613">
      <c r="B613" s="62"/>
      <c r="C613" s="62"/>
      <c r="D613" s="62"/>
    </row>
    <row r="614">
      <c r="B614" s="62"/>
      <c r="C614" s="62"/>
      <c r="D614" s="62"/>
    </row>
    <row r="615">
      <c r="B615" s="62"/>
      <c r="C615" s="62"/>
      <c r="D615" s="62"/>
    </row>
    <row r="616">
      <c r="B616" s="62"/>
      <c r="C616" s="62"/>
      <c r="D616" s="62"/>
    </row>
    <row r="617">
      <c r="B617" s="62"/>
      <c r="C617" s="62"/>
      <c r="D617" s="62"/>
    </row>
    <row r="618">
      <c r="B618" s="62"/>
      <c r="C618" s="62"/>
      <c r="D618" s="62"/>
    </row>
    <row r="619">
      <c r="B619" s="62"/>
      <c r="C619" s="62"/>
      <c r="D619" s="62"/>
    </row>
    <row r="620">
      <c r="B620" s="62"/>
      <c r="C620" s="62"/>
      <c r="D620" s="62"/>
    </row>
    <row r="621">
      <c r="B621" s="62"/>
      <c r="C621" s="62"/>
      <c r="D621" s="62"/>
    </row>
    <row r="622">
      <c r="B622" s="62"/>
      <c r="C622" s="62"/>
      <c r="D622" s="62"/>
    </row>
    <row r="623">
      <c r="B623" s="62"/>
      <c r="C623" s="62"/>
      <c r="D623" s="62"/>
    </row>
    <row r="624">
      <c r="B624" s="62"/>
      <c r="C624" s="62"/>
      <c r="D624" s="62"/>
    </row>
    <row r="625">
      <c r="B625" s="62"/>
      <c r="C625" s="62"/>
      <c r="D625" s="62"/>
    </row>
    <row r="626">
      <c r="B626" s="62"/>
      <c r="C626" s="62"/>
      <c r="D626" s="62"/>
    </row>
    <row r="627">
      <c r="B627" s="62"/>
      <c r="C627" s="62"/>
      <c r="D627" s="62"/>
    </row>
    <row r="628">
      <c r="B628" s="62"/>
      <c r="C628" s="62"/>
      <c r="D628" s="62"/>
    </row>
    <row r="629">
      <c r="B629" s="62"/>
      <c r="C629" s="62"/>
      <c r="D629" s="62"/>
    </row>
    <row r="630">
      <c r="C630" s="62"/>
      <c r="D630" s="62"/>
    </row>
    <row r="631">
      <c r="C631" s="62"/>
      <c r="D631" s="62"/>
    </row>
    <row r="632">
      <c r="C632" s="62"/>
      <c r="D632" s="62"/>
    </row>
    <row r="633">
      <c r="C633" s="62"/>
      <c r="D633" s="62"/>
    </row>
    <row r="634">
      <c r="C634" s="62"/>
      <c r="D634" s="62"/>
    </row>
    <row r="635">
      <c r="C635" s="62"/>
      <c r="D635" s="62"/>
    </row>
    <row r="636">
      <c r="C636" s="62"/>
      <c r="D636" s="62"/>
    </row>
    <row r="637">
      <c r="C637" s="62"/>
      <c r="D637" s="62"/>
    </row>
    <row r="638">
      <c r="C638" s="62"/>
      <c r="D638" s="62"/>
    </row>
    <row r="639">
      <c r="C639" s="62"/>
      <c r="D639" s="62"/>
    </row>
    <row r="640">
      <c r="C640" s="62"/>
      <c r="D640" s="62"/>
    </row>
    <row r="641">
      <c r="C641" s="62"/>
      <c r="D641" s="62"/>
    </row>
    <row r="642">
      <c r="C642" s="62"/>
      <c r="D642" s="62"/>
    </row>
    <row r="643">
      <c r="C643" s="62"/>
      <c r="D643" s="62"/>
    </row>
    <row r="644">
      <c r="C644" s="62"/>
      <c r="D644" s="62"/>
    </row>
    <row r="645">
      <c r="C645" s="62"/>
      <c r="D645" s="62"/>
    </row>
    <row r="646">
      <c r="C646" s="62"/>
      <c r="D646" s="62"/>
    </row>
    <row r="647">
      <c r="C647" s="62"/>
      <c r="D647" s="62"/>
    </row>
    <row r="648">
      <c r="C648" s="62"/>
      <c r="D648" s="62"/>
    </row>
    <row r="649">
      <c r="C649" s="62"/>
      <c r="D649" s="62"/>
    </row>
    <row r="650">
      <c r="C650" s="62"/>
      <c r="D650" s="62"/>
    </row>
    <row r="651">
      <c r="C651" s="62"/>
      <c r="D651" s="62"/>
    </row>
    <row r="652">
      <c r="C652" s="62"/>
      <c r="D652" s="62"/>
    </row>
    <row r="653">
      <c r="C653" s="62"/>
      <c r="D653" s="62"/>
    </row>
    <row r="654">
      <c r="C654" s="62"/>
      <c r="D654" s="62"/>
    </row>
    <row r="655">
      <c r="C655" s="62"/>
      <c r="D655" s="62"/>
    </row>
    <row r="656">
      <c r="C656" s="62"/>
      <c r="D656" s="62"/>
    </row>
    <row r="657">
      <c r="C657" s="62"/>
      <c r="D657" s="62"/>
    </row>
    <row r="658">
      <c r="C658" s="62"/>
      <c r="D658" s="62"/>
    </row>
    <row r="659">
      <c r="C659" s="62"/>
      <c r="D659" s="62"/>
    </row>
    <row r="660">
      <c r="C660" s="62"/>
      <c r="D660" s="62"/>
    </row>
    <row r="661">
      <c r="C661" s="62"/>
      <c r="D661" s="62"/>
    </row>
    <row r="662">
      <c r="C662" s="62"/>
      <c r="D662" s="62"/>
    </row>
    <row r="663">
      <c r="C663" s="62"/>
      <c r="D663" s="62"/>
    </row>
    <row r="664">
      <c r="C664" s="62"/>
      <c r="D664" s="62"/>
    </row>
    <row r="665">
      <c r="C665" s="62"/>
      <c r="D665" s="62"/>
    </row>
    <row r="666">
      <c r="C666" s="62"/>
      <c r="D666" s="62"/>
    </row>
    <row r="667">
      <c r="C667" s="62"/>
      <c r="D667" s="62"/>
    </row>
    <row r="668">
      <c r="C668" s="62"/>
      <c r="D668" s="62"/>
    </row>
    <row r="669">
      <c r="C669" s="62"/>
      <c r="D669" s="62"/>
    </row>
    <row r="670">
      <c r="C670" s="62"/>
      <c r="D670" s="62"/>
    </row>
    <row r="671">
      <c r="C671" s="62"/>
      <c r="D671" s="62"/>
    </row>
    <row r="672">
      <c r="C672" s="62"/>
      <c r="D672" s="62"/>
    </row>
    <row r="673">
      <c r="C673" s="62"/>
      <c r="D673" s="62"/>
    </row>
    <row r="674">
      <c r="C674" s="62"/>
      <c r="D674" s="62"/>
    </row>
    <row r="675">
      <c r="C675" s="62"/>
      <c r="D675" s="62"/>
    </row>
    <row r="676">
      <c r="C676" s="62"/>
      <c r="D676" s="62"/>
    </row>
    <row r="677">
      <c r="C677" s="62"/>
      <c r="D677" s="62"/>
    </row>
    <row r="678">
      <c r="C678" s="62"/>
      <c r="D678" s="62"/>
    </row>
    <row r="679">
      <c r="C679" s="62"/>
      <c r="D679" s="62"/>
    </row>
    <row r="680">
      <c r="C680" s="62"/>
      <c r="D680" s="62"/>
    </row>
    <row r="681">
      <c r="C681" s="62"/>
      <c r="D681" s="62"/>
    </row>
    <row r="682">
      <c r="C682" s="62"/>
      <c r="D682" s="62"/>
    </row>
    <row r="683">
      <c r="C683" s="62"/>
      <c r="D683" s="62"/>
    </row>
    <row r="684">
      <c r="C684" s="62"/>
      <c r="D684" s="62"/>
    </row>
    <row r="685">
      <c r="C685" s="62"/>
      <c r="D685" s="62"/>
    </row>
    <row r="686">
      <c r="C686" s="62"/>
      <c r="D686" s="62"/>
    </row>
    <row r="687">
      <c r="C687" s="62"/>
      <c r="D687" s="62"/>
    </row>
    <row r="688">
      <c r="C688" s="62"/>
      <c r="D688" s="62"/>
    </row>
    <row r="689">
      <c r="C689" s="62"/>
      <c r="D689" s="62"/>
    </row>
    <row r="690">
      <c r="C690" s="62"/>
      <c r="D690" s="62"/>
    </row>
    <row r="691">
      <c r="C691" s="62"/>
      <c r="D691" s="62"/>
    </row>
    <row r="692">
      <c r="C692" s="62"/>
      <c r="D692" s="62"/>
    </row>
    <row r="693">
      <c r="C693" s="62"/>
      <c r="D693" s="62"/>
    </row>
    <row r="694">
      <c r="C694" s="62"/>
      <c r="D694" s="62"/>
    </row>
    <row r="695">
      <c r="C695" s="62"/>
      <c r="D695" s="62"/>
    </row>
    <row r="696">
      <c r="C696" s="62"/>
      <c r="D696" s="62"/>
    </row>
    <row r="697">
      <c r="C697" s="62"/>
      <c r="D697" s="62"/>
    </row>
    <row r="698">
      <c r="C698" s="62"/>
      <c r="D698" s="62"/>
    </row>
    <row r="699">
      <c r="C699" s="62"/>
      <c r="D699" s="62"/>
    </row>
    <row r="700">
      <c r="C700" s="62"/>
      <c r="D700" s="62"/>
    </row>
    <row r="701">
      <c r="C701" s="62"/>
      <c r="D701" s="62"/>
    </row>
    <row r="702">
      <c r="C702" s="62"/>
      <c r="D702" s="62"/>
    </row>
    <row r="703">
      <c r="C703" s="62"/>
      <c r="D703" s="62"/>
    </row>
    <row r="704">
      <c r="C704" s="62"/>
      <c r="D704" s="62"/>
    </row>
    <row r="705">
      <c r="C705" s="62"/>
      <c r="D705" s="62"/>
    </row>
    <row r="706">
      <c r="C706" s="62"/>
      <c r="D706" s="62"/>
    </row>
    <row r="707">
      <c r="C707" s="62"/>
      <c r="D707" s="62"/>
    </row>
    <row r="708">
      <c r="C708" s="62"/>
      <c r="D708" s="62"/>
    </row>
    <row r="709">
      <c r="C709" s="62"/>
      <c r="D709" s="62"/>
    </row>
    <row r="710">
      <c r="C710" s="62"/>
      <c r="D710" s="62"/>
    </row>
    <row r="711">
      <c r="C711" s="62"/>
      <c r="D711" s="62"/>
    </row>
    <row r="712">
      <c r="C712" s="62"/>
      <c r="D712" s="62"/>
    </row>
    <row r="713">
      <c r="C713" s="62"/>
      <c r="D713" s="62"/>
    </row>
    <row r="714">
      <c r="C714" s="62"/>
      <c r="D714" s="62"/>
    </row>
    <row r="715">
      <c r="C715" s="62"/>
      <c r="D715" s="62"/>
    </row>
    <row r="716">
      <c r="C716" s="62"/>
      <c r="D716" s="62"/>
    </row>
    <row r="717">
      <c r="C717" s="62"/>
      <c r="D717" s="62"/>
    </row>
    <row r="718">
      <c r="C718" s="62"/>
      <c r="D718" s="62"/>
    </row>
    <row r="719">
      <c r="C719" s="62"/>
      <c r="D719" s="62"/>
    </row>
    <row r="720">
      <c r="C720" s="62"/>
      <c r="D720" s="62"/>
    </row>
    <row r="721">
      <c r="C721" s="62"/>
      <c r="D721" s="62"/>
    </row>
    <row r="722">
      <c r="C722" s="62"/>
      <c r="D722" s="62"/>
    </row>
    <row r="723">
      <c r="C723" s="62"/>
      <c r="D723" s="62"/>
    </row>
    <row r="724">
      <c r="C724" s="62"/>
      <c r="D724" s="62"/>
    </row>
    <row r="725">
      <c r="C725" s="62"/>
      <c r="D725" s="62"/>
    </row>
    <row r="726">
      <c r="C726" s="62"/>
      <c r="D726" s="62"/>
    </row>
    <row r="727">
      <c r="C727" s="62"/>
      <c r="D727" s="62"/>
    </row>
    <row r="728">
      <c r="C728" s="62"/>
      <c r="D728" s="62"/>
    </row>
    <row r="729">
      <c r="C729" s="62"/>
      <c r="D729" s="62"/>
    </row>
    <row r="730">
      <c r="C730" s="62"/>
      <c r="D730" s="62"/>
    </row>
    <row r="731">
      <c r="C731" s="62"/>
      <c r="D731" s="62"/>
    </row>
    <row r="732">
      <c r="C732" s="62"/>
      <c r="D732" s="62"/>
    </row>
    <row r="733">
      <c r="C733" s="62"/>
      <c r="D733" s="62"/>
    </row>
    <row r="734">
      <c r="C734" s="62"/>
      <c r="D734" s="62"/>
    </row>
    <row r="735">
      <c r="C735" s="62"/>
      <c r="D735" s="62"/>
    </row>
    <row r="736">
      <c r="C736" s="62"/>
      <c r="D736" s="62"/>
    </row>
    <row r="737">
      <c r="C737" s="62"/>
      <c r="D737" s="62"/>
    </row>
    <row r="738">
      <c r="C738" s="62"/>
      <c r="D738" s="62"/>
    </row>
    <row r="739">
      <c r="C739" s="62"/>
      <c r="D739" s="62"/>
    </row>
    <row r="740">
      <c r="C740" s="62"/>
      <c r="D740" s="62"/>
    </row>
    <row r="741">
      <c r="C741" s="62"/>
      <c r="D741" s="62"/>
    </row>
    <row r="742">
      <c r="C742" s="62"/>
      <c r="D742" s="62"/>
    </row>
    <row r="743">
      <c r="C743" s="62"/>
      <c r="D743" s="62"/>
    </row>
    <row r="744">
      <c r="C744" s="62"/>
      <c r="D744" s="62"/>
    </row>
    <row r="745">
      <c r="C745" s="62"/>
      <c r="D745" s="62"/>
    </row>
    <row r="746">
      <c r="C746" s="62"/>
      <c r="D746" s="62"/>
    </row>
    <row r="747">
      <c r="C747" s="62"/>
      <c r="D747" s="62"/>
    </row>
    <row r="748">
      <c r="C748" s="62"/>
      <c r="D748" s="62"/>
    </row>
    <row r="749">
      <c r="C749" s="62"/>
      <c r="D749" s="62"/>
    </row>
    <row r="750">
      <c r="C750" s="62"/>
      <c r="D750" s="62"/>
    </row>
    <row r="751">
      <c r="C751" s="62"/>
      <c r="D751" s="62"/>
    </row>
    <row r="752">
      <c r="C752" s="62"/>
      <c r="D752" s="62"/>
    </row>
    <row r="753">
      <c r="C753" s="62"/>
      <c r="D753" s="62"/>
    </row>
    <row r="754">
      <c r="C754" s="62"/>
      <c r="D754" s="62"/>
    </row>
    <row r="755">
      <c r="C755" s="62"/>
      <c r="D755" s="62"/>
    </row>
    <row r="756">
      <c r="C756" s="62"/>
      <c r="D756" s="62"/>
    </row>
    <row r="757">
      <c r="C757" s="62"/>
      <c r="D757" s="62"/>
    </row>
    <row r="758">
      <c r="C758" s="62"/>
      <c r="D758" s="62"/>
    </row>
    <row r="759">
      <c r="C759" s="62"/>
      <c r="D759" s="62"/>
    </row>
    <row r="760">
      <c r="C760" s="62"/>
      <c r="D760" s="62"/>
    </row>
    <row r="761">
      <c r="C761" s="62"/>
      <c r="D761" s="62"/>
    </row>
    <row r="762">
      <c r="C762" s="62"/>
      <c r="D762" s="62"/>
    </row>
    <row r="763">
      <c r="C763" s="62"/>
      <c r="D763" s="62"/>
    </row>
    <row r="764">
      <c r="C764" s="62"/>
      <c r="D764" s="62"/>
    </row>
    <row r="765">
      <c r="C765" s="62"/>
      <c r="D765" s="62"/>
    </row>
    <row r="766">
      <c r="C766" s="62"/>
      <c r="D766" s="62"/>
    </row>
    <row r="767">
      <c r="C767" s="62"/>
      <c r="D767" s="62"/>
    </row>
    <row r="768">
      <c r="C768" s="62"/>
      <c r="D768" s="62"/>
    </row>
    <row r="769">
      <c r="C769" s="62"/>
      <c r="D769" s="62"/>
    </row>
    <row r="770">
      <c r="C770" s="62"/>
      <c r="D770" s="62"/>
    </row>
    <row r="771">
      <c r="C771" s="62"/>
      <c r="D771" s="62"/>
    </row>
    <row r="772">
      <c r="C772" s="62"/>
      <c r="D772" s="62"/>
    </row>
    <row r="773">
      <c r="C773" s="62"/>
      <c r="D773" s="62"/>
    </row>
    <row r="774">
      <c r="C774" s="62"/>
      <c r="D774" s="62"/>
    </row>
    <row r="775">
      <c r="C775" s="62"/>
      <c r="D775" s="62"/>
    </row>
    <row r="776">
      <c r="C776" s="62"/>
      <c r="D776" s="62"/>
    </row>
    <row r="777">
      <c r="C777" s="62"/>
      <c r="D777" s="62"/>
    </row>
    <row r="778">
      <c r="C778" s="62"/>
      <c r="D778" s="62"/>
    </row>
    <row r="779">
      <c r="C779" s="62"/>
      <c r="D779" s="62"/>
    </row>
    <row r="780">
      <c r="C780" s="62"/>
      <c r="D780" s="62"/>
    </row>
    <row r="781">
      <c r="C781" s="62"/>
      <c r="D781" s="62"/>
    </row>
    <row r="782">
      <c r="C782" s="62"/>
      <c r="D782" s="62"/>
    </row>
    <row r="783">
      <c r="C783" s="62"/>
      <c r="D783" s="62"/>
    </row>
    <row r="784">
      <c r="C784" s="62"/>
      <c r="D784" s="62"/>
    </row>
    <row r="785">
      <c r="C785" s="62"/>
      <c r="D785" s="62"/>
    </row>
    <row r="786">
      <c r="C786" s="62"/>
      <c r="D786" s="62"/>
    </row>
    <row r="787">
      <c r="C787" s="62"/>
      <c r="D787" s="62"/>
    </row>
    <row r="788">
      <c r="C788" s="62"/>
      <c r="D788" s="62"/>
    </row>
    <row r="789">
      <c r="C789" s="62"/>
      <c r="D789" s="62"/>
    </row>
    <row r="790">
      <c r="C790" s="62"/>
      <c r="D790" s="62"/>
    </row>
    <row r="791">
      <c r="C791" s="62"/>
      <c r="D791" s="62"/>
    </row>
    <row r="792">
      <c r="C792" s="62"/>
      <c r="D792" s="62"/>
    </row>
    <row r="793">
      <c r="C793" s="62"/>
      <c r="D793" s="62"/>
    </row>
    <row r="794">
      <c r="C794" s="62"/>
      <c r="D794" s="62"/>
    </row>
    <row r="795">
      <c r="C795" s="62"/>
      <c r="D795" s="62"/>
    </row>
    <row r="796">
      <c r="C796" s="62"/>
      <c r="D796" s="62"/>
    </row>
    <row r="797">
      <c r="C797" s="62"/>
      <c r="D797" s="62"/>
    </row>
    <row r="798">
      <c r="C798" s="62"/>
      <c r="D798" s="62"/>
    </row>
    <row r="799">
      <c r="C799" s="62"/>
      <c r="D799" s="62"/>
    </row>
    <row r="800">
      <c r="C800" s="62"/>
      <c r="D800" s="62"/>
    </row>
    <row r="801">
      <c r="C801" s="62"/>
      <c r="D801" s="62"/>
    </row>
    <row r="802">
      <c r="C802" s="62"/>
      <c r="D802" s="62"/>
    </row>
    <row r="803">
      <c r="C803" s="62"/>
      <c r="D803" s="62"/>
    </row>
    <row r="804">
      <c r="C804" s="62"/>
      <c r="D804" s="62"/>
    </row>
    <row r="805">
      <c r="C805" s="62"/>
      <c r="D805" s="62"/>
    </row>
    <row r="806">
      <c r="C806" s="62"/>
      <c r="D806" s="62"/>
    </row>
    <row r="807">
      <c r="C807" s="62"/>
      <c r="D807" s="62"/>
    </row>
    <row r="808">
      <c r="C808" s="62"/>
      <c r="D808" s="62"/>
    </row>
    <row r="809">
      <c r="C809" s="62"/>
      <c r="D809" s="62"/>
    </row>
    <row r="810">
      <c r="C810" s="62"/>
      <c r="D810" s="62"/>
    </row>
    <row r="811">
      <c r="C811" s="62"/>
      <c r="D811" s="62"/>
    </row>
    <row r="812">
      <c r="C812" s="62"/>
      <c r="D812" s="62"/>
    </row>
    <row r="813">
      <c r="C813" s="62"/>
      <c r="D813" s="62"/>
    </row>
    <row r="814">
      <c r="C814" s="62"/>
      <c r="D814" s="62"/>
    </row>
    <row r="815">
      <c r="C815" s="62"/>
      <c r="D815" s="62"/>
    </row>
    <row r="816">
      <c r="C816" s="62"/>
      <c r="D816" s="62"/>
    </row>
    <row r="817">
      <c r="C817" s="62"/>
      <c r="D817" s="62"/>
    </row>
    <row r="818">
      <c r="C818" s="62"/>
      <c r="D818" s="62"/>
    </row>
    <row r="819">
      <c r="C819" s="62"/>
      <c r="D819" s="62"/>
    </row>
    <row r="820">
      <c r="C820" s="62"/>
      <c r="D820" s="62"/>
    </row>
    <row r="821">
      <c r="C821" s="62"/>
      <c r="D821" s="62"/>
    </row>
    <row r="822">
      <c r="C822" s="62"/>
      <c r="D822" s="62"/>
    </row>
    <row r="823">
      <c r="C823" s="62"/>
      <c r="D823" s="62"/>
    </row>
    <row r="824">
      <c r="C824" s="62"/>
      <c r="D824" s="62"/>
    </row>
    <row r="825">
      <c r="C825" s="62"/>
      <c r="D825" s="62"/>
    </row>
    <row r="826">
      <c r="C826" s="62"/>
      <c r="D826" s="62"/>
    </row>
    <row r="827">
      <c r="C827" s="62"/>
      <c r="D827" s="62"/>
    </row>
    <row r="828">
      <c r="C828" s="62"/>
      <c r="D828" s="62"/>
    </row>
    <row r="829">
      <c r="C829" s="62"/>
      <c r="D829" s="62"/>
    </row>
    <row r="830">
      <c r="C830" s="62"/>
      <c r="D830" s="62"/>
    </row>
    <row r="831">
      <c r="C831" s="62"/>
      <c r="D831" s="62"/>
    </row>
    <row r="832">
      <c r="C832" s="62"/>
      <c r="D832" s="62"/>
    </row>
    <row r="833">
      <c r="C833" s="62"/>
      <c r="D833" s="62"/>
    </row>
    <row r="834">
      <c r="C834" s="62"/>
      <c r="D834" s="62"/>
    </row>
    <row r="835">
      <c r="C835" s="62"/>
      <c r="D835" s="62"/>
    </row>
    <row r="836">
      <c r="C836" s="62"/>
      <c r="D836" s="62"/>
    </row>
    <row r="837">
      <c r="C837" s="62"/>
      <c r="D837" s="62"/>
    </row>
    <row r="838">
      <c r="C838" s="62"/>
      <c r="D838" s="62"/>
    </row>
    <row r="839">
      <c r="C839" s="62"/>
      <c r="D839" s="62"/>
    </row>
    <row r="840">
      <c r="C840" s="62"/>
      <c r="D840" s="62"/>
    </row>
    <row r="841">
      <c r="C841" s="62"/>
      <c r="D841" s="62"/>
    </row>
    <row r="842">
      <c r="C842" s="62"/>
      <c r="D842" s="62"/>
    </row>
    <row r="843">
      <c r="C843" s="62"/>
      <c r="D843" s="62"/>
    </row>
    <row r="844">
      <c r="C844" s="62"/>
      <c r="D844" s="62"/>
    </row>
    <row r="845">
      <c r="C845" s="62"/>
      <c r="D845" s="62"/>
    </row>
    <row r="846">
      <c r="C846" s="62"/>
      <c r="D846" s="62"/>
    </row>
    <row r="847">
      <c r="C847" s="62"/>
      <c r="D847" s="62"/>
    </row>
    <row r="848">
      <c r="C848" s="62"/>
      <c r="D848" s="62"/>
    </row>
    <row r="849">
      <c r="C849" s="62"/>
      <c r="D849" s="62"/>
    </row>
    <row r="850">
      <c r="C850" s="62"/>
      <c r="D850" s="62"/>
    </row>
    <row r="851">
      <c r="C851" s="62"/>
      <c r="D851" s="62"/>
    </row>
    <row r="852">
      <c r="C852" s="62"/>
      <c r="D852" s="62"/>
    </row>
    <row r="853">
      <c r="C853" s="62"/>
      <c r="D853" s="62"/>
    </row>
    <row r="854">
      <c r="C854" s="62"/>
      <c r="D854" s="62"/>
    </row>
    <row r="855">
      <c r="C855" s="62"/>
      <c r="D855" s="62"/>
    </row>
    <row r="856">
      <c r="C856" s="62"/>
      <c r="D856" s="62"/>
    </row>
    <row r="857">
      <c r="C857" s="62"/>
      <c r="D857" s="62"/>
    </row>
    <row r="858">
      <c r="C858" s="62"/>
      <c r="D858" s="62"/>
    </row>
    <row r="859">
      <c r="C859" s="62"/>
      <c r="D859" s="62"/>
    </row>
    <row r="860">
      <c r="C860" s="62"/>
      <c r="D860" s="62"/>
    </row>
    <row r="861">
      <c r="C861" s="62"/>
      <c r="D861" s="62"/>
    </row>
    <row r="862">
      <c r="C862" s="62"/>
      <c r="D862" s="62"/>
    </row>
    <row r="863">
      <c r="C863" s="62"/>
      <c r="D863" s="62"/>
    </row>
    <row r="864">
      <c r="C864" s="62"/>
      <c r="D864" s="62"/>
    </row>
    <row r="865">
      <c r="C865" s="62"/>
      <c r="D865" s="62"/>
    </row>
    <row r="866">
      <c r="C866" s="62"/>
      <c r="D866" s="62"/>
    </row>
    <row r="867">
      <c r="C867" s="62"/>
      <c r="D867" s="62"/>
    </row>
    <row r="868">
      <c r="C868" s="62"/>
      <c r="D868" s="62"/>
    </row>
    <row r="869">
      <c r="C869" s="62"/>
      <c r="D869" s="62"/>
    </row>
    <row r="870">
      <c r="C870" s="62"/>
      <c r="D870" s="62"/>
    </row>
    <row r="871">
      <c r="C871" s="62"/>
      <c r="D871" s="62"/>
    </row>
    <row r="872">
      <c r="C872" s="62"/>
      <c r="D872" s="62"/>
    </row>
    <row r="873">
      <c r="C873" s="62"/>
      <c r="D873" s="62"/>
    </row>
    <row r="874">
      <c r="C874" s="62"/>
      <c r="D874" s="62"/>
    </row>
    <row r="875">
      <c r="C875" s="62"/>
      <c r="D875" s="62"/>
    </row>
    <row r="876">
      <c r="C876" s="62"/>
      <c r="D876" s="62"/>
    </row>
    <row r="877">
      <c r="C877" s="62"/>
      <c r="D877" s="62"/>
    </row>
    <row r="878">
      <c r="C878" s="62"/>
      <c r="D878" s="62"/>
    </row>
    <row r="879">
      <c r="C879" s="62"/>
      <c r="D879" s="62"/>
    </row>
    <row r="880">
      <c r="C880" s="62"/>
      <c r="D880" s="62"/>
    </row>
    <row r="881">
      <c r="C881" s="62"/>
      <c r="D881" s="62"/>
    </row>
    <row r="882">
      <c r="C882" s="62"/>
      <c r="D882" s="62"/>
    </row>
    <row r="883">
      <c r="C883" s="62"/>
      <c r="D883" s="62"/>
    </row>
    <row r="884">
      <c r="C884" s="62"/>
      <c r="D884" s="62"/>
    </row>
    <row r="885">
      <c r="C885" s="62"/>
      <c r="D885" s="62"/>
    </row>
    <row r="886">
      <c r="C886" s="62"/>
      <c r="D886" s="62"/>
    </row>
    <row r="887">
      <c r="C887" s="62"/>
      <c r="D887" s="62"/>
    </row>
    <row r="888">
      <c r="C888" s="62"/>
      <c r="D888" s="62"/>
    </row>
    <row r="889">
      <c r="C889" s="62"/>
      <c r="D889" s="62"/>
    </row>
    <row r="890">
      <c r="C890" s="62"/>
      <c r="D890" s="62"/>
    </row>
    <row r="891">
      <c r="C891" s="62"/>
      <c r="D891" s="62"/>
    </row>
    <row r="892">
      <c r="C892" s="62"/>
      <c r="D892" s="62"/>
    </row>
    <row r="893">
      <c r="C893" s="62"/>
      <c r="D893" s="62"/>
    </row>
    <row r="894">
      <c r="C894" s="62"/>
      <c r="D894" s="62"/>
    </row>
    <row r="895">
      <c r="C895" s="62"/>
      <c r="D895" s="62"/>
    </row>
    <row r="896">
      <c r="C896" s="62"/>
      <c r="D896" s="62"/>
    </row>
    <row r="897">
      <c r="C897" s="62"/>
      <c r="D897" s="62"/>
    </row>
    <row r="898">
      <c r="C898" s="62"/>
      <c r="D898" s="62"/>
    </row>
    <row r="899">
      <c r="C899" s="62"/>
      <c r="D899" s="62"/>
    </row>
    <row r="900">
      <c r="C900" s="62"/>
      <c r="D900" s="62"/>
    </row>
    <row r="901">
      <c r="C901" s="62"/>
      <c r="D901" s="62"/>
    </row>
    <row r="902">
      <c r="C902" s="62"/>
      <c r="D902" s="62"/>
    </row>
    <row r="903">
      <c r="C903" s="62"/>
      <c r="D903" s="62"/>
    </row>
    <row r="904">
      <c r="C904" s="62"/>
      <c r="D904" s="62"/>
    </row>
    <row r="905">
      <c r="C905" s="62"/>
      <c r="D905" s="62"/>
    </row>
    <row r="906">
      <c r="C906" s="62"/>
      <c r="D906" s="62"/>
    </row>
    <row r="907">
      <c r="C907" s="62"/>
      <c r="D907" s="62"/>
    </row>
    <row r="908">
      <c r="C908" s="62"/>
      <c r="D908" s="62"/>
    </row>
    <row r="909">
      <c r="C909" s="62"/>
      <c r="D909" s="62"/>
    </row>
    <row r="910">
      <c r="C910" s="62"/>
      <c r="D910" s="62"/>
    </row>
    <row r="911">
      <c r="C911" s="62"/>
      <c r="D911" s="62"/>
    </row>
    <row r="912">
      <c r="C912" s="62"/>
      <c r="D912" s="62"/>
    </row>
    <row r="913">
      <c r="C913" s="62"/>
      <c r="D913" s="62"/>
    </row>
    <row r="914">
      <c r="C914" s="62"/>
      <c r="D914" s="62"/>
    </row>
    <row r="915">
      <c r="C915" s="62"/>
      <c r="D915" s="62"/>
    </row>
    <row r="916">
      <c r="C916" s="62"/>
      <c r="D916" s="62"/>
    </row>
    <row r="917">
      <c r="C917" s="62"/>
      <c r="D917" s="62"/>
    </row>
    <row r="918">
      <c r="C918" s="62"/>
      <c r="D918" s="62"/>
    </row>
    <row r="919">
      <c r="C919" s="62"/>
      <c r="D919" s="62"/>
    </row>
    <row r="920">
      <c r="C920" s="62"/>
      <c r="D920" s="62"/>
    </row>
    <row r="921">
      <c r="C921" s="62"/>
      <c r="D921" s="62"/>
    </row>
    <row r="922">
      <c r="C922" s="62"/>
      <c r="D922" s="62"/>
    </row>
    <row r="923">
      <c r="C923" s="62"/>
      <c r="D923" s="62"/>
    </row>
    <row r="924">
      <c r="C924" s="62"/>
      <c r="D924" s="62"/>
    </row>
    <row r="925">
      <c r="C925" s="62"/>
      <c r="D925" s="62"/>
    </row>
    <row r="926">
      <c r="C926" s="62"/>
      <c r="D926" s="62"/>
    </row>
    <row r="927">
      <c r="C927" s="62"/>
      <c r="D927" s="62"/>
    </row>
    <row r="928">
      <c r="C928" s="62"/>
      <c r="D928" s="62"/>
    </row>
    <row r="929">
      <c r="C929" s="62"/>
      <c r="D929" s="62"/>
    </row>
    <row r="930">
      <c r="C930" s="62"/>
      <c r="D930" s="62"/>
    </row>
    <row r="931">
      <c r="C931" s="62"/>
      <c r="D931" s="62"/>
    </row>
    <row r="932">
      <c r="C932" s="62"/>
      <c r="D932" s="62"/>
    </row>
    <row r="933">
      <c r="C933" s="62"/>
      <c r="D933" s="62"/>
    </row>
    <row r="934">
      <c r="C934" s="62"/>
      <c r="D934" s="62"/>
    </row>
    <row r="935">
      <c r="C935" s="62"/>
      <c r="D935" s="62"/>
    </row>
    <row r="936">
      <c r="C936" s="62"/>
      <c r="D936" s="62"/>
    </row>
    <row r="937">
      <c r="C937" s="62"/>
      <c r="D937" s="62"/>
    </row>
    <row r="938">
      <c r="C938" s="62"/>
      <c r="D938" s="62"/>
    </row>
    <row r="939">
      <c r="C939" s="62"/>
      <c r="D939" s="62"/>
    </row>
    <row r="940">
      <c r="C940" s="62"/>
      <c r="D940" s="62"/>
    </row>
    <row r="941">
      <c r="C941" s="62"/>
      <c r="D941" s="62"/>
    </row>
    <row r="942">
      <c r="C942" s="62"/>
      <c r="D942" s="62"/>
    </row>
    <row r="943">
      <c r="C943" s="62"/>
      <c r="D943" s="62"/>
    </row>
    <row r="944">
      <c r="C944" s="62"/>
      <c r="D944" s="62"/>
    </row>
    <row r="945">
      <c r="C945" s="62"/>
      <c r="D945" s="62"/>
    </row>
    <row r="946">
      <c r="C946" s="62"/>
      <c r="D946" s="62"/>
    </row>
    <row r="947">
      <c r="C947" s="62"/>
      <c r="D947" s="62"/>
    </row>
    <row r="948">
      <c r="C948" s="62"/>
      <c r="D948" s="62"/>
    </row>
    <row r="949">
      <c r="C949" s="62"/>
      <c r="D949" s="62"/>
    </row>
    <row r="950">
      <c r="C950" s="62"/>
      <c r="D950" s="62"/>
    </row>
    <row r="951">
      <c r="C951" s="62"/>
      <c r="D951" s="62"/>
    </row>
    <row r="952">
      <c r="C952" s="62"/>
      <c r="D952" s="62"/>
    </row>
    <row r="953">
      <c r="C953" s="62"/>
      <c r="D953" s="62"/>
    </row>
    <row r="954">
      <c r="C954" s="62"/>
      <c r="D954" s="62"/>
    </row>
    <row r="955">
      <c r="C955" s="62"/>
      <c r="D955" s="62"/>
    </row>
    <row r="956">
      <c r="C956" s="62"/>
      <c r="D956" s="62"/>
    </row>
    <row r="957">
      <c r="C957" s="62"/>
      <c r="D957" s="62"/>
    </row>
    <row r="958">
      <c r="C958" s="62"/>
      <c r="D958" s="62"/>
    </row>
    <row r="959">
      <c r="C959" s="62"/>
      <c r="D959" s="62"/>
    </row>
    <row r="960">
      <c r="C960" s="62"/>
      <c r="D960" s="62"/>
    </row>
    <row r="961">
      <c r="C961" s="62"/>
      <c r="D961" s="62"/>
    </row>
    <row r="962">
      <c r="C962" s="62"/>
      <c r="D962" s="62"/>
    </row>
    <row r="963">
      <c r="C963" s="62"/>
      <c r="D963" s="62"/>
    </row>
    <row r="964">
      <c r="C964" s="62"/>
      <c r="D964" s="62"/>
    </row>
    <row r="965">
      <c r="C965" s="62"/>
      <c r="D965" s="62"/>
    </row>
    <row r="966">
      <c r="C966" s="62"/>
      <c r="D966" s="62"/>
    </row>
    <row r="967">
      <c r="C967" s="62"/>
      <c r="D967" s="62"/>
    </row>
    <row r="968">
      <c r="C968" s="62"/>
      <c r="D968" s="62"/>
    </row>
    <row r="969">
      <c r="C969" s="62"/>
      <c r="D969" s="62"/>
    </row>
    <row r="970">
      <c r="C970" s="62"/>
      <c r="D970" s="62"/>
    </row>
    <row r="971">
      <c r="C971" s="62"/>
      <c r="D971" s="62"/>
    </row>
    <row r="972">
      <c r="C972" s="62"/>
      <c r="D972" s="62"/>
    </row>
    <row r="973">
      <c r="C973" s="62"/>
      <c r="D973" s="62"/>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 customWidth="1" min="3" max="3" width="30.71"/>
    <col customWidth="1" min="4" max="4" width="38.86"/>
  </cols>
  <sheetData>
    <row r="1">
      <c r="A1" s="51" t="s">
        <v>1208</v>
      </c>
      <c r="B1" s="5" t="s">
        <v>6</v>
      </c>
      <c r="C1" s="5" t="s">
        <v>7</v>
      </c>
      <c r="D1" s="5" t="s">
        <v>8</v>
      </c>
    </row>
    <row r="2">
      <c r="A2" s="68" t="str">
        <f>IFERROR(__xludf.DUMMYFUNCTION("JOIN(""-"",""app"",SPLIT(LOWER( C2),"" ""))"),"app-show-all-users")</f>
        <v>app-show-all-users</v>
      </c>
      <c r="B2" s="106"/>
      <c r="C2" s="106" t="s">
        <v>4325</v>
      </c>
      <c r="D2" s="106" t="s">
        <v>4326</v>
      </c>
    </row>
    <row r="3">
      <c r="A3" s="198" t="s">
        <v>469</v>
      </c>
      <c r="B3" s="106"/>
      <c r="C3" s="198" t="s">
        <v>4698</v>
      </c>
      <c r="D3" s="106"/>
    </row>
    <row r="4" ht="27.75" customHeight="1">
      <c r="A4" s="161" t="s">
        <v>178</v>
      </c>
      <c r="B4" s="106"/>
      <c r="C4" s="198" t="s">
        <v>179</v>
      </c>
      <c r="D4" s="106"/>
    </row>
    <row r="5" ht="27.75" customHeight="1">
      <c r="A5" s="161" t="s">
        <v>679</v>
      </c>
      <c r="B5" s="106"/>
      <c r="C5" s="161" t="s">
        <v>680</v>
      </c>
      <c r="D5" s="106"/>
    </row>
    <row r="6">
      <c r="A6" s="161" t="s">
        <v>4699</v>
      </c>
      <c r="B6" s="106"/>
      <c r="C6" s="161" t="s">
        <v>931</v>
      </c>
      <c r="D6" s="106"/>
    </row>
    <row r="7">
      <c r="B7" s="7"/>
      <c r="C7" s="62"/>
      <c r="D7" s="62"/>
    </row>
    <row r="8">
      <c r="B8" s="7"/>
      <c r="C8" s="62"/>
      <c r="D8" s="62"/>
    </row>
    <row r="9">
      <c r="B9" s="7"/>
      <c r="C9" s="62"/>
      <c r="D9" s="62"/>
    </row>
    <row r="10">
      <c r="B10" s="7"/>
      <c r="C10" s="62"/>
      <c r="D10" s="62"/>
    </row>
    <row r="11">
      <c r="B11" s="7"/>
      <c r="C11" s="62"/>
      <c r="D11" s="62"/>
    </row>
    <row r="12">
      <c r="B12" s="7"/>
      <c r="C12" s="62"/>
      <c r="D12" s="62"/>
    </row>
    <row r="13">
      <c r="B13" s="7"/>
      <c r="C13" s="62"/>
      <c r="D13" s="62"/>
    </row>
    <row r="14">
      <c r="B14" s="7"/>
      <c r="C14" s="62"/>
      <c r="D14" s="62"/>
    </row>
    <row r="15">
      <c r="B15" s="7"/>
      <c r="C15" s="62"/>
      <c r="D15" s="62"/>
    </row>
    <row r="16">
      <c r="B16" s="7"/>
      <c r="C16" s="62"/>
      <c r="D16" s="62"/>
    </row>
    <row r="17">
      <c r="B17" s="7"/>
      <c r="C17" s="62"/>
      <c r="D17" s="62"/>
    </row>
    <row r="18">
      <c r="B18" s="7"/>
      <c r="C18" s="62"/>
      <c r="D18" s="62"/>
    </row>
    <row r="19">
      <c r="B19" s="7"/>
      <c r="C19" s="62"/>
      <c r="D19" s="62"/>
    </row>
    <row r="20">
      <c r="B20" s="7"/>
      <c r="C20" s="62"/>
      <c r="D20" s="62"/>
    </row>
    <row r="21">
      <c r="B21" s="7"/>
      <c r="C21" s="62"/>
      <c r="D21" s="62"/>
    </row>
    <row r="22">
      <c r="B22" s="7"/>
      <c r="C22" s="62"/>
      <c r="D22" s="62"/>
    </row>
    <row r="23">
      <c r="B23" s="7"/>
      <c r="C23" s="62"/>
      <c r="D23" s="62"/>
    </row>
    <row r="24">
      <c r="B24" s="7"/>
      <c r="C24" s="62"/>
      <c r="D24" s="62"/>
    </row>
    <row r="25">
      <c r="B25" s="7"/>
      <c r="C25" s="62"/>
      <c r="D25" s="62"/>
    </row>
    <row r="26">
      <c r="B26" s="7"/>
      <c r="C26" s="62"/>
      <c r="D26" s="62"/>
    </row>
    <row r="27">
      <c r="B27" s="7"/>
      <c r="C27" s="62"/>
      <c r="D27" s="62"/>
    </row>
    <row r="28">
      <c r="B28" s="7"/>
      <c r="C28" s="62"/>
      <c r="D28" s="62"/>
    </row>
    <row r="29">
      <c r="B29" s="7"/>
      <c r="C29" s="62"/>
      <c r="D29" s="62"/>
    </row>
    <row r="30">
      <c r="B30" s="7"/>
      <c r="C30" s="62"/>
      <c r="D30" s="62"/>
    </row>
    <row r="31">
      <c r="B31" s="7"/>
      <c r="C31" s="62"/>
      <c r="D31" s="62"/>
    </row>
    <row r="32">
      <c r="B32" s="7"/>
      <c r="C32" s="62"/>
      <c r="D32" s="62"/>
    </row>
    <row r="33">
      <c r="B33" s="7"/>
      <c r="C33" s="62"/>
      <c r="D33" s="62"/>
    </row>
    <row r="34">
      <c r="B34" s="7"/>
      <c r="C34" s="62"/>
      <c r="D34" s="62"/>
    </row>
    <row r="35">
      <c r="B35" s="7"/>
      <c r="C35" s="62"/>
      <c r="D35" s="62"/>
    </row>
    <row r="36">
      <c r="B36" s="7"/>
      <c r="C36" s="62"/>
      <c r="D36" s="62"/>
    </row>
    <row r="37">
      <c r="B37" s="7"/>
      <c r="C37" s="62"/>
      <c r="D37" s="62"/>
    </row>
    <row r="38">
      <c r="B38" s="7"/>
      <c r="C38" s="62"/>
      <c r="D38" s="62"/>
    </row>
    <row r="39">
      <c r="B39" s="7"/>
      <c r="C39" s="62"/>
      <c r="D39" s="62"/>
    </row>
    <row r="40">
      <c r="B40" s="7"/>
      <c r="C40" s="62"/>
      <c r="D40" s="62"/>
    </row>
    <row r="41">
      <c r="B41" s="7"/>
      <c r="C41" s="62"/>
      <c r="D41" s="62"/>
    </row>
    <row r="42">
      <c r="B42" s="7"/>
      <c r="C42" s="62"/>
      <c r="D42" s="62"/>
    </row>
    <row r="43">
      <c r="B43" s="7"/>
      <c r="C43" s="62"/>
      <c r="D43" s="62"/>
    </row>
    <row r="44">
      <c r="B44" s="7"/>
      <c r="C44" s="62"/>
      <c r="D44" s="62"/>
    </row>
    <row r="45">
      <c r="B45" s="7"/>
      <c r="C45" s="62"/>
      <c r="D45" s="62"/>
    </row>
    <row r="46">
      <c r="B46" s="7"/>
      <c r="C46" s="62"/>
      <c r="D46" s="62"/>
    </row>
    <row r="47">
      <c r="B47" s="7"/>
      <c r="C47" s="62"/>
      <c r="D47" s="62"/>
    </row>
    <row r="48">
      <c r="B48" s="7"/>
      <c r="C48" s="62"/>
      <c r="D48" s="62"/>
    </row>
    <row r="49">
      <c r="B49" s="7"/>
      <c r="C49" s="62"/>
      <c r="D49" s="62"/>
    </row>
    <row r="50">
      <c r="B50" s="7"/>
      <c r="C50" s="62"/>
      <c r="D50" s="62"/>
    </row>
    <row r="51">
      <c r="B51" s="7"/>
      <c r="C51" s="62"/>
      <c r="D51" s="62"/>
    </row>
    <row r="52">
      <c r="B52" s="7"/>
      <c r="C52" s="62"/>
      <c r="D52" s="62"/>
    </row>
    <row r="53">
      <c r="B53" s="7"/>
      <c r="C53" s="62"/>
      <c r="D53" s="62"/>
    </row>
    <row r="54">
      <c r="B54" s="7"/>
      <c r="C54" s="62"/>
      <c r="D54" s="62"/>
    </row>
    <row r="55">
      <c r="B55" s="7"/>
      <c r="C55" s="62"/>
      <c r="D55" s="62"/>
    </row>
    <row r="56">
      <c r="B56" s="7"/>
      <c r="C56" s="62"/>
      <c r="D56" s="62"/>
    </row>
    <row r="57">
      <c r="B57" s="7"/>
      <c r="C57" s="62"/>
      <c r="D57" s="62"/>
    </row>
    <row r="58">
      <c r="B58" s="7"/>
      <c r="C58" s="62"/>
      <c r="D58" s="62"/>
    </row>
    <row r="59">
      <c r="B59" s="7"/>
      <c r="C59" s="62"/>
      <c r="D59" s="62"/>
    </row>
    <row r="60">
      <c r="B60" s="7"/>
      <c r="C60" s="62"/>
      <c r="D60" s="62"/>
    </row>
    <row r="61">
      <c r="B61" s="7"/>
      <c r="C61" s="62"/>
      <c r="D61" s="62"/>
    </row>
    <row r="62">
      <c r="B62" s="7"/>
      <c r="C62" s="62"/>
      <c r="D62" s="62"/>
    </row>
    <row r="63">
      <c r="B63" s="7"/>
      <c r="C63" s="62"/>
      <c r="D63" s="62"/>
    </row>
    <row r="64">
      <c r="B64" s="7"/>
      <c r="C64" s="62"/>
      <c r="D64" s="62"/>
    </row>
    <row r="65">
      <c r="B65" s="7"/>
      <c r="C65" s="62"/>
      <c r="D65" s="62"/>
    </row>
    <row r="66">
      <c r="B66" s="7"/>
      <c r="C66" s="62"/>
      <c r="D66" s="62"/>
    </row>
    <row r="67">
      <c r="B67" s="7"/>
      <c r="C67" s="62"/>
      <c r="D67" s="62"/>
    </row>
    <row r="68">
      <c r="B68" s="7"/>
      <c r="C68" s="62"/>
      <c r="D68" s="62"/>
    </row>
    <row r="69">
      <c r="B69" s="7"/>
      <c r="C69" s="62"/>
      <c r="D69" s="62"/>
    </row>
    <row r="70">
      <c r="B70" s="7"/>
      <c r="C70" s="62"/>
      <c r="D70" s="62"/>
    </row>
    <row r="71">
      <c r="B71" s="7"/>
      <c r="C71" s="62"/>
      <c r="D71" s="62"/>
    </row>
    <row r="72">
      <c r="B72" s="7"/>
      <c r="C72" s="62"/>
      <c r="D72" s="62"/>
    </row>
    <row r="73">
      <c r="B73" s="7"/>
      <c r="C73" s="62"/>
      <c r="D73" s="62"/>
    </row>
    <row r="74">
      <c r="B74" s="7"/>
      <c r="C74" s="62"/>
      <c r="D74" s="62"/>
    </row>
    <row r="75">
      <c r="B75" s="7"/>
      <c r="C75" s="62"/>
      <c r="D75" s="62"/>
    </row>
    <row r="76">
      <c r="B76" s="7"/>
      <c r="C76" s="62"/>
      <c r="D76" s="62"/>
    </row>
    <row r="77">
      <c r="B77" s="7"/>
      <c r="C77" s="62"/>
      <c r="D77" s="62"/>
    </row>
    <row r="78">
      <c r="B78" s="7"/>
      <c r="C78" s="62"/>
      <c r="D78" s="62"/>
    </row>
    <row r="79">
      <c r="B79" s="7"/>
      <c r="C79" s="62"/>
      <c r="D79" s="62"/>
    </row>
    <row r="80">
      <c r="B80" s="7"/>
      <c r="C80" s="62"/>
      <c r="D80" s="62"/>
    </row>
    <row r="81">
      <c r="B81" s="7"/>
      <c r="C81" s="62"/>
      <c r="D81" s="62"/>
    </row>
    <row r="82">
      <c r="B82" s="7"/>
      <c r="C82" s="62"/>
      <c r="D82" s="62"/>
    </row>
    <row r="83">
      <c r="B83" s="7"/>
      <c r="C83" s="62"/>
      <c r="D83" s="62"/>
    </row>
    <row r="84">
      <c r="B84" s="7"/>
      <c r="C84" s="62"/>
      <c r="D84" s="62"/>
    </row>
    <row r="85">
      <c r="B85" s="7"/>
      <c r="C85" s="62"/>
      <c r="D85" s="62"/>
    </row>
    <row r="86">
      <c r="B86" s="7"/>
      <c r="C86" s="62"/>
      <c r="D86" s="62"/>
    </row>
    <row r="87">
      <c r="B87" s="7"/>
      <c r="C87" s="62"/>
      <c r="D87" s="62"/>
    </row>
    <row r="88">
      <c r="B88" s="7"/>
      <c r="C88" s="62"/>
      <c r="D88" s="62"/>
    </row>
    <row r="89">
      <c r="B89" s="7"/>
      <c r="C89" s="62"/>
      <c r="D89" s="62"/>
    </row>
    <row r="90">
      <c r="B90" s="7"/>
      <c r="C90" s="62"/>
      <c r="D90" s="62"/>
    </row>
    <row r="91">
      <c r="B91" s="7"/>
      <c r="C91" s="62"/>
      <c r="D91" s="62"/>
    </row>
    <row r="92">
      <c r="B92" s="7"/>
      <c r="C92" s="62"/>
      <c r="D92" s="62"/>
    </row>
    <row r="93">
      <c r="B93" s="7"/>
      <c r="C93" s="62"/>
      <c r="D93" s="62"/>
    </row>
    <row r="94">
      <c r="B94" s="7"/>
      <c r="C94" s="62"/>
      <c r="D94" s="62"/>
    </row>
    <row r="95">
      <c r="B95" s="7"/>
      <c r="C95" s="62"/>
      <c r="D95" s="62"/>
    </row>
    <row r="96">
      <c r="B96" s="7"/>
      <c r="C96" s="62"/>
      <c r="D96" s="62"/>
    </row>
    <row r="97">
      <c r="B97" s="7"/>
      <c r="C97" s="62"/>
      <c r="D97" s="62"/>
    </row>
    <row r="98">
      <c r="B98" s="7"/>
      <c r="C98" s="62"/>
      <c r="D98" s="62"/>
    </row>
    <row r="99">
      <c r="B99" s="7"/>
      <c r="C99" s="62"/>
      <c r="D99" s="62"/>
    </row>
    <row r="100">
      <c r="B100" s="7"/>
      <c r="C100" s="62"/>
      <c r="D100" s="62"/>
    </row>
    <row r="101">
      <c r="B101" s="7"/>
      <c r="C101" s="62"/>
      <c r="D101" s="62"/>
    </row>
    <row r="102">
      <c r="B102" s="7"/>
      <c r="C102" s="62"/>
      <c r="D102" s="62"/>
    </row>
    <row r="103">
      <c r="B103" s="7"/>
      <c r="C103" s="62"/>
      <c r="D103" s="62"/>
    </row>
    <row r="104">
      <c r="B104" s="7"/>
      <c r="C104" s="62"/>
      <c r="D104" s="62"/>
    </row>
    <row r="105">
      <c r="B105" s="7"/>
      <c r="C105" s="62"/>
      <c r="D105" s="62"/>
    </row>
    <row r="106">
      <c r="B106" s="7"/>
      <c r="C106" s="62"/>
      <c r="D106" s="62"/>
    </row>
    <row r="107">
      <c r="B107" s="7"/>
      <c r="C107" s="62"/>
      <c r="D107" s="62"/>
    </row>
    <row r="108">
      <c r="B108" s="7"/>
      <c r="C108" s="62"/>
      <c r="D108" s="62"/>
    </row>
    <row r="109">
      <c r="B109" s="7"/>
      <c r="C109" s="62"/>
      <c r="D109" s="62"/>
    </row>
    <row r="110">
      <c r="B110" s="7"/>
      <c r="C110" s="62"/>
      <c r="D110" s="62"/>
    </row>
    <row r="111">
      <c r="B111" s="7"/>
      <c r="C111" s="62"/>
      <c r="D111" s="62"/>
    </row>
    <row r="112">
      <c r="B112" s="7"/>
      <c r="C112" s="62"/>
      <c r="D112" s="62"/>
    </row>
    <row r="113">
      <c r="B113" s="7"/>
      <c r="C113" s="62"/>
      <c r="D113" s="62"/>
    </row>
    <row r="114">
      <c r="B114" s="7"/>
      <c r="C114" s="62"/>
      <c r="D114" s="62"/>
    </row>
    <row r="115">
      <c r="B115" s="7"/>
      <c r="C115" s="62"/>
      <c r="D115" s="62"/>
    </row>
    <row r="116">
      <c r="B116" s="7"/>
      <c r="C116" s="62"/>
      <c r="D116" s="62"/>
    </row>
    <row r="117">
      <c r="B117" s="7"/>
      <c r="C117" s="62"/>
      <c r="D117" s="62"/>
    </row>
    <row r="118">
      <c r="B118" s="7"/>
      <c r="C118" s="62"/>
      <c r="D118" s="62"/>
    </row>
    <row r="119">
      <c r="B119" s="7"/>
      <c r="C119" s="62"/>
      <c r="D119" s="62"/>
    </row>
    <row r="120">
      <c r="B120" s="7"/>
      <c r="C120" s="62"/>
      <c r="D120" s="62"/>
    </row>
    <row r="121">
      <c r="B121" s="7"/>
      <c r="C121" s="62"/>
      <c r="D121" s="62"/>
    </row>
    <row r="122">
      <c r="B122" s="7"/>
      <c r="C122" s="62"/>
      <c r="D122" s="62"/>
    </row>
    <row r="123">
      <c r="B123" s="7"/>
      <c r="C123" s="62"/>
      <c r="D123" s="62"/>
    </row>
    <row r="124">
      <c r="B124" s="7"/>
      <c r="C124" s="62"/>
      <c r="D124" s="62"/>
    </row>
    <row r="125">
      <c r="B125" s="7"/>
      <c r="C125" s="62"/>
      <c r="D125" s="62"/>
    </row>
    <row r="126">
      <c r="B126" s="7"/>
      <c r="C126" s="62"/>
      <c r="D126" s="62"/>
    </row>
    <row r="127">
      <c r="B127" s="7"/>
      <c r="C127" s="62"/>
      <c r="D127" s="62"/>
    </row>
    <row r="128">
      <c r="B128" s="7"/>
      <c r="C128" s="62"/>
      <c r="D128" s="62"/>
    </row>
    <row r="129">
      <c r="B129" s="7"/>
      <c r="C129" s="62"/>
      <c r="D129" s="62"/>
    </row>
    <row r="130">
      <c r="B130" s="7"/>
      <c r="C130" s="62"/>
      <c r="D130" s="62"/>
    </row>
    <row r="131">
      <c r="B131" s="7"/>
      <c r="C131" s="62"/>
      <c r="D131" s="62"/>
    </row>
    <row r="132">
      <c r="B132" s="7"/>
      <c r="C132" s="62"/>
      <c r="D132" s="62"/>
    </row>
    <row r="133">
      <c r="B133" s="7"/>
      <c r="C133" s="62"/>
      <c r="D133" s="62"/>
    </row>
    <row r="134">
      <c r="B134" s="7"/>
      <c r="C134" s="62"/>
      <c r="D134" s="62"/>
    </row>
    <row r="135">
      <c r="B135" s="7"/>
      <c r="C135" s="62"/>
      <c r="D135" s="62"/>
    </row>
    <row r="136">
      <c r="B136" s="7"/>
      <c r="C136" s="62"/>
      <c r="D136" s="62"/>
    </row>
    <row r="137">
      <c r="B137" s="7"/>
      <c r="C137" s="62"/>
      <c r="D137" s="62"/>
    </row>
    <row r="138">
      <c r="B138" s="7"/>
      <c r="C138" s="62"/>
      <c r="D138" s="62"/>
    </row>
    <row r="139">
      <c r="B139" s="7"/>
      <c r="C139" s="62"/>
      <c r="D139" s="62"/>
    </row>
    <row r="140">
      <c r="B140" s="7"/>
      <c r="C140" s="62"/>
      <c r="D140" s="62"/>
    </row>
    <row r="141">
      <c r="B141" s="7"/>
      <c r="C141" s="62"/>
      <c r="D141" s="62"/>
    </row>
    <row r="142">
      <c r="B142" s="7"/>
      <c r="C142" s="62"/>
      <c r="D142" s="62"/>
    </row>
    <row r="143">
      <c r="B143" s="7"/>
      <c r="C143" s="62"/>
      <c r="D143" s="62"/>
    </row>
    <row r="144">
      <c r="B144" s="7"/>
      <c r="C144" s="62"/>
      <c r="D144" s="62"/>
    </row>
    <row r="145">
      <c r="B145" s="7"/>
      <c r="C145" s="62"/>
      <c r="D145" s="62"/>
    </row>
    <row r="146">
      <c r="B146" s="7"/>
      <c r="C146" s="62"/>
      <c r="D146" s="62"/>
    </row>
    <row r="147">
      <c r="B147" s="7"/>
      <c r="C147" s="62"/>
      <c r="D147" s="62"/>
    </row>
    <row r="148">
      <c r="B148" s="7"/>
      <c r="C148" s="62"/>
      <c r="D148" s="62"/>
    </row>
    <row r="149">
      <c r="B149" s="7"/>
      <c r="C149" s="62"/>
      <c r="D149" s="62"/>
    </row>
    <row r="150">
      <c r="B150" s="7"/>
      <c r="C150" s="62"/>
      <c r="D150" s="62"/>
    </row>
    <row r="151">
      <c r="B151" s="7"/>
      <c r="C151" s="62"/>
      <c r="D151" s="62"/>
    </row>
    <row r="152">
      <c r="B152" s="7"/>
      <c r="C152" s="62"/>
      <c r="D152" s="62"/>
    </row>
    <row r="153">
      <c r="B153" s="7"/>
      <c r="C153" s="62"/>
      <c r="D153" s="62"/>
    </row>
    <row r="154">
      <c r="B154" s="7"/>
      <c r="C154" s="62"/>
      <c r="D154" s="62"/>
    </row>
    <row r="155">
      <c r="B155" s="7"/>
      <c r="C155" s="62"/>
      <c r="D155" s="62"/>
    </row>
    <row r="156">
      <c r="B156" s="7"/>
      <c r="C156" s="62"/>
      <c r="D156" s="62"/>
    </row>
    <row r="157">
      <c r="B157" s="7"/>
      <c r="C157" s="62"/>
      <c r="D157" s="62"/>
    </row>
    <row r="158">
      <c r="B158" s="7"/>
      <c r="C158" s="62"/>
      <c r="D158" s="62"/>
    </row>
    <row r="159">
      <c r="B159" s="7"/>
      <c r="C159" s="62"/>
      <c r="D159" s="62"/>
    </row>
    <row r="160">
      <c r="B160" s="7"/>
      <c r="C160" s="62"/>
      <c r="D160" s="62"/>
    </row>
    <row r="161">
      <c r="B161" s="7"/>
      <c r="C161" s="62"/>
      <c r="D161" s="62"/>
    </row>
    <row r="162">
      <c r="B162" s="7"/>
      <c r="C162" s="62"/>
      <c r="D162" s="62"/>
    </row>
    <row r="163">
      <c r="B163" s="7"/>
      <c r="C163" s="62"/>
      <c r="D163" s="62"/>
    </row>
    <row r="164">
      <c r="B164" s="7"/>
      <c r="C164" s="62"/>
      <c r="D164" s="62"/>
    </row>
    <row r="165">
      <c r="B165" s="7"/>
      <c r="C165" s="62"/>
      <c r="D165" s="62"/>
    </row>
    <row r="166">
      <c r="B166" s="7"/>
      <c r="C166" s="62"/>
      <c r="D166" s="62"/>
    </row>
    <row r="167">
      <c r="B167" s="7"/>
      <c r="C167" s="62"/>
      <c r="D167" s="62"/>
    </row>
    <row r="168">
      <c r="B168" s="7"/>
      <c r="C168" s="62"/>
      <c r="D168" s="62"/>
    </row>
    <row r="169">
      <c r="B169" s="7"/>
      <c r="C169" s="62"/>
      <c r="D169" s="62"/>
    </row>
    <row r="170">
      <c r="B170" s="7"/>
      <c r="C170" s="62"/>
      <c r="D170" s="62"/>
    </row>
    <row r="171">
      <c r="B171" s="7"/>
      <c r="C171" s="62"/>
      <c r="D171" s="62"/>
    </row>
    <row r="172">
      <c r="B172" s="7"/>
      <c r="C172" s="62"/>
      <c r="D172" s="62"/>
    </row>
    <row r="173">
      <c r="B173" s="7"/>
      <c r="C173" s="62"/>
      <c r="D173" s="62"/>
    </row>
    <row r="174">
      <c r="B174" s="7"/>
      <c r="C174" s="62"/>
      <c r="D174" s="62"/>
    </row>
    <row r="175">
      <c r="B175" s="7"/>
      <c r="C175" s="62"/>
      <c r="D175" s="62"/>
    </row>
    <row r="176">
      <c r="B176" s="7"/>
      <c r="C176" s="62"/>
      <c r="D176" s="62"/>
    </row>
    <row r="177">
      <c r="B177" s="7"/>
      <c r="C177" s="62"/>
      <c r="D177" s="62"/>
    </row>
    <row r="178">
      <c r="B178" s="7"/>
      <c r="C178" s="62"/>
      <c r="D178" s="62"/>
    </row>
    <row r="179">
      <c r="B179" s="7"/>
      <c r="C179" s="62"/>
      <c r="D179" s="62"/>
    </row>
    <row r="180">
      <c r="B180" s="7"/>
      <c r="C180" s="62"/>
      <c r="D180" s="62"/>
    </row>
    <row r="181">
      <c r="B181" s="7"/>
      <c r="C181" s="62"/>
      <c r="D181" s="62"/>
    </row>
    <row r="182">
      <c r="B182" s="7"/>
      <c r="C182" s="62"/>
      <c r="D182" s="62"/>
    </row>
    <row r="183">
      <c r="B183" s="7"/>
      <c r="C183" s="62"/>
      <c r="D183" s="62"/>
    </row>
    <row r="184">
      <c r="B184" s="7"/>
      <c r="C184" s="62"/>
      <c r="D184" s="62"/>
    </row>
    <row r="185">
      <c r="B185" s="7"/>
      <c r="C185" s="62"/>
      <c r="D185" s="62"/>
    </row>
    <row r="186">
      <c r="B186" s="7"/>
      <c r="C186" s="62"/>
      <c r="D186" s="62"/>
    </row>
    <row r="187">
      <c r="B187" s="7"/>
      <c r="C187" s="62"/>
      <c r="D187" s="62"/>
    </row>
    <row r="188">
      <c r="B188" s="7"/>
      <c r="C188" s="62"/>
      <c r="D188" s="62"/>
    </row>
    <row r="189">
      <c r="B189" s="7"/>
      <c r="C189" s="62"/>
      <c r="D189" s="62"/>
    </row>
    <row r="190">
      <c r="B190" s="7"/>
      <c r="C190" s="62"/>
      <c r="D190" s="62"/>
    </row>
    <row r="191">
      <c r="B191" s="7"/>
      <c r="C191" s="62"/>
      <c r="D191" s="62"/>
    </row>
    <row r="192">
      <c r="B192" s="7"/>
      <c r="C192" s="62"/>
      <c r="D192" s="62"/>
    </row>
    <row r="193">
      <c r="B193" s="7"/>
      <c r="C193" s="62"/>
      <c r="D193" s="62"/>
    </row>
    <row r="194">
      <c r="B194" s="7"/>
      <c r="C194" s="62"/>
      <c r="D194" s="62"/>
    </row>
    <row r="195">
      <c r="B195" s="7"/>
      <c r="C195" s="62"/>
      <c r="D195" s="62"/>
    </row>
    <row r="196">
      <c r="B196" s="7"/>
      <c r="C196" s="62"/>
      <c r="D196" s="62"/>
    </row>
    <row r="197">
      <c r="B197" s="7"/>
      <c r="C197" s="62"/>
      <c r="D197" s="62"/>
    </row>
    <row r="198">
      <c r="B198" s="7"/>
      <c r="C198" s="62"/>
      <c r="D198" s="62"/>
    </row>
    <row r="199">
      <c r="B199" s="7"/>
      <c r="C199" s="62"/>
      <c r="D199" s="62"/>
    </row>
    <row r="200">
      <c r="B200" s="7"/>
      <c r="C200" s="62"/>
      <c r="D200" s="62"/>
    </row>
    <row r="201">
      <c r="B201" s="7"/>
      <c r="C201" s="62"/>
      <c r="D201" s="62"/>
    </row>
    <row r="202">
      <c r="B202" s="7"/>
      <c r="C202" s="62"/>
      <c r="D202" s="62"/>
    </row>
    <row r="203">
      <c r="B203" s="7"/>
      <c r="C203" s="62"/>
      <c r="D203" s="62"/>
    </row>
    <row r="204">
      <c r="B204" s="7"/>
      <c r="C204" s="62"/>
      <c r="D204" s="62"/>
    </row>
    <row r="205">
      <c r="B205" s="7"/>
      <c r="C205" s="62"/>
      <c r="D205" s="62"/>
    </row>
    <row r="206">
      <c r="B206" s="7"/>
      <c r="C206" s="62"/>
      <c r="D206" s="62"/>
    </row>
    <row r="207">
      <c r="B207" s="7"/>
      <c r="C207" s="62"/>
      <c r="D207" s="62"/>
    </row>
    <row r="208">
      <c r="B208" s="7"/>
      <c r="C208" s="62"/>
      <c r="D208" s="62"/>
    </row>
    <row r="209">
      <c r="B209" s="7"/>
      <c r="C209" s="62"/>
      <c r="D209" s="62"/>
    </row>
    <row r="210">
      <c r="B210" s="7"/>
      <c r="C210" s="62"/>
      <c r="D210" s="62"/>
    </row>
    <row r="211">
      <c r="B211" s="7"/>
      <c r="C211" s="62"/>
      <c r="D211" s="62"/>
    </row>
    <row r="212">
      <c r="B212" s="7"/>
      <c r="C212" s="62"/>
      <c r="D212" s="62"/>
    </row>
    <row r="213">
      <c r="B213" s="7"/>
      <c r="C213" s="62"/>
      <c r="D213" s="62"/>
    </row>
    <row r="214">
      <c r="B214" s="7"/>
      <c r="C214" s="62"/>
      <c r="D214" s="62"/>
    </row>
    <row r="215">
      <c r="B215" s="7"/>
      <c r="C215" s="62"/>
      <c r="D215" s="62"/>
    </row>
    <row r="216">
      <c r="B216" s="7"/>
      <c r="C216" s="62"/>
      <c r="D216" s="62"/>
    </row>
    <row r="217">
      <c r="B217" s="7"/>
      <c r="C217" s="62"/>
      <c r="D217" s="62"/>
    </row>
    <row r="218">
      <c r="B218" s="7"/>
      <c r="C218" s="62"/>
      <c r="D218" s="62"/>
    </row>
    <row r="219">
      <c r="B219" s="7"/>
      <c r="C219" s="62"/>
      <c r="D219" s="62"/>
    </row>
    <row r="220">
      <c r="B220" s="7"/>
      <c r="C220" s="62"/>
      <c r="D220" s="62"/>
    </row>
    <row r="221">
      <c r="B221" s="7"/>
      <c r="C221" s="62"/>
      <c r="D221" s="62"/>
    </row>
    <row r="222">
      <c r="B222" s="7"/>
      <c r="C222" s="62"/>
      <c r="D222" s="62"/>
    </row>
    <row r="223">
      <c r="B223" s="7"/>
      <c r="C223" s="62"/>
      <c r="D223" s="62"/>
    </row>
    <row r="224">
      <c r="B224" s="7"/>
      <c r="C224" s="62"/>
      <c r="D224" s="62"/>
    </row>
    <row r="225">
      <c r="B225" s="7"/>
      <c r="C225" s="62"/>
      <c r="D225" s="62"/>
    </row>
    <row r="226">
      <c r="B226" s="7"/>
      <c r="C226" s="62"/>
      <c r="D226" s="62"/>
    </row>
    <row r="227">
      <c r="B227" s="7"/>
      <c r="C227" s="62"/>
      <c r="D227" s="62"/>
    </row>
    <row r="228">
      <c r="B228" s="7"/>
      <c r="C228" s="62"/>
      <c r="D228" s="62"/>
    </row>
    <row r="229">
      <c r="B229" s="7"/>
      <c r="C229" s="62"/>
      <c r="D229" s="62"/>
    </row>
    <row r="230">
      <c r="B230" s="7"/>
      <c r="C230" s="62"/>
      <c r="D230" s="62"/>
    </row>
    <row r="231">
      <c r="B231" s="7"/>
      <c r="C231" s="62"/>
      <c r="D231" s="62"/>
    </row>
    <row r="232">
      <c r="B232" s="7"/>
      <c r="C232" s="62"/>
      <c r="D232" s="62"/>
    </row>
    <row r="233">
      <c r="B233" s="7"/>
      <c r="C233" s="62"/>
      <c r="D233" s="62"/>
    </row>
    <row r="234">
      <c r="B234" s="7"/>
      <c r="C234" s="62"/>
      <c r="D234" s="62"/>
    </row>
    <row r="235">
      <c r="B235" s="7"/>
      <c r="C235" s="62"/>
      <c r="D235" s="62"/>
    </row>
    <row r="236">
      <c r="B236" s="7"/>
      <c r="C236" s="62"/>
      <c r="D236" s="62"/>
    </row>
    <row r="237">
      <c r="B237" s="7"/>
      <c r="C237" s="62"/>
      <c r="D237" s="62"/>
    </row>
    <row r="238">
      <c r="B238" s="7"/>
      <c r="C238" s="62"/>
      <c r="D238" s="62"/>
    </row>
    <row r="239">
      <c r="B239" s="7"/>
      <c r="C239" s="62"/>
      <c r="D239" s="62"/>
    </row>
    <row r="240">
      <c r="B240" s="7"/>
      <c r="C240" s="62"/>
      <c r="D240" s="62"/>
    </row>
    <row r="241">
      <c r="B241" s="7"/>
      <c r="C241" s="62"/>
      <c r="D241" s="62"/>
    </row>
    <row r="242">
      <c r="B242" s="7"/>
      <c r="C242" s="62"/>
      <c r="D242" s="62"/>
    </row>
    <row r="243">
      <c r="B243" s="7"/>
      <c r="C243" s="62"/>
      <c r="D243" s="62"/>
    </row>
    <row r="244">
      <c r="B244" s="7"/>
      <c r="C244" s="62"/>
      <c r="D244" s="62"/>
    </row>
    <row r="245">
      <c r="B245" s="7"/>
      <c r="C245" s="62"/>
      <c r="D245" s="62"/>
    </row>
    <row r="246">
      <c r="B246" s="7"/>
      <c r="C246" s="62"/>
      <c r="D246" s="62"/>
    </row>
    <row r="247">
      <c r="B247" s="7"/>
      <c r="C247" s="62"/>
      <c r="D247" s="62"/>
    </row>
    <row r="248">
      <c r="B248" s="7"/>
      <c r="C248" s="62"/>
      <c r="D248" s="62"/>
    </row>
    <row r="249">
      <c r="B249" s="7"/>
      <c r="C249" s="62"/>
      <c r="D249" s="62"/>
    </row>
    <row r="250">
      <c r="B250" s="7"/>
      <c r="C250" s="62"/>
      <c r="D250" s="62"/>
    </row>
    <row r="251">
      <c r="B251" s="7"/>
      <c r="C251" s="62"/>
      <c r="D251" s="62"/>
    </row>
    <row r="252">
      <c r="B252" s="7"/>
      <c r="C252" s="62"/>
      <c r="D252" s="62"/>
    </row>
    <row r="253">
      <c r="B253" s="7"/>
      <c r="C253" s="62"/>
      <c r="D253" s="62"/>
    </row>
    <row r="254">
      <c r="B254" s="7"/>
      <c r="C254" s="62"/>
      <c r="D254" s="62"/>
    </row>
    <row r="255">
      <c r="B255" s="7"/>
      <c r="C255" s="62"/>
      <c r="D255" s="62"/>
    </row>
    <row r="256">
      <c r="B256" s="7"/>
      <c r="C256" s="62"/>
      <c r="D256" s="62"/>
    </row>
    <row r="257">
      <c r="B257" s="7"/>
      <c r="C257" s="62"/>
      <c r="D257" s="62"/>
    </row>
    <row r="258">
      <c r="B258" s="7"/>
      <c r="C258" s="62"/>
      <c r="D258" s="62"/>
    </row>
    <row r="259">
      <c r="B259" s="7"/>
      <c r="C259" s="62"/>
      <c r="D259" s="62"/>
    </row>
    <row r="260">
      <c r="B260" s="7"/>
      <c r="C260" s="62"/>
      <c r="D260" s="62"/>
    </row>
    <row r="261">
      <c r="B261" s="7"/>
      <c r="C261" s="62"/>
      <c r="D261" s="62"/>
    </row>
    <row r="262">
      <c r="B262" s="7"/>
      <c r="C262" s="62"/>
      <c r="D262" s="62"/>
    </row>
    <row r="263">
      <c r="B263" s="7"/>
      <c r="C263" s="62"/>
      <c r="D263" s="62"/>
    </row>
    <row r="264">
      <c r="B264" s="7"/>
      <c r="C264" s="62"/>
      <c r="D264" s="62"/>
    </row>
    <row r="265">
      <c r="B265" s="7"/>
      <c r="C265" s="62"/>
      <c r="D265" s="62"/>
    </row>
    <row r="266">
      <c r="B266" s="7"/>
      <c r="C266" s="62"/>
      <c r="D266" s="62"/>
    </row>
    <row r="267">
      <c r="B267" s="7"/>
      <c r="C267" s="62"/>
      <c r="D267" s="62"/>
    </row>
    <row r="268">
      <c r="B268" s="7"/>
      <c r="C268" s="62"/>
      <c r="D268" s="62"/>
    </row>
    <row r="269">
      <c r="B269" s="7"/>
      <c r="C269" s="62"/>
      <c r="D269" s="62"/>
    </row>
    <row r="270">
      <c r="B270" s="7"/>
      <c r="C270" s="62"/>
      <c r="D270" s="62"/>
    </row>
    <row r="271">
      <c r="B271" s="7"/>
      <c r="C271" s="62"/>
      <c r="D271" s="62"/>
    </row>
    <row r="272">
      <c r="B272" s="7"/>
      <c r="C272" s="62"/>
      <c r="D272" s="62"/>
    </row>
    <row r="273">
      <c r="B273" s="7"/>
      <c r="C273" s="62"/>
      <c r="D273" s="62"/>
    </row>
    <row r="274">
      <c r="B274" s="7"/>
      <c r="C274" s="62"/>
      <c r="D274" s="62"/>
    </row>
    <row r="275">
      <c r="B275" s="7"/>
      <c r="C275" s="62"/>
      <c r="D275" s="62"/>
    </row>
    <row r="276">
      <c r="B276" s="7"/>
      <c r="C276" s="62"/>
      <c r="D276" s="62"/>
    </row>
    <row r="277">
      <c r="B277" s="7"/>
      <c r="C277" s="62"/>
      <c r="D277" s="62"/>
    </row>
    <row r="278">
      <c r="B278" s="7"/>
      <c r="C278" s="62"/>
      <c r="D278" s="62"/>
    </row>
    <row r="279">
      <c r="B279" s="7"/>
      <c r="C279" s="62"/>
      <c r="D279" s="62"/>
    </row>
    <row r="280">
      <c r="B280" s="7"/>
      <c r="C280" s="62"/>
      <c r="D280" s="62"/>
    </row>
    <row r="281">
      <c r="B281" s="7"/>
      <c r="C281" s="62"/>
      <c r="D281" s="62"/>
    </row>
    <row r="282">
      <c r="B282" s="7"/>
      <c r="C282" s="62"/>
      <c r="D282" s="62"/>
    </row>
    <row r="283">
      <c r="B283" s="7"/>
      <c r="C283" s="62"/>
      <c r="D283" s="62"/>
    </row>
    <row r="284">
      <c r="B284" s="7"/>
      <c r="C284" s="62"/>
      <c r="D284" s="62"/>
    </row>
    <row r="285">
      <c r="B285" s="7"/>
      <c r="C285" s="62"/>
      <c r="D285" s="62"/>
    </row>
    <row r="286">
      <c r="B286" s="7"/>
      <c r="C286" s="62"/>
      <c r="D286" s="62"/>
    </row>
    <row r="287">
      <c r="B287" s="7"/>
      <c r="C287" s="62"/>
      <c r="D287" s="62"/>
    </row>
    <row r="288">
      <c r="B288" s="7"/>
      <c r="C288" s="62"/>
      <c r="D288" s="62"/>
    </row>
    <row r="289">
      <c r="B289" s="7"/>
      <c r="C289" s="62"/>
      <c r="D289" s="62"/>
    </row>
    <row r="290">
      <c r="B290" s="7"/>
      <c r="C290" s="62"/>
      <c r="D290" s="62"/>
    </row>
    <row r="291">
      <c r="B291" s="7"/>
      <c r="C291" s="62"/>
      <c r="D291" s="62"/>
    </row>
    <row r="292">
      <c r="B292" s="7"/>
      <c r="C292" s="62"/>
      <c r="D292" s="62"/>
    </row>
    <row r="293">
      <c r="B293" s="7"/>
      <c r="C293" s="62"/>
      <c r="D293" s="62"/>
    </row>
    <row r="294">
      <c r="B294" s="7"/>
      <c r="C294" s="62"/>
      <c r="D294" s="62"/>
    </row>
    <row r="295">
      <c r="B295" s="7"/>
      <c r="C295" s="62"/>
      <c r="D295" s="62"/>
    </row>
    <row r="296">
      <c r="B296" s="7"/>
      <c r="C296" s="62"/>
      <c r="D296" s="62"/>
    </row>
    <row r="297">
      <c r="B297" s="7"/>
      <c r="C297" s="62"/>
      <c r="D297" s="62"/>
    </row>
    <row r="298">
      <c r="B298" s="7"/>
      <c r="C298" s="62"/>
      <c r="D298" s="62"/>
    </row>
    <row r="299">
      <c r="B299" s="7"/>
      <c r="C299" s="62"/>
      <c r="D299" s="62"/>
    </row>
    <row r="300">
      <c r="B300" s="7"/>
      <c r="C300" s="62"/>
      <c r="D300" s="62"/>
    </row>
    <row r="301">
      <c r="B301" s="7"/>
      <c r="C301" s="62"/>
      <c r="D301" s="62"/>
    </row>
    <row r="302">
      <c r="B302" s="7"/>
      <c r="C302" s="62"/>
      <c r="D302" s="62"/>
    </row>
    <row r="303">
      <c r="B303" s="7"/>
      <c r="C303" s="62"/>
      <c r="D303" s="62"/>
    </row>
    <row r="304">
      <c r="B304" s="7"/>
      <c r="C304" s="62"/>
      <c r="D304" s="62"/>
    </row>
    <row r="305">
      <c r="B305" s="7"/>
      <c r="C305" s="62"/>
      <c r="D305" s="62"/>
    </row>
    <row r="306">
      <c r="B306" s="7"/>
      <c r="C306" s="62"/>
      <c r="D306" s="62"/>
    </row>
    <row r="307">
      <c r="B307" s="7"/>
      <c r="C307" s="62"/>
      <c r="D307" s="62"/>
    </row>
    <row r="308">
      <c r="B308" s="7"/>
      <c r="C308" s="62"/>
      <c r="D308" s="62"/>
    </row>
    <row r="309">
      <c r="B309" s="7"/>
      <c r="C309" s="62"/>
      <c r="D309" s="62"/>
    </row>
    <row r="310">
      <c r="B310" s="7"/>
      <c r="C310" s="62"/>
      <c r="D310" s="62"/>
    </row>
    <row r="311">
      <c r="B311" s="7"/>
      <c r="C311" s="62"/>
      <c r="D311" s="62"/>
    </row>
    <row r="312">
      <c r="B312" s="7"/>
      <c r="C312" s="62"/>
      <c r="D312" s="62"/>
    </row>
    <row r="313">
      <c r="B313" s="7"/>
      <c r="C313" s="62"/>
      <c r="D313" s="62"/>
    </row>
    <row r="314">
      <c r="B314" s="7"/>
      <c r="C314" s="62"/>
      <c r="D314" s="62"/>
    </row>
    <row r="315">
      <c r="B315" s="7"/>
      <c r="C315" s="62"/>
      <c r="D315" s="62"/>
    </row>
    <row r="316">
      <c r="B316" s="7"/>
      <c r="C316" s="62"/>
      <c r="D316" s="62"/>
    </row>
    <row r="317">
      <c r="B317" s="7"/>
      <c r="C317" s="62"/>
      <c r="D317" s="62"/>
    </row>
    <row r="318">
      <c r="B318" s="7"/>
      <c r="C318" s="62"/>
      <c r="D318" s="62"/>
    </row>
    <row r="319">
      <c r="B319" s="7"/>
      <c r="C319" s="62"/>
      <c r="D319" s="62"/>
    </row>
    <row r="320">
      <c r="B320" s="7"/>
      <c r="C320" s="62"/>
      <c r="D320" s="62"/>
    </row>
    <row r="321">
      <c r="B321" s="7"/>
      <c r="C321" s="62"/>
      <c r="D321" s="62"/>
    </row>
    <row r="322">
      <c r="B322" s="7"/>
      <c r="C322" s="62"/>
      <c r="D322" s="62"/>
    </row>
    <row r="323">
      <c r="B323" s="7"/>
      <c r="C323" s="62"/>
      <c r="D323" s="62"/>
    </row>
    <row r="324">
      <c r="B324" s="7"/>
      <c r="C324" s="62"/>
      <c r="D324" s="62"/>
    </row>
    <row r="325">
      <c r="B325" s="7"/>
      <c r="C325" s="62"/>
      <c r="D325" s="62"/>
    </row>
    <row r="326">
      <c r="B326" s="7"/>
      <c r="C326" s="62"/>
      <c r="D326" s="62"/>
    </row>
    <row r="327">
      <c r="B327" s="7"/>
      <c r="C327" s="62"/>
      <c r="D327" s="62"/>
    </row>
    <row r="328">
      <c r="B328" s="7"/>
      <c r="C328" s="62"/>
      <c r="D328" s="62"/>
    </row>
    <row r="329">
      <c r="B329" s="7"/>
      <c r="C329" s="62"/>
      <c r="D329" s="62"/>
    </row>
    <row r="330">
      <c r="B330" s="7"/>
      <c r="C330" s="62"/>
      <c r="D330" s="62"/>
    </row>
    <row r="331">
      <c r="B331" s="7"/>
      <c r="C331" s="62"/>
      <c r="D331" s="62"/>
    </row>
    <row r="332">
      <c r="B332" s="7"/>
      <c r="C332" s="62"/>
      <c r="D332" s="62"/>
    </row>
    <row r="333">
      <c r="B333" s="7"/>
      <c r="C333" s="62"/>
      <c r="D333" s="62"/>
    </row>
    <row r="334">
      <c r="B334" s="7"/>
      <c r="C334" s="62"/>
      <c r="D334" s="62"/>
    </row>
    <row r="335">
      <c r="B335" s="7"/>
      <c r="C335" s="62"/>
      <c r="D335" s="62"/>
    </row>
    <row r="336">
      <c r="B336" s="7"/>
      <c r="C336" s="62"/>
      <c r="D336" s="62"/>
    </row>
    <row r="337">
      <c r="B337" s="7"/>
      <c r="C337" s="62"/>
      <c r="D337" s="62"/>
    </row>
    <row r="338">
      <c r="B338" s="7"/>
      <c r="C338" s="62"/>
      <c r="D338" s="62"/>
    </row>
    <row r="339">
      <c r="B339" s="7"/>
      <c r="C339" s="62"/>
      <c r="D339" s="62"/>
    </row>
    <row r="340">
      <c r="B340" s="7"/>
      <c r="C340" s="62"/>
      <c r="D340" s="62"/>
    </row>
    <row r="341">
      <c r="B341" s="7"/>
      <c r="C341" s="62"/>
      <c r="D341" s="62"/>
    </row>
    <row r="342">
      <c r="B342" s="7"/>
      <c r="C342" s="62"/>
      <c r="D342" s="62"/>
    </row>
    <row r="343">
      <c r="B343" s="7"/>
      <c r="C343" s="62"/>
      <c r="D343" s="62"/>
    </row>
    <row r="344">
      <c r="B344" s="7"/>
      <c r="C344" s="62"/>
      <c r="D344" s="62"/>
    </row>
    <row r="345">
      <c r="B345" s="7"/>
      <c r="C345" s="62"/>
      <c r="D345" s="62"/>
    </row>
    <row r="346">
      <c r="B346" s="7"/>
      <c r="C346" s="62"/>
      <c r="D346" s="62"/>
    </row>
    <row r="347">
      <c r="B347" s="7"/>
      <c r="C347" s="62"/>
      <c r="D347" s="62"/>
    </row>
    <row r="348">
      <c r="B348" s="7"/>
      <c r="C348" s="62"/>
      <c r="D348" s="62"/>
    </row>
    <row r="349">
      <c r="B349" s="7"/>
      <c r="C349" s="62"/>
      <c r="D349" s="62"/>
    </row>
    <row r="350">
      <c r="B350" s="7"/>
      <c r="C350" s="62"/>
      <c r="D350" s="62"/>
    </row>
    <row r="351">
      <c r="B351" s="7"/>
      <c r="C351" s="62"/>
      <c r="D351" s="62"/>
    </row>
    <row r="352">
      <c r="B352" s="7"/>
      <c r="C352" s="62"/>
      <c r="D352" s="62"/>
    </row>
    <row r="353">
      <c r="B353" s="7"/>
      <c r="C353" s="62"/>
      <c r="D353" s="62"/>
    </row>
    <row r="354">
      <c r="B354" s="7"/>
      <c r="C354" s="62"/>
      <c r="D354" s="62"/>
    </row>
    <row r="355">
      <c r="B355" s="7"/>
      <c r="C355" s="62"/>
      <c r="D355" s="62"/>
    </row>
    <row r="356">
      <c r="B356" s="7"/>
      <c r="C356" s="62"/>
      <c r="D356" s="62"/>
    </row>
    <row r="357">
      <c r="B357" s="7"/>
      <c r="C357" s="62"/>
      <c r="D357" s="62"/>
    </row>
    <row r="358">
      <c r="B358" s="7"/>
      <c r="C358" s="62"/>
      <c r="D358" s="62"/>
    </row>
    <row r="359">
      <c r="B359" s="7"/>
      <c r="C359" s="62"/>
      <c r="D359" s="62"/>
    </row>
    <row r="360">
      <c r="B360" s="7"/>
      <c r="C360" s="62"/>
      <c r="D360" s="62"/>
    </row>
    <row r="361">
      <c r="B361" s="7"/>
      <c r="C361" s="62"/>
      <c r="D361" s="62"/>
    </row>
    <row r="362">
      <c r="B362" s="7"/>
      <c r="C362" s="62"/>
      <c r="D362" s="62"/>
    </row>
    <row r="363">
      <c r="B363" s="7"/>
      <c r="C363" s="62"/>
      <c r="D363" s="62"/>
    </row>
    <row r="364">
      <c r="B364" s="7"/>
      <c r="C364" s="62"/>
      <c r="D364" s="62"/>
    </row>
    <row r="365">
      <c r="B365" s="7"/>
      <c r="C365" s="62"/>
      <c r="D365" s="62"/>
    </row>
    <row r="366">
      <c r="B366" s="7"/>
      <c r="C366" s="62"/>
      <c r="D366" s="62"/>
    </row>
    <row r="367">
      <c r="B367" s="7"/>
      <c r="C367" s="62"/>
      <c r="D367" s="62"/>
    </row>
    <row r="368">
      <c r="B368" s="7"/>
      <c r="C368" s="62"/>
      <c r="D368" s="62"/>
    </row>
    <row r="369">
      <c r="B369" s="7"/>
      <c r="C369" s="62"/>
      <c r="D369" s="62"/>
    </row>
    <row r="370">
      <c r="B370" s="7"/>
      <c r="C370" s="62"/>
      <c r="D370" s="62"/>
    </row>
    <row r="371">
      <c r="B371" s="7"/>
      <c r="C371" s="62"/>
      <c r="D371" s="62"/>
    </row>
    <row r="372">
      <c r="B372" s="7"/>
      <c r="C372" s="62"/>
      <c r="D372" s="62"/>
    </row>
    <row r="373">
      <c r="B373" s="7"/>
      <c r="C373" s="62"/>
      <c r="D373" s="62"/>
    </row>
    <row r="374">
      <c r="B374" s="7"/>
      <c r="C374" s="62"/>
      <c r="D374" s="62"/>
    </row>
    <row r="375">
      <c r="B375" s="7"/>
      <c r="C375" s="62"/>
      <c r="D375" s="62"/>
    </row>
    <row r="376">
      <c r="B376" s="7"/>
      <c r="C376" s="62"/>
      <c r="D376" s="62"/>
    </row>
    <row r="377">
      <c r="B377" s="7"/>
      <c r="C377" s="62"/>
      <c r="D377" s="62"/>
    </row>
    <row r="378">
      <c r="B378" s="7"/>
      <c r="C378" s="62"/>
      <c r="D378" s="62"/>
    </row>
    <row r="379">
      <c r="B379" s="7"/>
      <c r="C379" s="62"/>
      <c r="D379" s="62"/>
    </row>
    <row r="380">
      <c r="B380" s="7"/>
      <c r="C380" s="62"/>
      <c r="D380" s="62"/>
    </row>
    <row r="381">
      <c r="B381" s="7"/>
      <c r="C381" s="62"/>
      <c r="D381" s="62"/>
    </row>
    <row r="382">
      <c r="B382" s="7"/>
      <c r="C382" s="62"/>
      <c r="D382" s="62"/>
    </row>
    <row r="383">
      <c r="B383" s="7"/>
      <c r="C383" s="62"/>
      <c r="D383" s="62"/>
    </row>
    <row r="384">
      <c r="B384" s="7"/>
      <c r="C384" s="62"/>
      <c r="D384" s="62"/>
    </row>
    <row r="385">
      <c r="B385" s="7"/>
      <c r="C385" s="62"/>
      <c r="D385" s="62"/>
    </row>
    <row r="386">
      <c r="B386" s="7"/>
      <c r="C386" s="62"/>
      <c r="D386" s="62"/>
    </row>
    <row r="387">
      <c r="B387" s="7"/>
      <c r="C387" s="62"/>
      <c r="D387" s="62"/>
    </row>
    <row r="388">
      <c r="B388" s="7"/>
      <c r="C388" s="62"/>
      <c r="D388" s="62"/>
    </row>
    <row r="389">
      <c r="B389" s="7"/>
      <c r="C389" s="62"/>
      <c r="D389" s="62"/>
    </row>
    <row r="390">
      <c r="B390" s="7"/>
      <c r="C390" s="62"/>
      <c r="D390" s="62"/>
    </row>
    <row r="391">
      <c r="B391" s="7"/>
      <c r="C391" s="62"/>
      <c r="D391" s="62"/>
    </row>
    <row r="392">
      <c r="B392" s="7"/>
      <c r="C392" s="62"/>
      <c r="D392" s="62"/>
    </row>
    <row r="393">
      <c r="B393" s="7"/>
      <c r="C393" s="62"/>
      <c r="D393" s="62"/>
    </row>
    <row r="394">
      <c r="B394" s="7"/>
      <c r="C394" s="62"/>
      <c r="D394" s="62"/>
    </row>
    <row r="395">
      <c r="B395" s="7"/>
      <c r="C395" s="62"/>
      <c r="D395" s="62"/>
    </row>
    <row r="396">
      <c r="B396" s="7"/>
      <c r="C396" s="62"/>
      <c r="D396" s="62"/>
    </row>
    <row r="397">
      <c r="B397" s="7"/>
      <c r="C397" s="62"/>
      <c r="D397" s="62"/>
    </row>
    <row r="398">
      <c r="B398" s="7"/>
      <c r="C398" s="62"/>
      <c r="D398" s="62"/>
    </row>
    <row r="399">
      <c r="B399" s="7"/>
      <c r="C399" s="62"/>
      <c r="D399" s="62"/>
    </row>
    <row r="400">
      <c r="B400" s="7"/>
      <c r="C400" s="62"/>
      <c r="D400" s="62"/>
    </row>
    <row r="401">
      <c r="B401" s="7"/>
      <c r="C401" s="62"/>
      <c r="D401" s="62"/>
    </row>
    <row r="402">
      <c r="B402" s="7"/>
      <c r="C402" s="62"/>
      <c r="D402" s="62"/>
    </row>
    <row r="403">
      <c r="B403" s="7"/>
      <c r="C403" s="62"/>
      <c r="D403" s="62"/>
    </row>
    <row r="404">
      <c r="B404" s="7"/>
      <c r="C404" s="62"/>
      <c r="D404" s="62"/>
    </row>
    <row r="405">
      <c r="B405" s="7"/>
      <c r="C405" s="62"/>
      <c r="D405" s="62"/>
    </row>
    <row r="406">
      <c r="B406" s="7"/>
      <c r="C406" s="62"/>
      <c r="D406" s="62"/>
    </row>
    <row r="407">
      <c r="B407" s="7"/>
      <c r="C407" s="62"/>
      <c r="D407" s="62"/>
    </row>
    <row r="408">
      <c r="B408" s="7"/>
      <c r="C408" s="62"/>
      <c r="D408" s="62"/>
    </row>
    <row r="409">
      <c r="B409" s="7"/>
      <c r="C409" s="62"/>
      <c r="D409" s="62"/>
    </row>
    <row r="410">
      <c r="B410" s="7"/>
      <c r="C410" s="62"/>
      <c r="D410" s="62"/>
    </row>
    <row r="411">
      <c r="B411" s="7"/>
      <c r="C411" s="62"/>
      <c r="D411" s="62"/>
    </row>
    <row r="412">
      <c r="B412" s="7"/>
      <c r="C412" s="62"/>
      <c r="D412" s="62"/>
    </row>
    <row r="413">
      <c r="B413" s="7"/>
      <c r="C413" s="62"/>
      <c r="D413" s="62"/>
    </row>
    <row r="414">
      <c r="B414" s="7"/>
      <c r="C414" s="62"/>
      <c r="D414" s="62"/>
    </row>
    <row r="415">
      <c r="B415" s="7"/>
      <c r="C415" s="62"/>
      <c r="D415" s="62"/>
    </row>
    <row r="416">
      <c r="B416" s="7"/>
      <c r="C416" s="62"/>
      <c r="D416" s="62"/>
    </row>
    <row r="417">
      <c r="B417" s="7"/>
      <c r="C417" s="62"/>
      <c r="D417" s="62"/>
    </row>
    <row r="418">
      <c r="B418" s="7"/>
      <c r="C418" s="62"/>
      <c r="D418" s="62"/>
    </row>
    <row r="419">
      <c r="B419" s="7"/>
      <c r="C419" s="62"/>
      <c r="D419" s="62"/>
    </row>
    <row r="420">
      <c r="B420" s="7"/>
      <c r="C420" s="62"/>
      <c r="D420" s="62"/>
    </row>
    <row r="421">
      <c r="B421" s="7"/>
      <c r="C421" s="62"/>
      <c r="D421" s="62"/>
    </row>
    <row r="422">
      <c r="B422" s="7"/>
      <c r="C422" s="62"/>
      <c r="D422" s="62"/>
    </row>
    <row r="423">
      <c r="B423" s="7"/>
      <c r="C423" s="62"/>
      <c r="D423" s="62"/>
    </row>
    <row r="424">
      <c r="B424" s="7"/>
      <c r="C424" s="62"/>
      <c r="D424" s="62"/>
    </row>
    <row r="425">
      <c r="B425" s="7"/>
      <c r="C425" s="62"/>
      <c r="D425" s="62"/>
    </row>
    <row r="426">
      <c r="B426" s="7"/>
      <c r="C426" s="62"/>
      <c r="D426" s="62"/>
    </row>
    <row r="427">
      <c r="B427" s="7"/>
      <c r="C427" s="62"/>
      <c r="D427" s="62"/>
    </row>
    <row r="428">
      <c r="B428" s="7"/>
      <c r="C428" s="62"/>
      <c r="D428" s="62"/>
    </row>
    <row r="429">
      <c r="B429" s="7"/>
      <c r="C429" s="62"/>
      <c r="D429" s="62"/>
    </row>
    <row r="430">
      <c r="B430" s="7"/>
      <c r="C430" s="62"/>
      <c r="D430" s="62"/>
    </row>
    <row r="431">
      <c r="B431" s="7"/>
      <c r="C431" s="62"/>
      <c r="D431" s="62"/>
    </row>
    <row r="432">
      <c r="B432" s="7"/>
      <c r="C432" s="62"/>
      <c r="D432" s="62"/>
    </row>
    <row r="433">
      <c r="B433" s="7"/>
      <c r="C433" s="62"/>
      <c r="D433" s="62"/>
    </row>
    <row r="434">
      <c r="B434" s="7"/>
      <c r="C434" s="62"/>
      <c r="D434" s="62"/>
    </row>
    <row r="435">
      <c r="B435" s="7"/>
      <c r="C435" s="62"/>
      <c r="D435" s="62"/>
    </row>
    <row r="436">
      <c r="B436" s="7"/>
      <c r="C436" s="62"/>
      <c r="D436" s="62"/>
    </row>
    <row r="437">
      <c r="B437" s="7"/>
      <c r="C437" s="62"/>
      <c r="D437" s="62"/>
    </row>
    <row r="438">
      <c r="B438" s="7"/>
      <c r="C438" s="62"/>
      <c r="D438" s="62"/>
    </row>
    <row r="439">
      <c r="B439" s="7"/>
      <c r="C439" s="62"/>
      <c r="D439" s="62"/>
    </row>
    <row r="440">
      <c r="B440" s="7"/>
      <c r="C440" s="62"/>
      <c r="D440" s="62"/>
    </row>
    <row r="441">
      <c r="B441" s="7"/>
      <c r="C441" s="62"/>
      <c r="D441" s="62"/>
    </row>
    <row r="442">
      <c r="B442" s="7"/>
      <c r="C442" s="62"/>
      <c r="D442" s="62"/>
    </row>
    <row r="443">
      <c r="B443" s="7"/>
      <c r="C443" s="62"/>
      <c r="D443" s="62"/>
    </row>
    <row r="444">
      <c r="B444" s="7"/>
      <c r="C444" s="62"/>
      <c r="D444" s="62"/>
    </row>
    <row r="445">
      <c r="B445" s="7"/>
      <c r="C445" s="62"/>
      <c r="D445" s="62"/>
    </row>
    <row r="446">
      <c r="B446" s="7"/>
      <c r="C446" s="62"/>
      <c r="D446" s="62"/>
    </row>
    <row r="447">
      <c r="B447" s="7"/>
      <c r="C447" s="62"/>
      <c r="D447" s="62"/>
    </row>
    <row r="448">
      <c r="B448" s="7"/>
      <c r="C448" s="62"/>
      <c r="D448" s="62"/>
    </row>
    <row r="449">
      <c r="B449" s="7"/>
      <c r="C449" s="62"/>
      <c r="D449" s="62"/>
    </row>
    <row r="450">
      <c r="B450" s="7"/>
      <c r="C450" s="62"/>
      <c r="D450" s="62"/>
    </row>
    <row r="451">
      <c r="B451" s="7"/>
      <c r="C451" s="62"/>
      <c r="D451" s="62"/>
    </row>
    <row r="452">
      <c r="B452" s="7"/>
      <c r="C452" s="62"/>
      <c r="D452" s="62"/>
    </row>
    <row r="453">
      <c r="B453" s="7"/>
      <c r="C453" s="62"/>
      <c r="D453" s="62"/>
    </row>
    <row r="454">
      <c r="B454" s="7"/>
      <c r="C454" s="62"/>
      <c r="D454" s="62"/>
    </row>
    <row r="455">
      <c r="B455" s="7"/>
      <c r="C455" s="62"/>
      <c r="D455" s="62"/>
    </row>
    <row r="456">
      <c r="B456" s="7"/>
      <c r="C456" s="62"/>
      <c r="D456" s="62"/>
    </row>
    <row r="457">
      <c r="B457" s="7"/>
      <c r="C457" s="62"/>
      <c r="D457" s="62"/>
    </row>
    <row r="458">
      <c r="B458" s="7"/>
      <c r="C458" s="62"/>
      <c r="D458" s="62"/>
    </row>
    <row r="459">
      <c r="B459" s="7"/>
      <c r="C459" s="62"/>
      <c r="D459" s="62"/>
    </row>
    <row r="460">
      <c r="B460" s="7"/>
      <c r="C460" s="62"/>
      <c r="D460" s="62"/>
    </row>
    <row r="461">
      <c r="B461" s="7"/>
      <c r="C461" s="62"/>
      <c r="D461" s="62"/>
    </row>
    <row r="462">
      <c r="B462" s="7"/>
      <c r="C462" s="62"/>
      <c r="D462" s="62"/>
    </row>
    <row r="463">
      <c r="B463" s="7"/>
      <c r="C463" s="62"/>
      <c r="D463" s="62"/>
    </row>
    <row r="464">
      <c r="B464" s="7"/>
      <c r="C464" s="62"/>
      <c r="D464" s="62"/>
    </row>
    <row r="465">
      <c r="B465" s="7"/>
      <c r="C465" s="62"/>
      <c r="D465" s="62"/>
    </row>
    <row r="466">
      <c r="B466" s="7"/>
      <c r="C466" s="62"/>
      <c r="D466" s="62"/>
    </row>
    <row r="467">
      <c r="B467" s="7"/>
      <c r="C467" s="62"/>
      <c r="D467" s="62"/>
    </row>
    <row r="468">
      <c r="B468" s="7"/>
      <c r="C468" s="62"/>
      <c r="D468" s="62"/>
    </row>
    <row r="469">
      <c r="B469" s="7"/>
      <c r="C469" s="62"/>
      <c r="D469" s="62"/>
    </row>
    <row r="470">
      <c r="B470" s="7"/>
      <c r="C470" s="62"/>
      <c r="D470" s="62"/>
    </row>
    <row r="471">
      <c r="B471" s="7"/>
      <c r="C471" s="62"/>
      <c r="D471" s="62"/>
    </row>
    <row r="472">
      <c r="B472" s="7"/>
      <c r="C472" s="62"/>
      <c r="D472" s="62"/>
    </row>
    <row r="473">
      <c r="B473" s="7"/>
      <c r="C473" s="62"/>
      <c r="D473" s="62"/>
    </row>
    <row r="474">
      <c r="B474" s="7"/>
      <c r="C474" s="62"/>
      <c r="D474" s="62"/>
    </row>
    <row r="475">
      <c r="B475" s="7"/>
      <c r="C475" s="62"/>
      <c r="D475" s="62"/>
    </row>
    <row r="476">
      <c r="B476" s="7"/>
      <c r="C476" s="62"/>
      <c r="D476" s="62"/>
    </row>
    <row r="477">
      <c r="B477" s="7"/>
      <c r="C477" s="62"/>
      <c r="D477" s="62"/>
    </row>
    <row r="478">
      <c r="B478" s="7"/>
      <c r="C478" s="62"/>
      <c r="D478" s="62"/>
    </row>
    <row r="479">
      <c r="B479" s="7"/>
      <c r="C479" s="62"/>
      <c r="D479" s="62"/>
    </row>
    <row r="480">
      <c r="B480" s="7"/>
      <c r="C480" s="62"/>
      <c r="D480" s="62"/>
    </row>
    <row r="481">
      <c r="B481" s="7"/>
      <c r="C481" s="62"/>
      <c r="D481" s="62"/>
    </row>
    <row r="482">
      <c r="B482" s="7"/>
      <c r="C482" s="62"/>
      <c r="D482" s="62"/>
    </row>
    <row r="483">
      <c r="B483" s="7"/>
      <c r="C483" s="62"/>
      <c r="D483" s="62"/>
    </row>
    <row r="484">
      <c r="B484" s="7"/>
      <c r="C484" s="62"/>
      <c r="D484" s="62"/>
    </row>
    <row r="485">
      <c r="B485" s="7"/>
      <c r="C485" s="62"/>
      <c r="D485" s="62"/>
    </row>
    <row r="486">
      <c r="B486" s="7"/>
      <c r="C486" s="62"/>
      <c r="D486" s="62"/>
    </row>
    <row r="487">
      <c r="B487" s="7"/>
      <c r="C487" s="62"/>
      <c r="D487" s="62"/>
    </row>
    <row r="488">
      <c r="B488" s="7"/>
      <c r="C488" s="62"/>
      <c r="D488" s="62"/>
    </row>
    <row r="489">
      <c r="B489" s="7"/>
      <c r="C489" s="62"/>
      <c r="D489" s="62"/>
    </row>
    <row r="490">
      <c r="B490" s="7"/>
      <c r="C490" s="62"/>
      <c r="D490" s="62"/>
    </row>
    <row r="491">
      <c r="B491" s="7"/>
      <c r="C491" s="62"/>
      <c r="D491" s="62"/>
    </row>
    <row r="492">
      <c r="B492" s="7"/>
      <c r="C492" s="62"/>
      <c r="D492" s="62"/>
    </row>
    <row r="493">
      <c r="B493" s="7"/>
      <c r="C493" s="62"/>
      <c r="D493" s="62"/>
    </row>
    <row r="494">
      <c r="B494" s="7"/>
      <c r="C494" s="62"/>
      <c r="D494" s="62"/>
    </row>
    <row r="495">
      <c r="B495" s="7"/>
      <c r="C495" s="62"/>
      <c r="D495" s="62"/>
    </row>
    <row r="496">
      <c r="B496" s="7"/>
      <c r="C496" s="62"/>
      <c r="D496" s="62"/>
    </row>
    <row r="497">
      <c r="B497" s="7"/>
      <c r="C497" s="62"/>
      <c r="D497" s="62"/>
    </row>
    <row r="498">
      <c r="B498" s="7"/>
      <c r="C498" s="62"/>
      <c r="D498" s="62"/>
    </row>
    <row r="499">
      <c r="B499" s="7"/>
      <c r="C499" s="62"/>
      <c r="D499" s="62"/>
    </row>
    <row r="500">
      <c r="B500" s="7"/>
      <c r="C500" s="62"/>
      <c r="D500" s="62"/>
    </row>
    <row r="501">
      <c r="B501" s="7"/>
      <c r="C501" s="62"/>
      <c r="D501" s="62"/>
    </row>
    <row r="502">
      <c r="B502" s="7"/>
      <c r="C502" s="62"/>
      <c r="D502" s="62"/>
    </row>
    <row r="503">
      <c r="B503" s="7"/>
      <c r="C503" s="62"/>
      <c r="D503" s="62"/>
    </row>
    <row r="504">
      <c r="B504" s="7"/>
      <c r="C504" s="62"/>
      <c r="D504" s="62"/>
    </row>
    <row r="505">
      <c r="B505" s="7"/>
      <c r="C505" s="62"/>
      <c r="D505" s="62"/>
    </row>
    <row r="506">
      <c r="B506" s="7"/>
      <c r="C506" s="62"/>
      <c r="D506" s="62"/>
    </row>
    <row r="507">
      <c r="B507" s="7"/>
      <c r="C507" s="62"/>
      <c r="D507" s="62"/>
    </row>
    <row r="508">
      <c r="B508" s="7"/>
      <c r="C508" s="62"/>
      <c r="D508" s="62"/>
    </row>
    <row r="509">
      <c r="B509" s="7"/>
      <c r="C509" s="62"/>
      <c r="D509" s="62"/>
    </row>
    <row r="510">
      <c r="B510" s="7"/>
      <c r="C510" s="62"/>
      <c r="D510" s="62"/>
    </row>
    <row r="511">
      <c r="B511" s="7"/>
      <c r="C511" s="62"/>
      <c r="D511" s="62"/>
    </row>
    <row r="512">
      <c r="B512" s="7"/>
      <c r="C512" s="62"/>
      <c r="D512" s="62"/>
    </row>
    <row r="513">
      <c r="B513" s="7"/>
      <c r="C513" s="62"/>
      <c r="D513" s="62"/>
    </row>
    <row r="514">
      <c r="B514" s="7"/>
      <c r="C514" s="62"/>
      <c r="D514" s="62"/>
    </row>
    <row r="515">
      <c r="B515" s="7"/>
      <c r="C515" s="62"/>
      <c r="D515" s="62"/>
    </row>
    <row r="516">
      <c r="B516" s="7"/>
      <c r="C516" s="62"/>
      <c r="D516" s="62"/>
    </row>
    <row r="517">
      <c r="B517" s="7"/>
      <c r="C517" s="62"/>
      <c r="D517" s="62"/>
    </row>
    <row r="518">
      <c r="B518" s="7"/>
      <c r="C518" s="62"/>
      <c r="D518" s="62"/>
    </row>
    <row r="519">
      <c r="B519" s="7"/>
      <c r="C519" s="62"/>
      <c r="D519" s="62"/>
    </row>
    <row r="520">
      <c r="B520" s="7"/>
      <c r="C520" s="62"/>
      <c r="D520" s="62"/>
    </row>
    <row r="521">
      <c r="B521" s="7"/>
      <c r="C521" s="62"/>
      <c r="D521" s="62"/>
    </row>
    <row r="522">
      <c r="B522" s="7"/>
      <c r="C522" s="62"/>
      <c r="D522" s="62"/>
    </row>
    <row r="523">
      <c r="B523" s="7"/>
      <c r="C523" s="62"/>
      <c r="D523" s="62"/>
    </row>
    <row r="524">
      <c r="B524" s="7"/>
      <c r="C524" s="62"/>
      <c r="D524" s="62"/>
    </row>
    <row r="525">
      <c r="B525" s="7"/>
      <c r="C525" s="62"/>
      <c r="D525" s="62"/>
    </row>
    <row r="526">
      <c r="B526" s="7"/>
      <c r="C526" s="62"/>
      <c r="D526" s="62"/>
    </row>
    <row r="527">
      <c r="B527" s="7"/>
      <c r="C527" s="62"/>
      <c r="D527" s="62"/>
    </row>
    <row r="528">
      <c r="B528" s="7"/>
      <c r="C528" s="62"/>
      <c r="D528" s="62"/>
    </row>
    <row r="529">
      <c r="B529" s="7"/>
      <c r="C529" s="62"/>
      <c r="D529" s="62"/>
    </row>
    <row r="530">
      <c r="B530" s="7"/>
      <c r="C530" s="62"/>
      <c r="D530" s="62"/>
    </row>
    <row r="531">
      <c r="B531" s="7"/>
      <c r="C531" s="62"/>
      <c r="D531" s="62"/>
    </row>
    <row r="532">
      <c r="B532" s="7"/>
      <c r="C532" s="62"/>
      <c r="D532" s="62"/>
    </row>
    <row r="533">
      <c r="B533" s="7"/>
      <c r="C533" s="62"/>
      <c r="D533" s="62"/>
    </row>
    <row r="534">
      <c r="B534" s="7"/>
      <c r="C534" s="62"/>
      <c r="D534" s="62"/>
    </row>
    <row r="535">
      <c r="B535" s="7"/>
      <c r="C535" s="62"/>
      <c r="D535" s="62"/>
    </row>
    <row r="536">
      <c r="B536" s="7"/>
      <c r="C536" s="62"/>
      <c r="D536" s="62"/>
    </row>
    <row r="537">
      <c r="B537" s="7"/>
      <c r="C537" s="62"/>
      <c r="D537" s="62"/>
    </row>
    <row r="538">
      <c r="B538" s="7"/>
      <c r="C538" s="62"/>
      <c r="D538" s="62"/>
    </row>
    <row r="539">
      <c r="B539" s="7"/>
      <c r="C539" s="62"/>
      <c r="D539" s="62"/>
    </row>
    <row r="540">
      <c r="B540" s="7"/>
      <c r="C540" s="62"/>
      <c r="D540" s="62"/>
    </row>
    <row r="541">
      <c r="B541" s="7"/>
      <c r="C541" s="62"/>
      <c r="D541" s="62"/>
    </row>
    <row r="542">
      <c r="B542" s="7"/>
      <c r="C542" s="62"/>
      <c r="D542" s="62"/>
    </row>
    <row r="543">
      <c r="B543" s="7"/>
      <c r="C543" s="62"/>
      <c r="D543" s="62"/>
    </row>
    <row r="544">
      <c r="B544" s="7"/>
      <c r="C544" s="62"/>
      <c r="D544" s="62"/>
    </row>
    <row r="545">
      <c r="B545" s="7"/>
      <c r="C545" s="62"/>
      <c r="D545" s="62"/>
    </row>
    <row r="546">
      <c r="B546" s="7"/>
      <c r="C546" s="62"/>
      <c r="D546" s="62"/>
    </row>
    <row r="547">
      <c r="B547" s="7"/>
      <c r="C547" s="62"/>
      <c r="D547" s="62"/>
    </row>
    <row r="548">
      <c r="B548" s="7"/>
      <c r="C548" s="62"/>
      <c r="D548" s="62"/>
    </row>
    <row r="549">
      <c r="B549" s="7"/>
      <c r="C549" s="62"/>
      <c r="D549" s="62"/>
    </row>
    <row r="550">
      <c r="B550" s="7"/>
      <c r="C550" s="62"/>
      <c r="D550" s="62"/>
    </row>
    <row r="551">
      <c r="B551" s="7"/>
      <c r="C551" s="62"/>
      <c r="D551" s="62"/>
    </row>
    <row r="552">
      <c r="B552" s="7"/>
      <c r="C552" s="62"/>
      <c r="D552" s="62"/>
    </row>
    <row r="553">
      <c r="B553" s="7"/>
      <c r="C553" s="62"/>
      <c r="D553" s="62"/>
    </row>
    <row r="554">
      <c r="B554" s="7"/>
      <c r="C554" s="62"/>
      <c r="D554" s="62"/>
    </row>
    <row r="555">
      <c r="B555" s="7"/>
      <c r="C555" s="62"/>
      <c r="D555" s="62"/>
    </row>
    <row r="556">
      <c r="B556" s="7"/>
      <c r="C556" s="62"/>
      <c r="D556" s="62"/>
    </row>
    <row r="557">
      <c r="B557" s="7"/>
      <c r="C557" s="62"/>
      <c r="D557" s="62"/>
    </row>
    <row r="558">
      <c r="B558" s="7"/>
      <c r="C558" s="62"/>
      <c r="D558" s="62"/>
    </row>
    <row r="559">
      <c r="B559" s="7"/>
      <c r="C559" s="62"/>
      <c r="D559" s="62"/>
    </row>
    <row r="560">
      <c r="B560" s="7"/>
      <c r="C560" s="62"/>
      <c r="D560" s="62"/>
    </row>
    <row r="561">
      <c r="B561" s="7"/>
      <c r="C561" s="62"/>
      <c r="D561" s="62"/>
    </row>
    <row r="562">
      <c r="B562" s="7"/>
      <c r="C562" s="62"/>
      <c r="D562" s="62"/>
    </row>
    <row r="563">
      <c r="B563" s="7"/>
      <c r="C563" s="62"/>
      <c r="D563" s="62"/>
    </row>
    <row r="564">
      <c r="B564" s="7"/>
      <c r="C564" s="62"/>
      <c r="D564" s="62"/>
    </row>
    <row r="565">
      <c r="B565" s="7"/>
      <c r="C565" s="62"/>
      <c r="D565" s="62"/>
    </row>
    <row r="566">
      <c r="B566" s="7"/>
      <c r="C566" s="62"/>
      <c r="D566" s="62"/>
    </row>
    <row r="567">
      <c r="B567" s="7"/>
      <c r="C567" s="62"/>
      <c r="D567" s="62"/>
    </row>
    <row r="568">
      <c r="B568" s="7"/>
      <c r="C568" s="62"/>
      <c r="D568" s="62"/>
    </row>
    <row r="569">
      <c r="B569" s="7"/>
      <c r="C569" s="62"/>
      <c r="D569" s="62"/>
    </row>
    <row r="570">
      <c r="B570" s="7"/>
      <c r="C570" s="62"/>
      <c r="D570" s="62"/>
    </row>
    <row r="571">
      <c r="B571" s="7"/>
      <c r="C571" s="62"/>
      <c r="D571" s="62"/>
    </row>
    <row r="572">
      <c r="B572" s="7"/>
      <c r="C572" s="62"/>
      <c r="D572" s="62"/>
    </row>
    <row r="573">
      <c r="B573" s="7"/>
      <c r="C573" s="62"/>
      <c r="D573" s="62"/>
    </row>
    <row r="574">
      <c r="B574" s="7"/>
      <c r="C574" s="62"/>
      <c r="D574" s="62"/>
    </row>
    <row r="575">
      <c r="B575" s="7"/>
      <c r="C575" s="62"/>
      <c r="D575" s="62"/>
    </row>
    <row r="576">
      <c r="B576" s="7"/>
      <c r="C576" s="62"/>
      <c r="D576" s="62"/>
    </row>
    <row r="577">
      <c r="B577" s="7"/>
      <c r="C577" s="62"/>
      <c r="D577" s="62"/>
    </row>
    <row r="578">
      <c r="B578" s="7"/>
      <c r="C578" s="62"/>
      <c r="D578" s="62"/>
    </row>
    <row r="579">
      <c r="B579" s="7"/>
      <c r="C579" s="62"/>
      <c r="D579" s="62"/>
    </row>
    <row r="580">
      <c r="B580" s="7"/>
      <c r="C580" s="62"/>
      <c r="D580" s="62"/>
    </row>
    <row r="581">
      <c r="B581" s="7"/>
      <c r="C581" s="62"/>
      <c r="D581" s="62"/>
    </row>
    <row r="582">
      <c r="B582" s="7"/>
      <c r="C582" s="62"/>
      <c r="D582" s="62"/>
    </row>
    <row r="583">
      <c r="B583" s="7"/>
      <c r="C583" s="62"/>
      <c r="D583" s="62"/>
    </row>
    <row r="584">
      <c r="B584" s="7"/>
      <c r="C584" s="62"/>
      <c r="D584" s="62"/>
    </row>
    <row r="585">
      <c r="B585" s="7"/>
      <c r="C585" s="62"/>
      <c r="D585" s="62"/>
    </row>
    <row r="586">
      <c r="B586" s="7"/>
      <c r="C586" s="62"/>
      <c r="D586" s="62"/>
    </row>
    <row r="587">
      <c r="B587" s="7"/>
      <c r="C587" s="62"/>
      <c r="D587" s="62"/>
    </row>
    <row r="588">
      <c r="B588" s="7"/>
      <c r="C588" s="62"/>
      <c r="D588" s="62"/>
    </row>
    <row r="589">
      <c r="B589" s="7"/>
      <c r="C589" s="62"/>
      <c r="D589" s="62"/>
    </row>
    <row r="590">
      <c r="B590" s="7"/>
      <c r="C590" s="62"/>
      <c r="D590" s="62"/>
    </row>
    <row r="591">
      <c r="B591" s="7"/>
      <c r="C591" s="62"/>
      <c r="D591" s="62"/>
    </row>
    <row r="592">
      <c r="B592" s="7"/>
      <c r="C592" s="62"/>
      <c r="D592" s="62"/>
    </row>
    <row r="593">
      <c r="B593" s="7"/>
      <c r="C593" s="62"/>
      <c r="D593" s="62"/>
    </row>
    <row r="594">
      <c r="B594" s="7"/>
      <c r="C594" s="62"/>
      <c r="D594" s="62"/>
    </row>
    <row r="595">
      <c r="B595" s="7"/>
      <c r="C595" s="62"/>
      <c r="D595" s="62"/>
    </row>
    <row r="596">
      <c r="B596" s="7"/>
      <c r="C596" s="62"/>
      <c r="D596" s="62"/>
    </row>
    <row r="597">
      <c r="B597" s="7"/>
      <c r="C597" s="62"/>
      <c r="D597" s="62"/>
    </row>
    <row r="598">
      <c r="B598" s="7"/>
      <c r="C598" s="62"/>
      <c r="D598" s="62"/>
    </row>
    <row r="599">
      <c r="B599" s="7"/>
      <c r="C599" s="62"/>
      <c r="D599" s="62"/>
    </row>
    <row r="600">
      <c r="B600" s="7"/>
      <c r="C600" s="62"/>
      <c r="D600" s="62"/>
    </row>
    <row r="601">
      <c r="B601" s="7"/>
      <c r="C601" s="62"/>
      <c r="D601" s="62"/>
    </row>
    <row r="602">
      <c r="B602" s="7"/>
      <c r="C602" s="62"/>
      <c r="D602" s="62"/>
    </row>
    <row r="603">
      <c r="B603" s="7"/>
      <c r="C603" s="62"/>
      <c r="D603" s="62"/>
    </row>
    <row r="604">
      <c r="B604" s="7"/>
      <c r="C604" s="62"/>
      <c r="D604" s="62"/>
    </row>
    <row r="605">
      <c r="B605" s="7"/>
      <c r="C605" s="62"/>
      <c r="D605" s="62"/>
    </row>
    <row r="606">
      <c r="B606" s="7"/>
      <c r="C606" s="62"/>
      <c r="D606" s="62"/>
    </row>
    <row r="607">
      <c r="B607" s="7"/>
      <c r="C607" s="62"/>
      <c r="D607" s="62"/>
    </row>
    <row r="608">
      <c r="B608" s="7"/>
      <c r="C608" s="62"/>
      <c r="D608" s="62"/>
    </row>
    <row r="609">
      <c r="B609" s="7"/>
      <c r="C609" s="62"/>
      <c r="D609" s="62"/>
    </row>
    <row r="610">
      <c r="B610" s="7"/>
      <c r="C610" s="62"/>
      <c r="D610" s="62"/>
    </row>
    <row r="611">
      <c r="B611" s="7"/>
      <c r="C611" s="62"/>
      <c r="D611" s="62"/>
    </row>
    <row r="612">
      <c r="B612" s="7"/>
      <c r="C612" s="62"/>
      <c r="D612" s="62"/>
    </row>
    <row r="613">
      <c r="B613" s="7"/>
      <c r="C613" s="62"/>
      <c r="D613" s="62"/>
    </row>
    <row r="614">
      <c r="B614" s="7"/>
      <c r="C614" s="62"/>
      <c r="D614" s="62"/>
    </row>
    <row r="615">
      <c r="B615" s="7"/>
      <c r="C615" s="62"/>
      <c r="D615" s="62"/>
    </row>
    <row r="616">
      <c r="B616" s="7"/>
      <c r="C616" s="62"/>
      <c r="D616" s="62"/>
    </row>
    <row r="617">
      <c r="B617" s="7"/>
      <c r="C617" s="62"/>
      <c r="D617" s="62"/>
    </row>
    <row r="618">
      <c r="B618" s="7"/>
      <c r="C618" s="62"/>
      <c r="D618" s="62"/>
    </row>
    <row r="619">
      <c r="B619" s="7"/>
      <c r="C619" s="62"/>
      <c r="D619" s="62"/>
    </row>
    <row r="620">
      <c r="B620" s="7"/>
      <c r="C620" s="62"/>
      <c r="D620" s="62"/>
    </row>
    <row r="621">
      <c r="B621" s="7"/>
      <c r="C621" s="62"/>
      <c r="D621" s="62"/>
    </row>
    <row r="622">
      <c r="B622" s="7"/>
      <c r="C622" s="62"/>
      <c r="D622" s="62"/>
    </row>
    <row r="623">
      <c r="B623" s="7"/>
      <c r="C623" s="62"/>
      <c r="D623" s="62"/>
    </row>
    <row r="624">
      <c r="B624" s="7"/>
      <c r="C624" s="62"/>
      <c r="D624" s="62"/>
    </row>
    <row r="625">
      <c r="B625" s="7"/>
      <c r="C625" s="62"/>
      <c r="D625" s="62"/>
    </row>
    <row r="626">
      <c r="B626" s="7"/>
      <c r="C626" s="62"/>
      <c r="D626" s="62"/>
    </row>
    <row r="627">
      <c r="B627" s="7"/>
      <c r="C627" s="62"/>
      <c r="D627" s="62"/>
    </row>
    <row r="628">
      <c r="B628" s="7"/>
      <c r="C628" s="62"/>
      <c r="D628" s="62"/>
    </row>
    <row r="629">
      <c r="B629" s="7"/>
      <c r="C629" s="62"/>
      <c r="D629" s="62"/>
    </row>
    <row r="630">
      <c r="B630" s="7"/>
      <c r="C630" s="62"/>
      <c r="D630" s="62"/>
    </row>
    <row r="631">
      <c r="B631" s="7"/>
      <c r="C631" s="62"/>
      <c r="D631" s="62"/>
    </row>
    <row r="632">
      <c r="B632" s="7"/>
      <c r="C632" s="62"/>
      <c r="D632" s="62"/>
    </row>
    <row r="633">
      <c r="B633" s="7"/>
      <c r="C633" s="62"/>
      <c r="D633" s="62"/>
    </row>
    <row r="634">
      <c r="B634" s="7"/>
      <c r="C634" s="62"/>
      <c r="D634" s="62"/>
    </row>
    <row r="635">
      <c r="B635" s="7"/>
      <c r="C635" s="62"/>
      <c r="D635" s="62"/>
    </row>
    <row r="636">
      <c r="B636" s="7"/>
      <c r="C636" s="62"/>
      <c r="D636" s="62"/>
    </row>
    <row r="637">
      <c r="B637" s="7"/>
      <c r="C637" s="62"/>
      <c r="D637" s="62"/>
    </row>
    <row r="638">
      <c r="B638" s="7"/>
      <c r="C638" s="62"/>
      <c r="D638" s="62"/>
    </row>
    <row r="639">
      <c r="B639" s="7"/>
      <c r="C639" s="62"/>
      <c r="D639" s="62"/>
    </row>
    <row r="640">
      <c r="B640" s="7"/>
      <c r="C640" s="62"/>
      <c r="D640" s="62"/>
    </row>
    <row r="641">
      <c r="B641" s="7"/>
      <c r="C641" s="62"/>
      <c r="D641" s="62"/>
    </row>
    <row r="642">
      <c r="B642" s="7"/>
      <c r="C642" s="62"/>
      <c r="D642" s="62"/>
    </row>
    <row r="643">
      <c r="B643" s="7"/>
      <c r="C643" s="62"/>
      <c r="D643" s="62"/>
    </row>
    <row r="644">
      <c r="B644" s="7"/>
      <c r="C644" s="62"/>
      <c r="D644" s="62"/>
    </row>
    <row r="645">
      <c r="B645" s="7"/>
      <c r="C645" s="62"/>
      <c r="D645" s="62"/>
    </row>
    <row r="646">
      <c r="B646" s="7"/>
      <c r="C646" s="62"/>
      <c r="D646" s="62"/>
    </row>
    <row r="647">
      <c r="B647" s="7"/>
      <c r="C647" s="62"/>
      <c r="D647" s="62"/>
    </row>
    <row r="648">
      <c r="B648" s="7"/>
      <c r="C648" s="62"/>
      <c r="D648" s="62"/>
    </row>
    <row r="649">
      <c r="B649" s="7"/>
      <c r="C649" s="62"/>
      <c r="D649" s="62"/>
    </row>
    <row r="650">
      <c r="B650" s="7"/>
      <c r="C650" s="62"/>
      <c r="D650" s="62"/>
    </row>
    <row r="651">
      <c r="B651" s="7"/>
      <c r="C651" s="62"/>
      <c r="D651" s="62"/>
    </row>
    <row r="652">
      <c r="B652" s="7"/>
      <c r="C652" s="62"/>
      <c r="D652" s="62"/>
    </row>
    <row r="653">
      <c r="B653" s="7"/>
      <c r="C653" s="62"/>
      <c r="D653" s="62"/>
    </row>
    <row r="654">
      <c r="B654" s="7"/>
      <c r="C654" s="62"/>
      <c r="D654" s="62"/>
    </row>
    <row r="655">
      <c r="B655" s="7"/>
      <c r="C655" s="62"/>
      <c r="D655" s="62"/>
    </row>
    <row r="656">
      <c r="B656" s="7"/>
      <c r="C656" s="62"/>
      <c r="D656" s="62"/>
    </row>
    <row r="657">
      <c r="B657" s="7"/>
      <c r="C657" s="62"/>
      <c r="D657" s="62"/>
    </row>
    <row r="658">
      <c r="B658" s="7"/>
      <c r="C658" s="62"/>
      <c r="D658" s="62"/>
    </row>
    <row r="659">
      <c r="B659" s="7"/>
      <c r="C659" s="62"/>
      <c r="D659" s="62"/>
    </row>
    <row r="660">
      <c r="B660" s="7"/>
      <c r="C660" s="62"/>
      <c r="D660" s="62"/>
    </row>
    <row r="661">
      <c r="B661" s="7"/>
      <c r="C661" s="62"/>
      <c r="D661" s="62"/>
    </row>
    <row r="662">
      <c r="B662" s="7"/>
      <c r="C662" s="62"/>
      <c r="D662" s="62"/>
    </row>
    <row r="663">
      <c r="B663" s="7"/>
      <c r="C663" s="62"/>
      <c r="D663" s="62"/>
    </row>
    <row r="664">
      <c r="B664" s="7"/>
      <c r="C664" s="62"/>
      <c r="D664" s="62"/>
    </row>
    <row r="665">
      <c r="B665" s="7"/>
      <c r="C665" s="62"/>
      <c r="D665" s="62"/>
    </row>
    <row r="666">
      <c r="B666" s="7"/>
      <c r="C666" s="62"/>
      <c r="D666" s="62"/>
    </row>
    <row r="667">
      <c r="B667" s="7"/>
      <c r="C667" s="62"/>
      <c r="D667" s="62"/>
    </row>
    <row r="668">
      <c r="B668" s="7"/>
      <c r="C668" s="62"/>
      <c r="D668" s="62"/>
    </row>
    <row r="669">
      <c r="B669" s="7"/>
      <c r="C669" s="62"/>
      <c r="D669" s="62"/>
    </row>
    <row r="670">
      <c r="B670" s="7"/>
      <c r="C670" s="62"/>
      <c r="D670" s="62"/>
    </row>
    <row r="671">
      <c r="B671" s="7"/>
      <c r="C671" s="62"/>
      <c r="D671" s="62"/>
    </row>
    <row r="672">
      <c r="B672" s="7"/>
      <c r="C672" s="62"/>
      <c r="D672" s="62"/>
    </row>
    <row r="673">
      <c r="B673" s="7"/>
      <c r="C673" s="62"/>
      <c r="D673" s="62"/>
    </row>
    <row r="674">
      <c r="B674" s="7"/>
      <c r="C674" s="62"/>
      <c r="D674" s="62"/>
    </row>
    <row r="675">
      <c r="B675" s="7"/>
      <c r="C675" s="62"/>
      <c r="D675" s="62"/>
    </row>
    <row r="676">
      <c r="B676" s="7"/>
      <c r="C676" s="62"/>
      <c r="D676" s="62"/>
    </row>
    <row r="677">
      <c r="B677" s="7"/>
      <c r="C677" s="62"/>
      <c r="D677" s="62"/>
    </row>
    <row r="678">
      <c r="B678" s="7"/>
      <c r="C678" s="62"/>
      <c r="D678" s="62"/>
    </row>
    <row r="679">
      <c r="B679" s="7"/>
      <c r="C679" s="62"/>
      <c r="D679" s="62"/>
    </row>
    <row r="680">
      <c r="B680" s="7"/>
      <c r="C680" s="62"/>
      <c r="D680" s="62"/>
    </row>
    <row r="681">
      <c r="B681" s="7"/>
      <c r="C681" s="62"/>
      <c r="D681" s="62"/>
    </row>
    <row r="682">
      <c r="B682" s="7"/>
      <c r="C682" s="62"/>
      <c r="D682" s="62"/>
    </row>
    <row r="683">
      <c r="B683" s="7"/>
      <c r="C683" s="62"/>
      <c r="D683" s="62"/>
    </row>
    <row r="684">
      <c r="B684" s="7"/>
      <c r="C684" s="62"/>
      <c r="D684" s="62"/>
    </row>
    <row r="685">
      <c r="B685" s="7"/>
      <c r="C685" s="62"/>
      <c r="D685" s="62"/>
    </row>
    <row r="686">
      <c r="B686" s="7"/>
      <c r="C686" s="62"/>
      <c r="D686" s="62"/>
    </row>
    <row r="687">
      <c r="B687" s="7"/>
      <c r="C687" s="62"/>
      <c r="D687" s="62"/>
    </row>
    <row r="688">
      <c r="B688" s="7"/>
      <c r="C688" s="62"/>
      <c r="D688" s="62"/>
    </row>
    <row r="689">
      <c r="B689" s="7"/>
      <c r="C689" s="62"/>
      <c r="D689" s="62"/>
    </row>
    <row r="690">
      <c r="B690" s="7"/>
      <c r="C690" s="62"/>
      <c r="D690" s="62"/>
    </row>
    <row r="691">
      <c r="B691" s="7"/>
      <c r="C691" s="62"/>
      <c r="D691" s="62"/>
    </row>
    <row r="692">
      <c r="B692" s="7"/>
      <c r="C692" s="62"/>
      <c r="D692" s="62"/>
    </row>
    <row r="693">
      <c r="B693" s="7"/>
      <c r="C693" s="62"/>
      <c r="D693" s="62"/>
    </row>
    <row r="694">
      <c r="B694" s="7"/>
      <c r="C694" s="62"/>
      <c r="D694" s="62"/>
    </row>
    <row r="695">
      <c r="B695" s="7"/>
      <c r="C695" s="62"/>
      <c r="D695" s="62"/>
    </row>
    <row r="696">
      <c r="B696" s="7"/>
      <c r="C696" s="62"/>
      <c r="D696" s="62"/>
    </row>
    <row r="697">
      <c r="B697" s="7"/>
      <c r="C697" s="62"/>
      <c r="D697" s="62"/>
    </row>
    <row r="698">
      <c r="B698" s="7"/>
      <c r="C698" s="62"/>
      <c r="D698" s="62"/>
    </row>
    <row r="699">
      <c r="B699" s="7"/>
      <c r="C699" s="62"/>
      <c r="D699" s="62"/>
    </row>
    <row r="700">
      <c r="B700" s="7"/>
      <c r="C700" s="62"/>
      <c r="D700" s="62"/>
    </row>
    <row r="701">
      <c r="B701" s="7"/>
      <c r="C701" s="62"/>
      <c r="D701" s="62"/>
    </row>
    <row r="702">
      <c r="B702" s="7"/>
      <c r="C702" s="62"/>
      <c r="D702" s="62"/>
    </row>
    <row r="703">
      <c r="B703" s="7"/>
      <c r="C703" s="62"/>
      <c r="D703" s="62"/>
    </row>
    <row r="704">
      <c r="B704" s="7"/>
      <c r="C704" s="62"/>
      <c r="D704" s="62"/>
    </row>
    <row r="705">
      <c r="B705" s="7"/>
      <c r="C705" s="62"/>
      <c r="D705" s="62"/>
    </row>
    <row r="706">
      <c r="B706" s="7"/>
      <c r="C706" s="62"/>
      <c r="D706" s="62"/>
    </row>
    <row r="707">
      <c r="B707" s="7"/>
      <c r="C707" s="62"/>
      <c r="D707" s="62"/>
    </row>
    <row r="708">
      <c r="B708" s="7"/>
      <c r="C708" s="62"/>
      <c r="D708" s="62"/>
    </row>
    <row r="709">
      <c r="B709" s="7"/>
      <c r="C709" s="62"/>
      <c r="D709" s="62"/>
    </row>
    <row r="710">
      <c r="B710" s="7"/>
      <c r="C710" s="62"/>
      <c r="D710" s="62"/>
    </row>
    <row r="711">
      <c r="B711" s="7"/>
      <c r="C711" s="62"/>
      <c r="D711" s="62"/>
    </row>
    <row r="712">
      <c r="B712" s="7"/>
      <c r="C712" s="62"/>
      <c r="D712" s="62"/>
    </row>
    <row r="713">
      <c r="B713" s="7"/>
      <c r="C713" s="62"/>
      <c r="D713" s="62"/>
    </row>
    <row r="714">
      <c r="B714" s="7"/>
      <c r="C714" s="62"/>
      <c r="D714" s="62"/>
    </row>
    <row r="715">
      <c r="B715" s="7"/>
      <c r="C715" s="62"/>
      <c r="D715" s="62"/>
    </row>
    <row r="716">
      <c r="B716" s="7"/>
      <c r="C716" s="62"/>
      <c r="D716" s="62"/>
    </row>
    <row r="717">
      <c r="B717" s="7"/>
      <c r="C717" s="62"/>
      <c r="D717" s="62"/>
    </row>
    <row r="718">
      <c r="B718" s="7"/>
      <c r="C718" s="62"/>
      <c r="D718" s="62"/>
    </row>
    <row r="719">
      <c r="B719" s="7"/>
      <c r="C719" s="62"/>
      <c r="D719" s="62"/>
    </row>
    <row r="720">
      <c r="B720" s="7"/>
      <c r="C720" s="62"/>
      <c r="D720" s="62"/>
    </row>
    <row r="721">
      <c r="B721" s="7"/>
      <c r="C721" s="62"/>
      <c r="D721" s="62"/>
    </row>
    <row r="722">
      <c r="B722" s="7"/>
      <c r="C722" s="62"/>
      <c r="D722" s="62"/>
    </row>
    <row r="723">
      <c r="B723" s="7"/>
      <c r="C723" s="62"/>
      <c r="D723" s="62"/>
    </row>
    <row r="724">
      <c r="B724" s="7"/>
      <c r="C724" s="62"/>
      <c r="D724" s="62"/>
    </row>
    <row r="725">
      <c r="B725" s="7"/>
      <c r="C725" s="62"/>
      <c r="D725" s="62"/>
    </row>
    <row r="726">
      <c r="B726" s="7"/>
      <c r="C726" s="62"/>
      <c r="D726" s="62"/>
    </row>
    <row r="727">
      <c r="B727" s="7"/>
      <c r="C727" s="62"/>
      <c r="D727" s="62"/>
    </row>
    <row r="728">
      <c r="B728" s="7"/>
      <c r="C728" s="62"/>
      <c r="D728" s="62"/>
    </row>
    <row r="729">
      <c r="B729" s="7"/>
      <c r="C729" s="62"/>
      <c r="D729" s="62"/>
    </row>
    <row r="730">
      <c r="B730" s="7"/>
      <c r="C730" s="62"/>
      <c r="D730" s="62"/>
    </row>
    <row r="731">
      <c r="B731" s="7"/>
      <c r="C731" s="62"/>
      <c r="D731" s="62"/>
    </row>
    <row r="732">
      <c r="B732" s="7"/>
      <c r="C732" s="62"/>
      <c r="D732" s="62"/>
    </row>
    <row r="733">
      <c r="B733" s="7"/>
      <c r="C733" s="62"/>
      <c r="D733" s="62"/>
    </row>
    <row r="734">
      <c r="B734" s="7"/>
      <c r="C734" s="62"/>
      <c r="D734" s="62"/>
    </row>
    <row r="735">
      <c r="B735" s="7"/>
      <c r="C735" s="62"/>
      <c r="D735" s="62"/>
    </row>
    <row r="736">
      <c r="B736" s="7"/>
      <c r="C736" s="62"/>
      <c r="D736" s="62"/>
    </row>
    <row r="737">
      <c r="B737" s="7"/>
      <c r="C737" s="62"/>
      <c r="D737" s="62"/>
    </row>
    <row r="738">
      <c r="B738" s="7"/>
      <c r="C738" s="62"/>
      <c r="D738" s="62"/>
    </row>
    <row r="739">
      <c r="B739" s="7"/>
      <c r="C739" s="62"/>
      <c r="D739" s="62"/>
    </row>
    <row r="740">
      <c r="B740" s="7"/>
      <c r="C740" s="62"/>
      <c r="D740" s="62"/>
    </row>
    <row r="741">
      <c r="B741" s="7"/>
      <c r="C741" s="62"/>
      <c r="D741" s="62"/>
    </row>
    <row r="742">
      <c r="B742" s="7"/>
      <c r="C742" s="62"/>
      <c r="D742" s="62"/>
    </row>
    <row r="743">
      <c r="B743" s="7"/>
      <c r="C743" s="62"/>
      <c r="D743" s="62"/>
    </row>
    <row r="744">
      <c r="B744" s="7"/>
      <c r="C744" s="62"/>
      <c r="D744" s="62"/>
    </row>
    <row r="745">
      <c r="B745" s="7"/>
      <c r="C745" s="62"/>
      <c r="D745" s="62"/>
    </row>
    <row r="746">
      <c r="B746" s="7"/>
      <c r="C746" s="62"/>
      <c r="D746" s="62"/>
    </row>
    <row r="747">
      <c r="B747" s="7"/>
      <c r="C747" s="62"/>
      <c r="D747" s="62"/>
    </row>
    <row r="748">
      <c r="B748" s="7"/>
      <c r="C748" s="62"/>
      <c r="D748" s="62"/>
    </row>
    <row r="749">
      <c r="B749" s="7"/>
      <c r="C749" s="62"/>
      <c r="D749" s="62"/>
    </row>
    <row r="750">
      <c r="B750" s="7"/>
      <c r="C750" s="62"/>
      <c r="D750" s="62"/>
    </row>
    <row r="751">
      <c r="B751" s="7"/>
      <c r="C751" s="62"/>
      <c r="D751" s="62"/>
    </row>
    <row r="752">
      <c r="B752" s="7"/>
      <c r="C752" s="62"/>
      <c r="D752" s="62"/>
    </row>
    <row r="753">
      <c r="B753" s="7"/>
      <c r="C753" s="62"/>
      <c r="D753" s="62"/>
    </row>
    <row r="754">
      <c r="B754" s="7"/>
      <c r="C754" s="62"/>
      <c r="D754" s="62"/>
    </row>
    <row r="755">
      <c r="B755" s="7"/>
      <c r="C755" s="62"/>
      <c r="D755" s="62"/>
    </row>
    <row r="756">
      <c r="B756" s="7"/>
      <c r="C756" s="62"/>
      <c r="D756" s="62"/>
    </row>
    <row r="757">
      <c r="B757" s="7"/>
      <c r="C757" s="62"/>
      <c r="D757" s="62"/>
    </row>
    <row r="758">
      <c r="B758" s="7"/>
      <c r="C758" s="62"/>
      <c r="D758" s="62"/>
    </row>
    <row r="759">
      <c r="B759" s="7"/>
      <c r="C759" s="62"/>
      <c r="D759" s="62"/>
    </row>
    <row r="760">
      <c r="B760" s="7"/>
      <c r="C760" s="62"/>
      <c r="D760" s="62"/>
    </row>
    <row r="761">
      <c r="B761" s="7"/>
      <c r="C761" s="62"/>
      <c r="D761" s="62"/>
    </row>
    <row r="762">
      <c r="B762" s="7"/>
      <c r="C762" s="62"/>
      <c r="D762" s="62"/>
    </row>
    <row r="763">
      <c r="B763" s="7"/>
      <c r="C763" s="62"/>
      <c r="D763" s="62"/>
    </row>
    <row r="764">
      <c r="B764" s="7"/>
      <c r="C764" s="62"/>
      <c r="D764" s="62"/>
    </row>
    <row r="765">
      <c r="B765" s="7"/>
      <c r="C765" s="62"/>
      <c r="D765" s="62"/>
    </row>
    <row r="766">
      <c r="B766" s="7"/>
      <c r="C766" s="62"/>
      <c r="D766" s="62"/>
    </row>
    <row r="767">
      <c r="B767" s="7"/>
      <c r="C767" s="62"/>
      <c r="D767" s="62"/>
    </row>
    <row r="768">
      <c r="B768" s="7"/>
      <c r="C768" s="62"/>
      <c r="D768" s="62"/>
    </row>
    <row r="769">
      <c r="B769" s="7"/>
      <c r="C769" s="62"/>
      <c r="D769" s="62"/>
    </row>
    <row r="770">
      <c r="B770" s="7"/>
      <c r="C770" s="62"/>
      <c r="D770" s="62"/>
    </row>
    <row r="771">
      <c r="B771" s="7"/>
      <c r="C771" s="62"/>
      <c r="D771" s="62"/>
    </row>
    <row r="772">
      <c r="B772" s="7"/>
      <c r="C772" s="62"/>
      <c r="D772" s="62"/>
    </row>
    <row r="773">
      <c r="B773" s="7"/>
      <c r="C773" s="62"/>
      <c r="D773" s="62"/>
    </row>
    <row r="774">
      <c r="B774" s="7"/>
      <c r="C774" s="62"/>
      <c r="D774" s="62"/>
    </row>
    <row r="775">
      <c r="B775" s="7"/>
      <c r="C775" s="62"/>
      <c r="D775" s="62"/>
    </row>
    <row r="776">
      <c r="B776" s="7"/>
      <c r="C776" s="62"/>
      <c r="D776" s="62"/>
    </row>
    <row r="777">
      <c r="B777" s="7"/>
      <c r="C777" s="62"/>
      <c r="D777" s="62"/>
    </row>
    <row r="778">
      <c r="B778" s="7"/>
      <c r="C778" s="62"/>
      <c r="D778" s="62"/>
    </row>
    <row r="779">
      <c r="B779" s="7"/>
      <c r="C779" s="62"/>
      <c r="D779" s="62"/>
    </row>
    <row r="780">
      <c r="B780" s="7"/>
      <c r="C780" s="62"/>
      <c r="D780" s="62"/>
    </row>
    <row r="781">
      <c r="B781" s="7"/>
      <c r="C781" s="62"/>
      <c r="D781" s="62"/>
    </row>
    <row r="782">
      <c r="B782" s="7"/>
      <c r="C782" s="62"/>
      <c r="D782" s="62"/>
    </row>
    <row r="783">
      <c r="B783" s="7"/>
      <c r="C783" s="62"/>
      <c r="D783" s="62"/>
    </row>
    <row r="784">
      <c r="B784" s="7"/>
      <c r="C784" s="62"/>
      <c r="D784" s="62"/>
    </row>
    <row r="785">
      <c r="B785" s="7"/>
      <c r="C785" s="62"/>
      <c r="D785" s="62"/>
    </row>
    <row r="786">
      <c r="B786" s="7"/>
      <c r="C786" s="62"/>
      <c r="D786" s="62"/>
    </row>
    <row r="787">
      <c r="B787" s="7"/>
      <c r="C787" s="62"/>
      <c r="D787" s="62"/>
    </row>
    <row r="788">
      <c r="B788" s="7"/>
      <c r="C788" s="62"/>
      <c r="D788" s="62"/>
    </row>
    <row r="789">
      <c r="B789" s="7"/>
      <c r="C789" s="62"/>
      <c r="D789" s="62"/>
    </row>
    <row r="790">
      <c r="B790" s="7"/>
      <c r="C790" s="62"/>
      <c r="D790" s="62"/>
    </row>
    <row r="791">
      <c r="B791" s="7"/>
      <c r="C791" s="62"/>
      <c r="D791" s="62"/>
    </row>
    <row r="792">
      <c r="B792" s="7"/>
      <c r="C792" s="62"/>
      <c r="D792" s="62"/>
    </row>
    <row r="793">
      <c r="B793" s="7"/>
      <c r="C793" s="62"/>
      <c r="D793" s="62"/>
    </row>
    <row r="794">
      <c r="B794" s="7"/>
      <c r="C794" s="62"/>
      <c r="D794" s="62"/>
    </row>
    <row r="795">
      <c r="B795" s="7"/>
      <c r="C795" s="62"/>
      <c r="D795" s="62"/>
    </row>
    <row r="796">
      <c r="B796" s="7"/>
      <c r="C796" s="62"/>
      <c r="D796" s="62"/>
    </row>
    <row r="797">
      <c r="B797" s="7"/>
      <c r="C797" s="62"/>
      <c r="D797" s="62"/>
    </row>
    <row r="798">
      <c r="B798" s="7"/>
      <c r="C798" s="62"/>
      <c r="D798" s="62"/>
    </row>
    <row r="799">
      <c r="B799" s="7"/>
      <c r="C799" s="62"/>
      <c r="D799" s="62"/>
    </row>
    <row r="800">
      <c r="B800" s="7"/>
      <c r="C800" s="62"/>
      <c r="D800" s="62"/>
    </row>
    <row r="801">
      <c r="B801" s="7"/>
      <c r="C801" s="62"/>
      <c r="D801" s="62"/>
    </row>
    <row r="802">
      <c r="B802" s="7"/>
      <c r="C802" s="62"/>
      <c r="D802" s="62"/>
    </row>
    <row r="803">
      <c r="B803" s="7"/>
      <c r="C803" s="62"/>
      <c r="D803" s="62"/>
    </row>
    <row r="804">
      <c r="B804" s="7"/>
      <c r="C804" s="62"/>
      <c r="D804" s="62"/>
    </row>
    <row r="805">
      <c r="B805" s="7"/>
      <c r="C805" s="62"/>
      <c r="D805" s="62"/>
    </row>
    <row r="806">
      <c r="B806" s="7"/>
      <c r="C806" s="62"/>
      <c r="D806" s="62"/>
    </row>
    <row r="807">
      <c r="B807" s="7"/>
      <c r="C807" s="62"/>
      <c r="D807" s="62"/>
    </row>
    <row r="808">
      <c r="B808" s="7"/>
      <c r="C808" s="62"/>
      <c r="D808" s="62"/>
    </row>
    <row r="809">
      <c r="B809" s="7"/>
      <c r="C809" s="62"/>
      <c r="D809" s="62"/>
    </row>
    <row r="810">
      <c r="B810" s="7"/>
      <c r="C810" s="62"/>
      <c r="D810" s="62"/>
    </row>
    <row r="811">
      <c r="B811" s="7"/>
      <c r="C811" s="62"/>
      <c r="D811" s="62"/>
    </row>
    <row r="812">
      <c r="B812" s="7"/>
      <c r="C812" s="62"/>
      <c r="D812" s="62"/>
    </row>
    <row r="813">
      <c r="B813" s="7"/>
      <c r="C813" s="62"/>
      <c r="D813" s="62"/>
    </row>
    <row r="814">
      <c r="B814" s="7"/>
      <c r="C814" s="62"/>
      <c r="D814" s="62"/>
    </row>
    <row r="815">
      <c r="B815" s="7"/>
      <c r="C815" s="62"/>
      <c r="D815" s="62"/>
    </row>
    <row r="816">
      <c r="B816" s="7"/>
      <c r="C816" s="62"/>
      <c r="D816" s="62"/>
    </row>
    <row r="817">
      <c r="B817" s="7"/>
      <c r="C817" s="62"/>
      <c r="D817" s="62"/>
    </row>
    <row r="818">
      <c r="B818" s="7"/>
      <c r="C818" s="62"/>
      <c r="D818" s="62"/>
    </row>
    <row r="819">
      <c r="B819" s="7"/>
      <c r="C819" s="62"/>
      <c r="D819" s="62"/>
    </row>
    <row r="820">
      <c r="B820" s="7"/>
      <c r="C820" s="62"/>
      <c r="D820" s="62"/>
    </row>
    <row r="821">
      <c r="B821" s="7"/>
      <c r="C821" s="62"/>
      <c r="D821" s="62"/>
    </row>
    <row r="822">
      <c r="B822" s="7"/>
      <c r="C822" s="62"/>
      <c r="D822" s="62"/>
    </row>
    <row r="823">
      <c r="B823" s="7"/>
      <c r="C823" s="62"/>
      <c r="D823" s="62"/>
    </row>
    <row r="824">
      <c r="B824" s="7"/>
      <c r="C824" s="62"/>
      <c r="D824" s="62"/>
    </row>
    <row r="825">
      <c r="B825" s="7"/>
      <c r="C825" s="62"/>
      <c r="D825" s="62"/>
    </row>
    <row r="826">
      <c r="B826" s="7"/>
      <c r="C826" s="62"/>
      <c r="D826" s="62"/>
    </row>
    <row r="827">
      <c r="B827" s="7"/>
      <c r="C827" s="62"/>
      <c r="D827" s="62"/>
    </row>
    <row r="828">
      <c r="B828" s="7"/>
      <c r="C828" s="62"/>
      <c r="D828" s="62"/>
    </row>
    <row r="829">
      <c r="B829" s="7"/>
      <c r="C829" s="62"/>
      <c r="D829" s="62"/>
    </row>
    <row r="830">
      <c r="B830" s="7"/>
      <c r="C830" s="62"/>
      <c r="D830" s="62"/>
    </row>
    <row r="831">
      <c r="B831" s="7"/>
      <c r="C831" s="62"/>
      <c r="D831" s="62"/>
    </row>
    <row r="832">
      <c r="B832" s="7"/>
      <c r="C832" s="62"/>
      <c r="D832" s="62"/>
    </row>
    <row r="833">
      <c r="B833" s="7"/>
      <c r="C833" s="62"/>
      <c r="D833" s="62"/>
    </row>
    <row r="834">
      <c r="B834" s="7"/>
      <c r="C834" s="62"/>
      <c r="D834" s="62"/>
    </row>
    <row r="835">
      <c r="B835" s="7"/>
      <c r="C835" s="62"/>
      <c r="D835" s="62"/>
    </row>
    <row r="836">
      <c r="B836" s="7"/>
      <c r="C836" s="62"/>
      <c r="D836" s="62"/>
    </row>
    <row r="837">
      <c r="B837" s="7"/>
      <c r="C837" s="62"/>
      <c r="D837" s="62"/>
    </row>
    <row r="838">
      <c r="B838" s="7"/>
      <c r="C838" s="62"/>
      <c r="D838" s="62"/>
    </row>
    <row r="839">
      <c r="B839" s="7"/>
      <c r="C839" s="62"/>
      <c r="D839" s="62"/>
    </row>
    <row r="840">
      <c r="B840" s="7"/>
      <c r="C840" s="62"/>
      <c r="D840" s="62"/>
    </row>
    <row r="841">
      <c r="B841" s="7"/>
      <c r="C841" s="62"/>
      <c r="D841" s="62"/>
    </row>
    <row r="842">
      <c r="B842" s="7"/>
      <c r="C842" s="62"/>
      <c r="D842" s="62"/>
    </row>
    <row r="843">
      <c r="B843" s="7"/>
      <c r="C843" s="62"/>
      <c r="D843" s="62"/>
    </row>
    <row r="844">
      <c r="B844" s="7"/>
      <c r="C844" s="62"/>
      <c r="D844" s="62"/>
    </row>
    <row r="845">
      <c r="B845" s="7"/>
      <c r="C845" s="62"/>
      <c r="D845" s="62"/>
    </row>
    <row r="846">
      <c r="B846" s="7"/>
      <c r="C846" s="62"/>
      <c r="D846" s="62"/>
    </row>
    <row r="847">
      <c r="B847" s="7"/>
      <c r="C847" s="62"/>
      <c r="D847" s="62"/>
    </row>
    <row r="848">
      <c r="B848" s="7"/>
      <c r="C848" s="62"/>
      <c r="D848" s="62"/>
    </row>
    <row r="849">
      <c r="B849" s="7"/>
      <c r="C849" s="62"/>
      <c r="D849" s="62"/>
    </row>
    <row r="850">
      <c r="B850" s="7"/>
      <c r="C850" s="62"/>
      <c r="D850" s="62"/>
    </row>
    <row r="851">
      <c r="B851" s="7"/>
      <c r="C851" s="62"/>
      <c r="D851" s="62"/>
    </row>
    <row r="852">
      <c r="B852" s="7"/>
      <c r="C852" s="62"/>
      <c r="D852" s="62"/>
    </row>
    <row r="853">
      <c r="B853" s="7"/>
      <c r="C853" s="62"/>
      <c r="D853" s="62"/>
    </row>
    <row r="854">
      <c r="B854" s="7"/>
      <c r="C854" s="62"/>
      <c r="D854" s="62"/>
    </row>
    <row r="855">
      <c r="B855" s="7"/>
      <c r="C855" s="62"/>
      <c r="D855" s="62"/>
    </row>
    <row r="856">
      <c r="B856" s="7"/>
      <c r="C856" s="62"/>
      <c r="D856" s="62"/>
    </row>
    <row r="857">
      <c r="B857" s="7"/>
      <c r="C857" s="62"/>
      <c r="D857" s="62"/>
    </row>
    <row r="858">
      <c r="B858" s="7"/>
      <c r="C858" s="62"/>
      <c r="D858" s="62"/>
    </row>
    <row r="859">
      <c r="B859" s="7"/>
      <c r="C859" s="62"/>
      <c r="D859" s="62"/>
    </row>
    <row r="860">
      <c r="B860" s="7"/>
      <c r="C860" s="62"/>
      <c r="D860" s="62"/>
    </row>
    <row r="861">
      <c r="B861" s="7"/>
      <c r="C861" s="62"/>
      <c r="D861" s="62"/>
    </row>
    <row r="862">
      <c r="B862" s="7"/>
      <c r="C862" s="62"/>
      <c r="D862" s="62"/>
    </row>
    <row r="863">
      <c r="B863" s="7"/>
      <c r="C863" s="62"/>
      <c r="D863" s="62"/>
    </row>
    <row r="864">
      <c r="B864" s="7"/>
      <c r="C864" s="62"/>
      <c r="D864" s="62"/>
    </row>
    <row r="865">
      <c r="B865" s="7"/>
      <c r="C865" s="62"/>
      <c r="D865" s="62"/>
    </row>
    <row r="866">
      <c r="B866" s="7"/>
      <c r="C866" s="62"/>
      <c r="D866" s="62"/>
    </row>
    <row r="867">
      <c r="B867" s="7"/>
      <c r="C867" s="62"/>
      <c r="D867" s="62"/>
    </row>
    <row r="868">
      <c r="B868" s="7"/>
      <c r="C868" s="62"/>
      <c r="D868" s="62"/>
    </row>
    <row r="869">
      <c r="B869" s="7"/>
      <c r="C869" s="62"/>
      <c r="D869" s="62"/>
    </row>
    <row r="870">
      <c r="B870" s="7"/>
      <c r="C870" s="62"/>
      <c r="D870" s="62"/>
    </row>
    <row r="871">
      <c r="B871" s="7"/>
      <c r="C871" s="62"/>
      <c r="D871" s="62"/>
    </row>
    <row r="872">
      <c r="B872" s="7"/>
      <c r="C872" s="62"/>
      <c r="D872" s="62"/>
    </row>
    <row r="873">
      <c r="B873" s="7"/>
      <c r="C873" s="62"/>
      <c r="D873" s="62"/>
    </row>
    <row r="874">
      <c r="B874" s="7"/>
      <c r="C874" s="62"/>
      <c r="D874" s="62"/>
    </row>
    <row r="875">
      <c r="B875" s="7"/>
      <c r="C875" s="62"/>
      <c r="D875" s="62"/>
    </row>
    <row r="876">
      <c r="B876" s="7"/>
      <c r="C876" s="62"/>
      <c r="D876" s="62"/>
    </row>
    <row r="877">
      <c r="B877" s="7"/>
      <c r="C877" s="62"/>
      <c r="D877" s="62"/>
    </row>
    <row r="878">
      <c r="B878" s="7"/>
      <c r="C878" s="62"/>
      <c r="D878" s="62"/>
    </row>
    <row r="879">
      <c r="B879" s="7"/>
      <c r="C879" s="62"/>
      <c r="D879" s="62"/>
    </row>
    <row r="880">
      <c r="B880" s="7"/>
      <c r="C880" s="62"/>
      <c r="D880" s="62"/>
    </row>
    <row r="881">
      <c r="B881" s="7"/>
      <c r="C881" s="62"/>
      <c r="D881" s="62"/>
    </row>
    <row r="882">
      <c r="B882" s="7"/>
      <c r="C882" s="62"/>
      <c r="D882" s="62"/>
    </row>
    <row r="883">
      <c r="B883" s="7"/>
      <c r="C883" s="62"/>
      <c r="D883" s="62"/>
    </row>
    <row r="884">
      <c r="B884" s="7"/>
      <c r="C884" s="62"/>
      <c r="D884" s="62"/>
    </row>
    <row r="885">
      <c r="B885" s="7"/>
      <c r="C885" s="62"/>
      <c r="D885" s="62"/>
    </row>
    <row r="886">
      <c r="B886" s="7"/>
      <c r="C886" s="62"/>
      <c r="D886" s="62"/>
    </row>
    <row r="887">
      <c r="B887" s="7"/>
      <c r="C887" s="62"/>
      <c r="D887" s="62"/>
    </row>
    <row r="888">
      <c r="B888" s="7"/>
      <c r="C888" s="62"/>
      <c r="D888" s="62"/>
    </row>
    <row r="889">
      <c r="B889" s="7"/>
      <c r="C889" s="62"/>
      <c r="D889" s="62"/>
    </row>
    <row r="890">
      <c r="B890" s="7"/>
      <c r="C890" s="62"/>
      <c r="D890" s="62"/>
    </row>
    <row r="891">
      <c r="B891" s="7"/>
      <c r="C891" s="62"/>
      <c r="D891" s="62"/>
    </row>
    <row r="892">
      <c r="B892" s="7"/>
      <c r="C892" s="62"/>
      <c r="D892" s="62"/>
    </row>
    <row r="893">
      <c r="B893" s="7"/>
      <c r="C893" s="62"/>
      <c r="D893" s="62"/>
    </row>
    <row r="894">
      <c r="B894" s="7"/>
      <c r="C894" s="62"/>
      <c r="D894" s="62"/>
    </row>
    <row r="895">
      <c r="B895" s="7"/>
      <c r="C895" s="62"/>
      <c r="D895" s="62"/>
    </row>
    <row r="896">
      <c r="B896" s="7"/>
      <c r="C896" s="62"/>
      <c r="D896" s="62"/>
    </row>
    <row r="897">
      <c r="B897" s="7"/>
      <c r="C897" s="62"/>
      <c r="D897" s="62"/>
    </row>
    <row r="898">
      <c r="B898" s="7"/>
      <c r="C898" s="62"/>
      <c r="D898" s="62"/>
    </row>
    <row r="899">
      <c r="B899" s="7"/>
      <c r="C899" s="62"/>
      <c r="D899" s="62"/>
    </row>
    <row r="900">
      <c r="B900" s="7"/>
      <c r="C900" s="62"/>
      <c r="D900" s="62"/>
    </row>
    <row r="901">
      <c r="B901" s="7"/>
      <c r="C901" s="62"/>
      <c r="D901" s="62"/>
    </row>
    <row r="902">
      <c r="B902" s="7"/>
      <c r="C902" s="62"/>
      <c r="D902" s="62"/>
    </row>
    <row r="903">
      <c r="B903" s="7"/>
      <c r="C903" s="62"/>
      <c r="D903" s="62"/>
    </row>
    <row r="904">
      <c r="B904" s="7"/>
      <c r="C904" s="62"/>
      <c r="D904" s="62"/>
    </row>
    <row r="905">
      <c r="B905" s="7"/>
      <c r="C905" s="62"/>
      <c r="D905" s="62"/>
    </row>
    <row r="906">
      <c r="B906" s="7"/>
      <c r="C906" s="62"/>
      <c r="D906" s="62"/>
    </row>
    <row r="907">
      <c r="B907" s="7"/>
      <c r="C907" s="62"/>
      <c r="D907" s="62"/>
    </row>
    <row r="908">
      <c r="B908" s="7"/>
      <c r="C908" s="62"/>
      <c r="D908" s="62"/>
    </row>
    <row r="909">
      <c r="B909" s="7"/>
      <c r="C909" s="62"/>
      <c r="D909" s="62"/>
    </row>
    <row r="910">
      <c r="B910" s="7"/>
      <c r="C910" s="62"/>
      <c r="D910" s="62"/>
    </row>
    <row r="911">
      <c r="B911" s="7"/>
      <c r="C911" s="62"/>
      <c r="D911" s="62"/>
    </row>
    <row r="912">
      <c r="B912" s="7"/>
      <c r="C912" s="62"/>
      <c r="D912" s="62"/>
    </row>
    <row r="913">
      <c r="B913" s="7"/>
      <c r="C913" s="62"/>
      <c r="D913" s="62"/>
    </row>
    <row r="914">
      <c r="B914" s="7"/>
      <c r="C914" s="62"/>
      <c r="D914" s="62"/>
    </row>
    <row r="915">
      <c r="B915" s="7"/>
      <c r="C915" s="62"/>
      <c r="D915" s="62"/>
    </row>
    <row r="916">
      <c r="B916" s="7"/>
      <c r="C916" s="62"/>
      <c r="D916" s="62"/>
    </row>
    <row r="917">
      <c r="B917" s="7"/>
      <c r="C917" s="62"/>
      <c r="D917" s="62"/>
    </row>
    <row r="918">
      <c r="B918" s="7"/>
      <c r="C918" s="62"/>
      <c r="D918" s="62"/>
    </row>
    <row r="919">
      <c r="B919" s="7"/>
      <c r="C919" s="62"/>
      <c r="D919" s="62"/>
    </row>
    <row r="920">
      <c r="B920" s="7"/>
      <c r="C920" s="62"/>
      <c r="D920" s="62"/>
    </row>
    <row r="921">
      <c r="B921" s="7"/>
      <c r="C921" s="62"/>
      <c r="D921" s="62"/>
    </row>
    <row r="922">
      <c r="B922" s="7"/>
      <c r="C922" s="62"/>
      <c r="D922" s="62"/>
    </row>
    <row r="923">
      <c r="B923" s="7"/>
      <c r="C923" s="62"/>
      <c r="D923" s="62"/>
    </row>
    <row r="924">
      <c r="B924" s="7"/>
      <c r="C924" s="62"/>
      <c r="D924" s="62"/>
    </row>
    <row r="925">
      <c r="B925" s="7"/>
      <c r="C925" s="62"/>
      <c r="D925" s="62"/>
    </row>
    <row r="926">
      <c r="B926" s="7"/>
      <c r="C926" s="62"/>
      <c r="D926" s="62"/>
    </row>
    <row r="927">
      <c r="B927" s="7"/>
      <c r="C927" s="62"/>
      <c r="D927" s="62"/>
    </row>
    <row r="928">
      <c r="B928" s="7"/>
      <c r="C928" s="62"/>
      <c r="D928" s="62"/>
    </row>
    <row r="929">
      <c r="B929" s="7"/>
      <c r="C929" s="62"/>
      <c r="D929" s="62"/>
    </row>
    <row r="930">
      <c r="B930" s="7"/>
      <c r="C930" s="62"/>
      <c r="D930" s="62"/>
    </row>
    <row r="931">
      <c r="B931" s="7"/>
      <c r="C931" s="62"/>
      <c r="D931" s="62"/>
    </row>
    <row r="932">
      <c r="B932" s="7"/>
      <c r="C932" s="62"/>
      <c r="D932" s="62"/>
    </row>
    <row r="933">
      <c r="B933" s="7"/>
      <c r="C933" s="62"/>
      <c r="D933" s="62"/>
    </row>
    <row r="934">
      <c r="B934" s="7"/>
      <c r="C934" s="62"/>
      <c r="D934" s="62"/>
    </row>
    <row r="935">
      <c r="B935" s="7"/>
      <c r="C935" s="62"/>
      <c r="D935" s="62"/>
    </row>
    <row r="936">
      <c r="B936" s="7"/>
      <c r="C936" s="62"/>
      <c r="D936" s="62"/>
    </row>
    <row r="937">
      <c r="B937" s="7"/>
      <c r="C937" s="62"/>
      <c r="D937" s="62"/>
    </row>
    <row r="938">
      <c r="B938" s="7"/>
      <c r="C938" s="62"/>
      <c r="D938" s="62"/>
    </row>
    <row r="939">
      <c r="B939" s="7"/>
      <c r="C939" s="62"/>
      <c r="D939" s="62"/>
    </row>
    <row r="940">
      <c r="B940" s="7"/>
      <c r="C940" s="62"/>
      <c r="D940" s="62"/>
    </row>
    <row r="941">
      <c r="B941" s="7"/>
      <c r="C941" s="62"/>
      <c r="D941" s="62"/>
    </row>
    <row r="942">
      <c r="B942" s="7"/>
      <c r="C942" s="62"/>
      <c r="D942" s="62"/>
    </row>
    <row r="943">
      <c r="B943" s="7"/>
      <c r="C943" s="62"/>
      <c r="D943" s="62"/>
    </row>
    <row r="944">
      <c r="B944" s="7"/>
      <c r="C944" s="62"/>
      <c r="D944" s="62"/>
    </row>
    <row r="945">
      <c r="B945" s="7"/>
      <c r="C945" s="62"/>
      <c r="D945" s="62"/>
    </row>
    <row r="946">
      <c r="B946" s="7"/>
      <c r="C946" s="62"/>
      <c r="D946" s="62"/>
    </row>
    <row r="947">
      <c r="B947" s="7"/>
      <c r="C947" s="62"/>
      <c r="D947" s="62"/>
    </row>
    <row r="948">
      <c r="B948" s="7"/>
      <c r="C948" s="62"/>
      <c r="D948" s="62"/>
    </row>
    <row r="949">
      <c r="B949" s="7"/>
      <c r="C949" s="62"/>
      <c r="D949" s="62"/>
    </row>
    <row r="950">
      <c r="B950" s="7"/>
      <c r="C950" s="62"/>
      <c r="D950" s="62"/>
    </row>
    <row r="951">
      <c r="B951" s="7"/>
      <c r="C951" s="62"/>
      <c r="D951" s="62"/>
    </row>
    <row r="952">
      <c r="B952" s="7"/>
      <c r="C952" s="62"/>
      <c r="D952" s="62"/>
    </row>
    <row r="953">
      <c r="B953" s="7"/>
      <c r="C953" s="62"/>
      <c r="D953" s="62"/>
    </row>
    <row r="954">
      <c r="B954" s="7"/>
      <c r="C954" s="62"/>
      <c r="D954" s="62"/>
    </row>
    <row r="955">
      <c r="B955" s="7"/>
      <c r="C955" s="62"/>
      <c r="D955" s="62"/>
    </row>
    <row r="956">
      <c r="B956" s="7"/>
      <c r="C956" s="62"/>
      <c r="D956" s="62"/>
    </row>
    <row r="957">
      <c r="B957" s="7"/>
      <c r="C957" s="62"/>
      <c r="D957" s="62"/>
    </row>
    <row r="958">
      <c r="B958" s="7"/>
      <c r="C958" s="62"/>
      <c r="D958" s="62"/>
    </row>
    <row r="959">
      <c r="B959" s="7"/>
      <c r="C959" s="62"/>
      <c r="D959" s="62"/>
    </row>
    <row r="960">
      <c r="B960" s="7"/>
      <c r="C960" s="62"/>
      <c r="D960" s="62"/>
    </row>
    <row r="961">
      <c r="B961" s="7"/>
      <c r="C961" s="62"/>
      <c r="D961" s="62"/>
    </row>
    <row r="962">
      <c r="B962" s="7"/>
      <c r="C962" s="62"/>
      <c r="D962" s="62"/>
    </row>
    <row r="963">
      <c r="B963" s="7"/>
      <c r="C963" s="62"/>
      <c r="D963" s="62"/>
    </row>
    <row r="964">
      <c r="B964" s="7"/>
      <c r="C964" s="62"/>
      <c r="D964" s="62"/>
    </row>
    <row r="965">
      <c r="B965" s="7"/>
      <c r="C965" s="62"/>
      <c r="D965" s="62"/>
    </row>
    <row r="966">
      <c r="B966" s="7"/>
      <c r="C966" s="62"/>
      <c r="D966" s="62"/>
    </row>
    <row r="967">
      <c r="B967" s="7"/>
      <c r="C967" s="62"/>
      <c r="D967" s="62"/>
    </row>
    <row r="968">
      <c r="B968" s="7"/>
      <c r="C968" s="62"/>
      <c r="D968" s="62"/>
    </row>
    <row r="969">
      <c r="B969" s="7"/>
      <c r="C969" s="62"/>
      <c r="D969" s="62"/>
    </row>
    <row r="970">
      <c r="B970" s="7"/>
      <c r="C970" s="62"/>
      <c r="D970" s="62"/>
    </row>
    <row r="971">
      <c r="B971" s="7"/>
      <c r="C971" s="62"/>
      <c r="D971" s="62"/>
    </row>
    <row r="972">
      <c r="B972" s="7"/>
      <c r="C972" s="62"/>
      <c r="D972" s="62"/>
    </row>
    <row r="973">
      <c r="B973" s="7"/>
      <c r="C973" s="62"/>
      <c r="D973" s="62"/>
    </row>
    <row r="974">
      <c r="B974" s="7"/>
      <c r="C974" s="62"/>
      <c r="D974" s="62"/>
    </row>
    <row r="975">
      <c r="B975" s="7"/>
      <c r="C975" s="62"/>
      <c r="D975" s="62"/>
    </row>
    <row r="976">
      <c r="B976" s="7"/>
      <c r="C976" s="62"/>
      <c r="D976" s="62"/>
    </row>
    <row r="977">
      <c r="B977" s="7"/>
      <c r="C977" s="62"/>
      <c r="D977" s="62"/>
    </row>
    <row r="978">
      <c r="B978" s="7"/>
      <c r="C978" s="62"/>
      <c r="D978" s="62"/>
    </row>
    <row r="979">
      <c r="B979" s="7"/>
      <c r="C979" s="62"/>
      <c r="D979" s="62"/>
    </row>
    <row r="980">
      <c r="B980" s="7"/>
      <c r="C980" s="62"/>
      <c r="D980" s="62"/>
    </row>
    <row r="981">
      <c r="B981" s="7"/>
      <c r="C981" s="62"/>
      <c r="D981" s="62"/>
    </row>
    <row r="982">
      <c r="B982" s="7"/>
      <c r="C982" s="62"/>
      <c r="D982" s="62"/>
    </row>
    <row r="983">
      <c r="B983" s="7"/>
      <c r="C983" s="62"/>
      <c r="D983" s="62"/>
    </row>
    <row r="984">
      <c r="B984" s="7"/>
      <c r="C984" s="62"/>
      <c r="D984" s="62"/>
    </row>
    <row r="985">
      <c r="B985" s="7"/>
      <c r="C985" s="62"/>
      <c r="D985" s="62"/>
    </row>
    <row r="986">
      <c r="B986" s="7"/>
      <c r="C986" s="62"/>
      <c r="D986" s="62"/>
    </row>
    <row r="987">
      <c r="B987" s="7"/>
      <c r="C987" s="62"/>
      <c r="D987" s="62"/>
    </row>
    <row r="988">
      <c r="B988" s="7"/>
      <c r="C988" s="62"/>
      <c r="D988" s="62"/>
    </row>
    <row r="989">
      <c r="B989" s="7"/>
      <c r="C989" s="62"/>
      <c r="D989" s="62"/>
    </row>
    <row r="990">
      <c r="B990" s="7"/>
      <c r="C990" s="62"/>
      <c r="D990" s="62"/>
    </row>
    <row r="991">
      <c r="B991" s="7"/>
      <c r="C991" s="62"/>
      <c r="D991" s="62"/>
    </row>
    <row r="992">
      <c r="B992" s="7"/>
      <c r="C992" s="62"/>
      <c r="D992" s="62"/>
    </row>
    <row r="993">
      <c r="B993" s="7"/>
      <c r="C993" s="62"/>
      <c r="D993" s="62"/>
    </row>
    <row r="994">
      <c r="B994" s="7"/>
      <c r="C994" s="62"/>
      <c r="D994" s="62"/>
    </row>
    <row r="995">
      <c r="B995" s="7"/>
      <c r="C995" s="62"/>
      <c r="D995" s="62"/>
    </row>
    <row r="996">
      <c r="B996" s="7"/>
      <c r="C996" s="62"/>
      <c r="D996" s="62"/>
    </row>
    <row r="997">
      <c r="B997" s="7"/>
      <c r="C997" s="62"/>
      <c r="D997" s="62"/>
    </row>
    <row r="998">
      <c r="B998" s="7"/>
      <c r="C998" s="62"/>
      <c r="D998" s="62"/>
    </row>
    <row r="999">
      <c r="B999" s="7"/>
      <c r="C999" s="62"/>
      <c r="D999" s="62"/>
    </row>
    <row r="1000">
      <c r="B1000" s="7"/>
      <c r="C1000" s="62"/>
      <c r="D1000" s="62"/>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workbookViewId="0"/>
  </sheetViews>
  <sheetFormatPr customHeight="1" defaultColWidth="14.43" defaultRowHeight="15.75"/>
  <sheetData>
    <row r="1">
      <c r="A1" s="199" t="s">
        <v>1208</v>
      </c>
      <c r="B1" s="2" t="s">
        <v>4700</v>
      </c>
      <c r="C1" s="2" t="s">
        <v>4689</v>
      </c>
      <c r="D1" s="2" t="s">
        <v>7</v>
      </c>
      <c r="E1" s="2" t="s">
        <v>8</v>
      </c>
      <c r="F1" s="2" t="s">
        <v>4701</v>
      </c>
    </row>
    <row r="3">
      <c r="A3" s="2" t="s">
        <v>675</v>
      </c>
      <c r="D3" s="2" t="s">
        <v>677</v>
      </c>
      <c r="E3" s="2" t="s">
        <v>453</v>
      </c>
    </row>
    <row r="4">
      <c r="A4" s="2" t="s">
        <v>4702</v>
      </c>
      <c r="D4" s="2" t="s">
        <v>1243</v>
      </c>
    </row>
  </sheetData>
  <autoFilter ref="$A$1:$Z$1000"/>
  <customSheetViews>
    <customSheetView guid="{2C6E081C-0917-46F4-AF32-DAB81C336D25}" filter="1" showAutoFilter="1">
      <autoFilter ref="$A$1:$Z$1000"/>
    </customSheetView>
    <customSheetView guid="{4E5A523E-B912-43FC-BFE5-D92DEF2D07F8}" filter="1" showAutoFilter="1">
      <autoFilter ref="$A$1:$Z$1000"/>
    </customSheetView>
  </customSheetView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0"/>
    <col customWidth="1" min="3" max="4" width="41.43"/>
    <col customWidth="1" min="5" max="5" width="21.71"/>
    <col customWidth="1" min="6" max="6" width="27.14"/>
  </cols>
  <sheetData>
    <row r="1">
      <c r="A1" s="4" t="s">
        <v>3</v>
      </c>
      <c r="B1" s="5" t="s">
        <v>4</v>
      </c>
      <c r="C1" s="5" t="s">
        <v>5</v>
      </c>
      <c r="D1" s="5" t="s">
        <v>6</v>
      </c>
      <c r="E1" s="5" t="s">
        <v>7</v>
      </c>
      <c r="F1" s="5" t="s">
        <v>8</v>
      </c>
    </row>
    <row r="2">
      <c r="A2" s="6"/>
      <c r="B2" s="6" t="s">
        <v>9</v>
      </c>
      <c r="C2" s="7"/>
      <c r="D2" s="7"/>
      <c r="E2" s="7"/>
      <c r="F2" s="7"/>
    </row>
    <row r="3">
      <c r="C3" s="6" t="s">
        <v>10</v>
      </c>
      <c r="D3" s="8" t="s">
        <v>11</v>
      </c>
      <c r="E3" s="9" t="s">
        <v>12</v>
      </c>
      <c r="F3" s="9" t="s">
        <v>13</v>
      </c>
    </row>
    <row r="4">
      <c r="A4" s="2" t="s">
        <v>14</v>
      </c>
      <c r="E4" s="10" t="s">
        <v>15</v>
      </c>
      <c r="F4" s="10" t="s">
        <v>16</v>
      </c>
    </row>
    <row r="5">
      <c r="A5" s="2" t="s">
        <v>14</v>
      </c>
      <c r="C5" s="6" t="s">
        <v>17</v>
      </c>
      <c r="D5" s="8" t="s">
        <v>18</v>
      </c>
      <c r="E5" s="10" t="s">
        <v>15</v>
      </c>
      <c r="F5" s="10" t="s">
        <v>16</v>
      </c>
    </row>
    <row r="6">
      <c r="A6" s="11" t="s">
        <v>19</v>
      </c>
      <c r="D6" s="8" t="s">
        <v>20</v>
      </c>
      <c r="E6" s="9" t="s">
        <v>21</v>
      </c>
      <c r="F6" s="9" t="s">
        <v>22</v>
      </c>
    </row>
    <row r="7">
      <c r="A7" s="2" t="s">
        <v>23</v>
      </c>
      <c r="C7" s="6" t="s">
        <v>24</v>
      </c>
      <c r="D7" s="8" t="s">
        <v>25</v>
      </c>
      <c r="E7" s="9" t="s">
        <v>26</v>
      </c>
      <c r="F7" s="9" t="s">
        <v>27</v>
      </c>
    </row>
    <row r="8">
      <c r="A8" s="12" t="s">
        <v>28</v>
      </c>
      <c r="B8" s="7"/>
      <c r="E8" s="9" t="s">
        <v>29</v>
      </c>
      <c r="F8" s="9" t="s">
        <v>30</v>
      </c>
    </row>
    <row r="9">
      <c r="A9" s="12" t="s">
        <v>31</v>
      </c>
      <c r="B9" s="7"/>
      <c r="E9" s="9" t="s">
        <v>32</v>
      </c>
      <c r="F9" s="9" t="s">
        <v>33</v>
      </c>
    </row>
    <row r="10">
      <c r="A10" s="12" t="s">
        <v>34</v>
      </c>
      <c r="B10" s="7"/>
      <c r="E10" s="9" t="s">
        <v>35</v>
      </c>
      <c r="F10" s="9" t="s">
        <v>36</v>
      </c>
    </row>
    <row r="11">
      <c r="A11" s="13" t="s">
        <v>37</v>
      </c>
      <c r="B11" s="7"/>
      <c r="D11" s="8" t="s">
        <v>38</v>
      </c>
      <c r="E11" s="9" t="s">
        <v>39</v>
      </c>
      <c r="F11" s="9" t="s">
        <v>40</v>
      </c>
    </row>
    <row r="12">
      <c r="A12" s="12" t="s">
        <v>41</v>
      </c>
      <c r="B12" s="7"/>
      <c r="D12" s="8" t="s">
        <v>42</v>
      </c>
      <c r="E12" s="9" t="s">
        <v>43</v>
      </c>
      <c r="F12" s="9" t="s">
        <v>44</v>
      </c>
    </row>
    <row r="13">
      <c r="A13" s="12" t="s">
        <v>45</v>
      </c>
      <c r="B13" s="7"/>
      <c r="C13" s="6" t="s">
        <v>46</v>
      </c>
      <c r="D13" s="8" t="s">
        <v>47</v>
      </c>
      <c r="E13" s="9" t="s">
        <v>48</v>
      </c>
      <c r="F13" s="9" t="s">
        <v>49</v>
      </c>
    </row>
    <row r="14">
      <c r="A14" s="12" t="s">
        <v>50</v>
      </c>
      <c r="B14" s="7"/>
      <c r="E14" s="9" t="s">
        <v>51</v>
      </c>
      <c r="F14" s="9" t="s">
        <v>52</v>
      </c>
    </row>
    <row r="15">
      <c r="A15" s="12" t="s">
        <v>53</v>
      </c>
      <c r="B15" s="7"/>
      <c r="E15" s="9" t="s">
        <v>54</v>
      </c>
      <c r="F15" s="9" t="s">
        <v>55</v>
      </c>
    </row>
    <row r="16">
      <c r="A16" s="12" t="s">
        <v>56</v>
      </c>
      <c r="B16" s="7"/>
      <c r="E16" s="9" t="s">
        <v>57</v>
      </c>
      <c r="F16" s="9" t="s">
        <v>58</v>
      </c>
    </row>
    <row r="17">
      <c r="A17" s="12" t="s">
        <v>59</v>
      </c>
      <c r="B17" s="7"/>
      <c r="E17" s="9" t="s">
        <v>60</v>
      </c>
      <c r="F17" s="9" t="s">
        <v>61</v>
      </c>
    </row>
    <row r="18">
      <c r="A18" s="12" t="s">
        <v>62</v>
      </c>
      <c r="B18" s="7"/>
      <c r="E18" s="9" t="s">
        <v>63</v>
      </c>
      <c r="F18" s="9" t="s">
        <v>64</v>
      </c>
    </row>
    <row r="19">
      <c r="A19" s="12" t="s">
        <v>65</v>
      </c>
      <c r="B19" s="7"/>
      <c r="E19" s="12" t="s">
        <v>66</v>
      </c>
      <c r="F19" s="9" t="s">
        <v>67</v>
      </c>
    </row>
    <row r="20">
      <c r="A20" s="12" t="s">
        <v>68</v>
      </c>
      <c r="B20" s="7"/>
      <c r="E20" s="9" t="s">
        <v>69</v>
      </c>
      <c r="F20" s="9" t="s">
        <v>70</v>
      </c>
    </row>
    <row r="21">
      <c r="A21" s="12" t="s">
        <v>71</v>
      </c>
      <c r="B21" s="7"/>
      <c r="C21" s="6" t="s">
        <v>46</v>
      </c>
      <c r="D21" s="8" t="s">
        <v>72</v>
      </c>
      <c r="E21" s="9" t="s">
        <v>73</v>
      </c>
      <c r="F21" s="9" t="s">
        <v>74</v>
      </c>
    </row>
    <row r="22">
      <c r="A22" s="12" t="s">
        <v>75</v>
      </c>
      <c r="B22" s="7"/>
      <c r="E22" s="9" t="s">
        <v>76</v>
      </c>
      <c r="F22" s="9" t="s">
        <v>77</v>
      </c>
    </row>
    <row r="23">
      <c r="A23" s="12" t="s">
        <v>78</v>
      </c>
      <c r="B23" s="7"/>
      <c r="E23" s="9" t="s">
        <v>79</v>
      </c>
      <c r="F23" s="9" t="s">
        <v>80</v>
      </c>
    </row>
    <row r="24">
      <c r="A24" s="12" t="s">
        <v>81</v>
      </c>
      <c r="B24" s="7"/>
      <c r="C24" s="6" t="s">
        <v>82</v>
      </c>
      <c r="D24" s="8" t="s">
        <v>83</v>
      </c>
      <c r="E24" s="9" t="s">
        <v>84</v>
      </c>
      <c r="F24" s="9" t="s">
        <v>85</v>
      </c>
    </row>
    <row r="25">
      <c r="A25" s="12" t="s">
        <v>86</v>
      </c>
      <c r="B25" s="7"/>
      <c r="E25" s="9" t="s">
        <v>87</v>
      </c>
      <c r="F25" s="9" t="s">
        <v>88</v>
      </c>
    </row>
    <row r="26">
      <c r="A26" s="12" t="s">
        <v>89</v>
      </c>
      <c r="B26" s="7"/>
      <c r="E26" s="9" t="s">
        <v>90</v>
      </c>
      <c r="F26" s="9" t="s">
        <v>91</v>
      </c>
    </row>
    <row r="27">
      <c r="A27" s="12" t="s">
        <v>92</v>
      </c>
      <c r="B27" s="7"/>
      <c r="E27" s="9" t="s">
        <v>93</v>
      </c>
      <c r="F27" s="9" t="s">
        <v>94</v>
      </c>
    </row>
    <row r="28">
      <c r="A28" s="12" t="s">
        <v>95</v>
      </c>
      <c r="B28" s="7"/>
      <c r="E28" s="9" t="s">
        <v>96</v>
      </c>
      <c r="F28" s="9" t="s">
        <v>97</v>
      </c>
    </row>
    <row r="29">
      <c r="A29" s="12" t="s">
        <v>98</v>
      </c>
      <c r="B29" s="7"/>
      <c r="E29" s="9" t="s">
        <v>99</v>
      </c>
      <c r="F29" s="9" t="s">
        <v>100</v>
      </c>
    </row>
    <row r="30">
      <c r="A30" s="14"/>
      <c r="B30" s="7"/>
      <c r="C30" s="6" t="s">
        <v>82</v>
      </c>
      <c r="D30" s="8" t="s">
        <v>101</v>
      </c>
      <c r="E30" s="15" t="s">
        <v>102</v>
      </c>
      <c r="F30" s="15" t="s">
        <v>103</v>
      </c>
    </row>
    <row r="31">
      <c r="B31" s="7"/>
      <c r="E31" s="15" t="s">
        <v>104</v>
      </c>
      <c r="F31" s="15" t="s">
        <v>105</v>
      </c>
    </row>
    <row r="32">
      <c r="B32" s="7"/>
      <c r="E32" s="15" t="s">
        <v>106</v>
      </c>
      <c r="F32" s="15" t="s">
        <v>107</v>
      </c>
    </row>
    <row r="33">
      <c r="B33" s="7"/>
      <c r="E33" s="15" t="s">
        <v>108</v>
      </c>
      <c r="F33" s="15" t="s">
        <v>109</v>
      </c>
    </row>
    <row r="34">
      <c r="B34" s="7"/>
      <c r="E34" s="15" t="s">
        <v>110</v>
      </c>
      <c r="F34" s="15" t="s">
        <v>111</v>
      </c>
    </row>
    <row r="35">
      <c r="B35" s="7"/>
      <c r="E35" s="15" t="s">
        <v>112</v>
      </c>
      <c r="F35" s="15" t="s">
        <v>113</v>
      </c>
    </row>
    <row r="36">
      <c r="B36" s="7"/>
      <c r="E36" s="15" t="s">
        <v>114</v>
      </c>
      <c r="F36" s="15" t="s">
        <v>115</v>
      </c>
    </row>
    <row r="37">
      <c r="B37" s="7"/>
      <c r="E37" s="15" t="s">
        <v>116</v>
      </c>
      <c r="F37" s="15" t="s">
        <v>117</v>
      </c>
    </row>
    <row r="38">
      <c r="B38" s="7"/>
      <c r="E38" s="15" t="s">
        <v>118</v>
      </c>
      <c r="F38" s="15" t="s">
        <v>119</v>
      </c>
    </row>
    <row r="39">
      <c r="B39" s="7"/>
      <c r="E39" s="15" t="s">
        <v>120</v>
      </c>
      <c r="F39" s="15" t="s">
        <v>121</v>
      </c>
    </row>
    <row r="40">
      <c r="B40" s="7"/>
      <c r="E40" s="15" t="s">
        <v>122</v>
      </c>
      <c r="F40" s="15" t="s">
        <v>123</v>
      </c>
    </row>
    <row r="41">
      <c r="B41" s="7"/>
      <c r="E41" s="15" t="s">
        <v>124</v>
      </c>
      <c r="F41" s="15" t="s">
        <v>125</v>
      </c>
    </row>
    <row r="42">
      <c r="B42" s="7"/>
      <c r="C42" s="6" t="s">
        <v>82</v>
      </c>
      <c r="D42" s="8" t="s">
        <v>101</v>
      </c>
      <c r="E42" s="15" t="s">
        <v>126</v>
      </c>
      <c r="F42" s="15" t="s">
        <v>127</v>
      </c>
    </row>
    <row r="43">
      <c r="B43" s="7"/>
      <c r="E43" s="15" t="s">
        <v>128</v>
      </c>
      <c r="F43" s="15" t="s">
        <v>129</v>
      </c>
    </row>
    <row r="44">
      <c r="B44" s="7"/>
      <c r="E44" s="15" t="s">
        <v>130</v>
      </c>
      <c r="F44" s="15" t="s">
        <v>131</v>
      </c>
    </row>
    <row r="45">
      <c r="B45" s="7"/>
      <c r="C45" s="6" t="s">
        <v>82</v>
      </c>
      <c r="D45" s="8" t="s">
        <v>132</v>
      </c>
      <c r="E45" s="15" t="s">
        <v>133</v>
      </c>
      <c r="F45" s="15" t="s">
        <v>134</v>
      </c>
    </row>
    <row r="46">
      <c r="B46" s="7"/>
      <c r="E46" s="15" t="s">
        <v>135</v>
      </c>
      <c r="F46" s="15" t="s">
        <v>136</v>
      </c>
    </row>
    <row r="47">
      <c r="B47" s="7"/>
      <c r="E47" s="15" t="s">
        <v>137</v>
      </c>
      <c r="F47" s="15" t="s">
        <v>138</v>
      </c>
    </row>
    <row r="48">
      <c r="B48" s="7"/>
      <c r="E48" s="15" t="s">
        <v>139</v>
      </c>
      <c r="F48" s="15" t="s">
        <v>140</v>
      </c>
    </row>
    <row r="49">
      <c r="A49" s="7"/>
      <c r="B49" s="7"/>
      <c r="C49" s="6" t="s">
        <v>82</v>
      </c>
      <c r="D49" s="8" t="s">
        <v>141</v>
      </c>
      <c r="E49" s="16" t="s">
        <v>142</v>
      </c>
      <c r="F49" s="9" t="s">
        <v>143</v>
      </c>
    </row>
    <row r="50">
      <c r="A50" s="7"/>
      <c r="B50" s="7"/>
      <c r="E50" s="16" t="s">
        <v>144</v>
      </c>
      <c r="F50" s="9" t="s">
        <v>145</v>
      </c>
    </row>
    <row r="51">
      <c r="A51" s="7"/>
      <c r="B51" s="7"/>
      <c r="E51" s="16" t="s">
        <v>146</v>
      </c>
      <c r="F51" s="9" t="s">
        <v>147</v>
      </c>
    </row>
    <row r="52">
      <c r="A52" s="17" t="s">
        <v>148</v>
      </c>
      <c r="B52" s="7"/>
      <c r="C52" s="6" t="s">
        <v>82</v>
      </c>
      <c r="D52" s="8" t="s">
        <v>149</v>
      </c>
      <c r="E52" s="9" t="s">
        <v>150</v>
      </c>
      <c r="F52" s="9" t="s">
        <v>151</v>
      </c>
    </row>
    <row r="53">
      <c r="A53" s="12" t="s">
        <v>152</v>
      </c>
      <c r="B53" s="7"/>
      <c r="C53" s="18" t="s">
        <v>82</v>
      </c>
      <c r="D53" s="8" t="s">
        <v>153</v>
      </c>
      <c r="E53" s="9" t="s">
        <v>154</v>
      </c>
      <c r="F53" s="9" t="s">
        <v>155</v>
      </c>
    </row>
    <row r="54">
      <c r="A54" s="12" t="s">
        <v>156</v>
      </c>
      <c r="B54" s="7"/>
      <c r="C54" s="6" t="s">
        <v>82</v>
      </c>
      <c r="E54" s="9" t="s">
        <v>157</v>
      </c>
      <c r="F54" s="9" t="s">
        <v>158</v>
      </c>
    </row>
    <row r="55">
      <c r="A55" s="12" t="s">
        <v>159</v>
      </c>
      <c r="B55" s="7"/>
      <c r="E55" s="9" t="s">
        <v>160</v>
      </c>
      <c r="F55" s="9" t="s">
        <v>161</v>
      </c>
    </row>
    <row r="56">
      <c r="A56" s="12" t="s">
        <v>162</v>
      </c>
      <c r="B56" s="7"/>
      <c r="E56" s="9" t="s">
        <v>163</v>
      </c>
      <c r="F56" s="9" t="s">
        <v>164</v>
      </c>
    </row>
    <row r="57">
      <c r="A57" s="12" t="s">
        <v>165</v>
      </c>
      <c r="B57" s="7"/>
      <c r="E57" s="9" t="s">
        <v>166</v>
      </c>
      <c r="F57" s="9" t="s">
        <v>167</v>
      </c>
    </row>
    <row r="58">
      <c r="A58" s="12" t="s">
        <v>168</v>
      </c>
      <c r="B58" s="7"/>
      <c r="E58" s="9" t="s">
        <v>169</v>
      </c>
      <c r="F58" s="9" t="s">
        <v>170</v>
      </c>
    </row>
    <row r="59">
      <c r="A59" s="12" t="s">
        <v>171</v>
      </c>
      <c r="B59" s="7"/>
      <c r="E59" s="9" t="s">
        <v>172</v>
      </c>
      <c r="F59" s="9" t="s">
        <v>173</v>
      </c>
    </row>
    <row r="60">
      <c r="A60" s="17" t="s">
        <v>174</v>
      </c>
      <c r="B60" s="7"/>
      <c r="C60" s="6" t="s">
        <v>82</v>
      </c>
      <c r="D60" s="8" t="s">
        <v>175</v>
      </c>
      <c r="E60" s="9" t="s">
        <v>176</v>
      </c>
      <c r="F60" s="9" t="s">
        <v>177</v>
      </c>
    </row>
    <row r="61">
      <c r="A61" s="12" t="s">
        <v>178</v>
      </c>
      <c r="B61" s="7"/>
      <c r="E61" s="9" t="s">
        <v>179</v>
      </c>
      <c r="F61" s="9" t="s">
        <v>180</v>
      </c>
    </row>
    <row r="62">
      <c r="A62" s="12" t="s">
        <v>181</v>
      </c>
      <c r="B62" s="7"/>
      <c r="C62" s="6" t="s">
        <v>82</v>
      </c>
      <c r="D62" s="8" t="s">
        <v>182</v>
      </c>
      <c r="E62" s="9" t="s">
        <v>183</v>
      </c>
      <c r="F62" s="9" t="s">
        <v>184</v>
      </c>
    </row>
    <row r="63">
      <c r="A63" s="12" t="s">
        <v>185</v>
      </c>
      <c r="B63" s="7"/>
      <c r="E63" s="9" t="s">
        <v>186</v>
      </c>
      <c r="F63" s="9" t="s">
        <v>187</v>
      </c>
    </row>
    <row r="64">
      <c r="A64" s="12" t="s">
        <v>188</v>
      </c>
      <c r="B64" s="7"/>
      <c r="E64" s="9" t="s">
        <v>189</v>
      </c>
      <c r="F64" s="9" t="s">
        <v>190</v>
      </c>
      <c r="I64" s="2"/>
    </row>
    <row r="65">
      <c r="A65" s="12" t="s">
        <v>191</v>
      </c>
      <c r="B65" s="7"/>
      <c r="E65" s="9" t="s">
        <v>192</v>
      </c>
      <c r="F65" s="9" t="s">
        <v>193</v>
      </c>
    </row>
    <row r="66">
      <c r="A66" s="17" t="s">
        <v>194</v>
      </c>
      <c r="B66" s="7"/>
      <c r="E66" s="9" t="s">
        <v>195</v>
      </c>
      <c r="F66" s="9" t="s">
        <v>196</v>
      </c>
    </row>
    <row r="67">
      <c r="A67" s="7"/>
      <c r="B67" s="7"/>
      <c r="C67" s="6" t="s">
        <v>82</v>
      </c>
      <c r="D67" s="8" t="s">
        <v>197</v>
      </c>
      <c r="E67" s="9" t="s">
        <v>198</v>
      </c>
      <c r="F67" s="9" t="s">
        <v>199</v>
      </c>
    </row>
    <row r="68">
      <c r="A68" s="7"/>
      <c r="B68" s="7"/>
      <c r="E68" s="9" t="s">
        <v>200</v>
      </c>
      <c r="F68" s="9" t="s">
        <v>201</v>
      </c>
    </row>
    <row r="69">
      <c r="A69" s="11" t="s">
        <v>202</v>
      </c>
      <c r="B69" s="7"/>
      <c r="C69" s="6" t="s">
        <v>82</v>
      </c>
      <c r="D69" s="8" t="s">
        <v>203</v>
      </c>
      <c r="E69" s="9" t="s">
        <v>204</v>
      </c>
      <c r="F69" s="9" t="s">
        <v>205</v>
      </c>
    </row>
    <row r="70">
      <c r="A70" s="19" t="s">
        <v>206</v>
      </c>
      <c r="B70" s="7"/>
      <c r="E70" s="9" t="s">
        <v>207</v>
      </c>
      <c r="F70" s="9" t="s">
        <v>208</v>
      </c>
    </row>
    <row r="71">
      <c r="A71" s="19" t="s">
        <v>209</v>
      </c>
      <c r="B71" s="7"/>
      <c r="E71" s="9" t="s">
        <v>210</v>
      </c>
      <c r="F71" s="9" t="s">
        <v>211</v>
      </c>
    </row>
    <row r="72">
      <c r="A72" s="19" t="s">
        <v>212</v>
      </c>
      <c r="B72" s="7"/>
      <c r="E72" s="9" t="s">
        <v>213</v>
      </c>
      <c r="F72" s="9" t="s">
        <v>214</v>
      </c>
    </row>
    <row r="73">
      <c r="A73" s="7"/>
      <c r="B73" s="7"/>
      <c r="C73" s="18" t="s">
        <v>82</v>
      </c>
      <c r="D73" s="8" t="s">
        <v>215</v>
      </c>
      <c r="E73" s="9" t="s">
        <v>216</v>
      </c>
      <c r="F73" s="9" t="s">
        <v>217</v>
      </c>
    </row>
    <row r="74">
      <c r="A74" s="7"/>
      <c r="B74" s="7"/>
      <c r="C74" s="6" t="s">
        <v>82</v>
      </c>
      <c r="D74" s="8" t="s">
        <v>218</v>
      </c>
      <c r="E74" s="9" t="s">
        <v>219</v>
      </c>
      <c r="F74" s="9" t="s">
        <v>220</v>
      </c>
    </row>
    <row r="75">
      <c r="A75" s="12" t="s">
        <v>221</v>
      </c>
      <c r="B75" s="7"/>
      <c r="C75" s="6" t="s">
        <v>82</v>
      </c>
      <c r="D75" s="8" t="s">
        <v>222</v>
      </c>
      <c r="E75" s="9" t="s">
        <v>223</v>
      </c>
      <c r="F75" s="9" t="s">
        <v>224</v>
      </c>
    </row>
    <row r="76">
      <c r="A76" s="12" t="s">
        <v>225</v>
      </c>
      <c r="B76" s="7"/>
      <c r="C76" s="6" t="s">
        <v>82</v>
      </c>
      <c r="D76" s="8" t="s">
        <v>226</v>
      </c>
      <c r="E76" s="9" t="s">
        <v>227</v>
      </c>
      <c r="F76" s="9" t="s">
        <v>228</v>
      </c>
    </row>
    <row r="77">
      <c r="A77" s="12" t="s">
        <v>229</v>
      </c>
      <c r="B77" s="7"/>
      <c r="C77" s="6" t="s">
        <v>82</v>
      </c>
      <c r="D77" s="8" t="s">
        <v>230</v>
      </c>
      <c r="E77" s="9" t="s">
        <v>231</v>
      </c>
      <c r="F77" s="9" t="s">
        <v>232</v>
      </c>
    </row>
    <row r="78">
      <c r="A78" s="12" t="s">
        <v>233</v>
      </c>
      <c r="B78" s="7"/>
      <c r="E78" s="9" t="s">
        <v>234</v>
      </c>
      <c r="F78" s="9" t="s">
        <v>235</v>
      </c>
    </row>
    <row r="79">
      <c r="A79" s="12" t="s">
        <v>236</v>
      </c>
      <c r="B79" s="7"/>
      <c r="E79" s="9" t="s">
        <v>237</v>
      </c>
      <c r="F79" s="9" t="s">
        <v>238</v>
      </c>
    </row>
    <row r="80">
      <c r="A80" s="12" t="s">
        <v>239</v>
      </c>
      <c r="B80" s="7"/>
      <c r="E80" s="9" t="s">
        <v>240</v>
      </c>
      <c r="F80" s="9" t="s">
        <v>241</v>
      </c>
    </row>
    <row r="81">
      <c r="A81" s="12" t="s">
        <v>242</v>
      </c>
      <c r="B81" s="7"/>
      <c r="E81" s="9" t="s">
        <v>243</v>
      </c>
      <c r="F81" s="9" t="s">
        <v>244</v>
      </c>
    </row>
    <row r="82">
      <c r="A82" s="12" t="s">
        <v>245</v>
      </c>
      <c r="B82" s="7"/>
      <c r="C82" s="6" t="s">
        <v>82</v>
      </c>
      <c r="D82" s="8" t="s">
        <v>246</v>
      </c>
      <c r="E82" s="9" t="s">
        <v>247</v>
      </c>
      <c r="F82" s="9" t="s">
        <v>248</v>
      </c>
    </row>
    <row r="83">
      <c r="A83" s="12" t="s">
        <v>249</v>
      </c>
      <c r="B83" s="7"/>
      <c r="C83" s="6" t="s">
        <v>82</v>
      </c>
      <c r="D83" s="8" t="s">
        <v>250</v>
      </c>
      <c r="E83" s="9" t="s">
        <v>251</v>
      </c>
      <c r="F83" s="9" t="s">
        <v>252</v>
      </c>
    </row>
    <row r="84">
      <c r="A84" s="12" t="s">
        <v>253</v>
      </c>
      <c r="B84" s="7"/>
      <c r="C84" s="6" t="s">
        <v>82</v>
      </c>
      <c r="D84" s="8" t="s">
        <v>254</v>
      </c>
      <c r="E84" s="9" t="s">
        <v>255</v>
      </c>
      <c r="F84" s="9" t="s">
        <v>256</v>
      </c>
    </row>
    <row r="85">
      <c r="A85" s="12" t="s">
        <v>257</v>
      </c>
      <c r="B85" s="7"/>
      <c r="C85" s="6" t="s">
        <v>82</v>
      </c>
      <c r="D85" s="8" t="s">
        <v>258</v>
      </c>
      <c r="E85" s="9" t="s">
        <v>259</v>
      </c>
      <c r="F85" s="9" t="s">
        <v>260</v>
      </c>
    </row>
    <row r="86">
      <c r="A86" s="12" t="s">
        <v>261</v>
      </c>
      <c r="B86" s="7"/>
      <c r="C86" s="6" t="s">
        <v>82</v>
      </c>
      <c r="D86" s="8" t="s">
        <v>262</v>
      </c>
      <c r="E86" s="9" t="s">
        <v>263</v>
      </c>
      <c r="F86" s="9" t="s">
        <v>264</v>
      </c>
    </row>
    <row r="87">
      <c r="A87" s="12" t="s">
        <v>265</v>
      </c>
      <c r="B87" s="7"/>
      <c r="E87" s="9" t="s">
        <v>266</v>
      </c>
      <c r="F87" s="9" t="s">
        <v>267</v>
      </c>
    </row>
    <row r="88">
      <c r="A88" s="12" t="s">
        <v>268</v>
      </c>
      <c r="B88" s="7"/>
      <c r="E88" s="9" t="s">
        <v>269</v>
      </c>
      <c r="F88" s="9" t="s">
        <v>270</v>
      </c>
    </row>
    <row r="89">
      <c r="A89" s="12" t="s">
        <v>271</v>
      </c>
      <c r="B89" s="7"/>
      <c r="C89" s="18" t="s">
        <v>272</v>
      </c>
      <c r="D89" s="20" t="s">
        <v>273</v>
      </c>
      <c r="E89" s="9" t="s">
        <v>274</v>
      </c>
      <c r="F89" s="9" t="s">
        <v>275</v>
      </c>
    </row>
    <row r="90">
      <c r="A90" s="12" t="s">
        <v>276</v>
      </c>
      <c r="B90" s="7"/>
      <c r="C90" s="6" t="s">
        <v>277</v>
      </c>
      <c r="D90" s="20" t="s">
        <v>278</v>
      </c>
      <c r="E90" s="9" t="s">
        <v>279</v>
      </c>
      <c r="F90" s="9" t="s">
        <v>280</v>
      </c>
    </row>
    <row r="91">
      <c r="A91" s="12" t="s">
        <v>281</v>
      </c>
      <c r="B91" s="7"/>
      <c r="E91" s="9" t="s">
        <v>282</v>
      </c>
      <c r="F91" s="9" t="s">
        <v>283</v>
      </c>
    </row>
    <row r="92">
      <c r="A92" s="12" t="s">
        <v>268</v>
      </c>
      <c r="B92" s="7"/>
      <c r="E92" s="9" t="s">
        <v>269</v>
      </c>
      <c r="F92" s="9" t="s">
        <v>270</v>
      </c>
    </row>
    <row r="93">
      <c r="A93" s="12" t="s">
        <v>284</v>
      </c>
      <c r="B93" s="7"/>
      <c r="C93" s="6" t="s">
        <v>285</v>
      </c>
      <c r="D93" s="8" t="s">
        <v>286</v>
      </c>
      <c r="E93" s="7" t="s">
        <v>287</v>
      </c>
      <c r="F93" s="7" t="s">
        <v>288</v>
      </c>
    </row>
    <row r="94">
      <c r="A94" s="12" t="s">
        <v>289</v>
      </c>
      <c r="B94" s="7"/>
      <c r="C94" s="6" t="s">
        <v>285</v>
      </c>
      <c r="D94" s="8" t="s">
        <v>290</v>
      </c>
      <c r="E94" s="9" t="s">
        <v>291</v>
      </c>
      <c r="F94" s="9" t="s">
        <v>292</v>
      </c>
    </row>
    <row r="95">
      <c r="A95" s="12" t="s">
        <v>293</v>
      </c>
      <c r="B95" s="7"/>
      <c r="C95" s="6" t="s">
        <v>285</v>
      </c>
      <c r="D95" s="8" t="s">
        <v>294</v>
      </c>
      <c r="E95" s="9" t="s">
        <v>295</v>
      </c>
      <c r="F95" s="9" t="s">
        <v>296</v>
      </c>
    </row>
    <row r="96">
      <c r="A96" s="12" t="s">
        <v>297</v>
      </c>
      <c r="B96" s="7"/>
      <c r="E96" s="9" t="s">
        <v>298</v>
      </c>
      <c r="F96" s="9" t="s">
        <v>299</v>
      </c>
    </row>
    <row r="97">
      <c r="A97" s="12" t="s">
        <v>300</v>
      </c>
      <c r="B97" s="7"/>
      <c r="C97" s="6" t="s">
        <v>285</v>
      </c>
      <c r="D97" s="21" t="s">
        <v>301</v>
      </c>
      <c r="E97" s="7" t="s">
        <v>302</v>
      </c>
      <c r="F97" s="7" t="s">
        <v>303</v>
      </c>
    </row>
    <row r="98">
      <c r="A98" s="12" t="s">
        <v>304</v>
      </c>
      <c r="B98" s="7"/>
      <c r="C98" s="6" t="s">
        <v>285</v>
      </c>
      <c r="D98" s="21" t="s">
        <v>305</v>
      </c>
      <c r="E98" s="7" t="s">
        <v>306</v>
      </c>
      <c r="F98" s="7" t="s">
        <v>307</v>
      </c>
    </row>
    <row r="99">
      <c r="A99" s="12" t="s">
        <v>308</v>
      </c>
      <c r="B99" s="7"/>
      <c r="C99" s="6" t="s">
        <v>285</v>
      </c>
      <c r="D99" s="21" t="s">
        <v>309</v>
      </c>
      <c r="E99" s="7" t="s">
        <v>310</v>
      </c>
      <c r="F99" s="7" t="s">
        <v>311</v>
      </c>
    </row>
    <row r="100">
      <c r="A100" s="12" t="s">
        <v>185</v>
      </c>
      <c r="B100" s="7"/>
      <c r="C100" s="6" t="s">
        <v>285</v>
      </c>
      <c r="D100" s="21" t="s">
        <v>312</v>
      </c>
      <c r="E100" s="7" t="s">
        <v>186</v>
      </c>
      <c r="F100" s="7" t="s">
        <v>187</v>
      </c>
    </row>
    <row r="101">
      <c r="A101" s="12" t="s">
        <v>313</v>
      </c>
      <c r="B101" s="7"/>
      <c r="C101" s="18" t="s">
        <v>82</v>
      </c>
      <c r="D101" s="8" t="s">
        <v>314</v>
      </c>
      <c r="E101" s="9" t="s">
        <v>315</v>
      </c>
      <c r="F101" s="9" t="s">
        <v>316</v>
      </c>
    </row>
    <row r="102">
      <c r="A102" s="17" t="s">
        <v>317</v>
      </c>
      <c r="B102" s="7"/>
      <c r="C102" s="18" t="s">
        <v>82</v>
      </c>
      <c r="D102" s="8" t="s">
        <v>318</v>
      </c>
      <c r="E102" s="9" t="s">
        <v>319</v>
      </c>
      <c r="F102" s="9" t="s">
        <v>320</v>
      </c>
    </row>
    <row r="103">
      <c r="A103" s="17" t="s">
        <v>321</v>
      </c>
      <c r="B103" s="7"/>
      <c r="C103" s="6" t="s">
        <v>322</v>
      </c>
      <c r="D103" s="8" t="s">
        <v>323</v>
      </c>
      <c r="E103" s="9" t="s">
        <v>324</v>
      </c>
      <c r="F103" s="9" t="s">
        <v>325</v>
      </c>
    </row>
    <row r="104">
      <c r="A104" s="12" t="s">
        <v>326</v>
      </c>
      <c r="B104" s="7"/>
      <c r="E104" s="9" t="s">
        <v>327</v>
      </c>
      <c r="F104" s="9" t="s">
        <v>328</v>
      </c>
    </row>
    <row r="105">
      <c r="A105" s="12" t="s">
        <v>329</v>
      </c>
      <c r="B105" s="7"/>
      <c r="E105" s="9" t="s">
        <v>330</v>
      </c>
      <c r="F105" s="9" t="s">
        <v>331</v>
      </c>
    </row>
    <row r="106">
      <c r="A106" s="12" t="s">
        <v>332</v>
      </c>
      <c r="B106" s="7"/>
      <c r="E106" s="9" t="s">
        <v>333</v>
      </c>
      <c r="F106" s="9" t="s">
        <v>334</v>
      </c>
    </row>
    <row r="107">
      <c r="A107" s="12" t="s">
        <v>335</v>
      </c>
      <c r="B107" s="7"/>
      <c r="E107" s="9" t="s">
        <v>336</v>
      </c>
      <c r="F107" s="9" t="s">
        <v>337</v>
      </c>
    </row>
    <row r="108">
      <c r="A108" s="17" t="s">
        <v>95</v>
      </c>
      <c r="B108" s="7"/>
      <c r="E108" s="9" t="s">
        <v>96</v>
      </c>
      <c r="F108" s="9" t="s">
        <v>97</v>
      </c>
    </row>
    <row r="109">
      <c r="A109" s="12" t="s">
        <v>338</v>
      </c>
      <c r="B109" s="7"/>
      <c r="E109" s="9" t="s">
        <v>339</v>
      </c>
      <c r="F109" s="9" t="s">
        <v>340</v>
      </c>
    </row>
    <row r="110">
      <c r="A110" s="12" t="s">
        <v>341</v>
      </c>
      <c r="B110" s="7"/>
      <c r="E110" s="9" t="s">
        <v>342</v>
      </c>
      <c r="F110" s="9" t="s">
        <v>343</v>
      </c>
    </row>
    <row r="111">
      <c r="A111" s="17" t="s">
        <v>92</v>
      </c>
      <c r="B111" s="7"/>
      <c r="E111" s="9" t="s">
        <v>93</v>
      </c>
      <c r="F111" s="9" t="s">
        <v>344</v>
      </c>
    </row>
    <row r="112">
      <c r="A112" s="12" t="s">
        <v>345</v>
      </c>
      <c r="B112" s="7"/>
      <c r="E112" s="9" t="s">
        <v>346</v>
      </c>
      <c r="F112" s="9" t="s">
        <v>347</v>
      </c>
    </row>
    <row r="113">
      <c r="A113" s="17" t="s">
        <v>348</v>
      </c>
      <c r="B113" s="7"/>
      <c r="E113" s="9" t="s">
        <v>349</v>
      </c>
      <c r="F113" s="9" t="s">
        <v>350</v>
      </c>
    </row>
    <row r="114">
      <c r="A114" s="17" t="s">
        <v>351</v>
      </c>
      <c r="B114" s="7"/>
      <c r="C114" s="6" t="s">
        <v>322</v>
      </c>
      <c r="D114" s="8" t="s">
        <v>352</v>
      </c>
      <c r="E114" s="9" t="s">
        <v>353</v>
      </c>
      <c r="F114" s="9" t="s">
        <v>354</v>
      </c>
    </row>
    <row r="115">
      <c r="A115" s="17" t="s">
        <v>355</v>
      </c>
      <c r="B115" s="7"/>
      <c r="C115" s="6" t="s">
        <v>322</v>
      </c>
      <c r="D115" s="8" t="s">
        <v>356</v>
      </c>
      <c r="E115" s="9" t="s">
        <v>357</v>
      </c>
      <c r="F115" s="9" t="s">
        <v>358</v>
      </c>
    </row>
    <row r="116">
      <c r="A116" s="17" t="s">
        <v>359</v>
      </c>
      <c r="B116" s="7"/>
      <c r="E116" s="9" t="s">
        <v>360</v>
      </c>
      <c r="F116" s="9" t="s">
        <v>361</v>
      </c>
    </row>
    <row r="117">
      <c r="A117" s="17" t="s">
        <v>362</v>
      </c>
      <c r="B117" s="7"/>
      <c r="C117" s="6" t="s">
        <v>322</v>
      </c>
      <c r="D117" s="8" t="s">
        <v>363</v>
      </c>
      <c r="E117" s="9" t="s">
        <v>364</v>
      </c>
      <c r="F117" s="9" t="s">
        <v>365</v>
      </c>
    </row>
    <row r="118">
      <c r="A118" s="17" t="s">
        <v>366</v>
      </c>
      <c r="B118" s="7"/>
      <c r="C118" s="6" t="s">
        <v>367</v>
      </c>
      <c r="D118" s="20" t="s">
        <v>368</v>
      </c>
      <c r="E118" s="9" t="s">
        <v>369</v>
      </c>
      <c r="F118" s="9" t="s">
        <v>370</v>
      </c>
    </row>
    <row r="119">
      <c r="A119" s="17" t="s">
        <v>371</v>
      </c>
      <c r="B119" s="7"/>
      <c r="E119" s="9" t="s">
        <v>372</v>
      </c>
      <c r="F119" s="9" t="s">
        <v>373</v>
      </c>
    </row>
    <row r="120">
      <c r="A120" s="12" t="s">
        <v>374</v>
      </c>
      <c r="B120" s="7"/>
      <c r="C120" s="6" t="s">
        <v>46</v>
      </c>
      <c r="D120" s="8" t="s">
        <v>375</v>
      </c>
      <c r="E120" s="9" t="s">
        <v>376</v>
      </c>
      <c r="F120" s="9" t="s">
        <v>377</v>
      </c>
    </row>
    <row r="121">
      <c r="A121" s="19" t="s">
        <v>378</v>
      </c>
      <c r="B121" s="6" t="s">
        <v>379</v>
      </c>
      <c r="C121" s="6" t="s">
        <v>380</v>
      </c>
      <c r="D121" s="8" t="s">
        <v>381</v>
      </c>
      <c r="E121" s="9" t="s">
        <v>382</v>
      </c>
      <c r="F121" s="9" t="s">
        <v>383</v>
      </c>
    </row>
    <row r="122">
      <c r="A122" s="12" t="s">
        <v>384</v>
      </c>
      <c r="B122" s="7"/>
      <c r="C122" s="6" t="s">
        <v>380</v>
      </c>
      <c r="D122" s="8" t="s">
        <v>385</v>
      </c>
      <c r="E122" s="9" t="s">
        <v>386</v>
      </c>
      <c r="F122" s="9" t="s">
        <v>387</v>
      </c>
    </row>
    <row r="123">
      <c r="A123" s="12" t="s">
        <v>313</v>
      </c>
      <c r="B123" s="7"/>
      <c r="C123" s="6" t="s">
        <v>380</v>
      </c>
      <c r="D123" s="8" t="s">
        <v>388</v>
      </c>
      <c r="E123" s="9" t="s">
        <v>315</v>
      </c>
      <c r="F123" s="9" t="s">
        <v>316</v>
      </c>
    </row>
    <row r="124">
      <c r="A124" s="12" t="s">
        <v>389</v>
      </c>
      <c r="B124" s="7"/>
      <c r="C124" s="6" t="s">
        <v>380</v>
      </c>
      <c r="D124" s="8" t="s">
        <v>390</v>
      </c>
      <c r="E124" s="9" t="s">
        <v>391</v>
      </c>
      <c r="F124" s="9" t="s">
        <v>16</v>
      </c>
    </row>
    <row r="125">
      <c r="A125" s="12" t="s">
        <v>392</v>
      </c>
      <c r="B125" s="7"/>
      <c r="E125" s="9" t="s">
        <v>12</v>
      </c>
      <c r="F125" s="9" t="s">
        <v>13</v>
      </c>
    </row>
    <row r="126">
      <c r="A126" s="12" t="s">
        <v>351</v>
      </c>
      <c r="B126" s="7"/>
      <c r="E126" s="9" t="s">
        <v>353</v>
      </c>
      <c r="F126" s="9" t="s">
        <v>354</v>
      </c>
    </row>
    <row r="127">
      <c r="A127" s="12" t="s">
        <v>326</v>
      </c>
      <c r="B127" s="7"/>
      <c r="C127" s="6" t="s">
        <v>380</v>
      </c>
      <c r="D127" s="8" t="s">
        <v>393</v>
      </c>
      <c r="E127" s="9" t="s">
        <v>327</v>
      </c>
      <c r="F127" s="9" t="s">
        <v>328</v>
      </c>
    </row>
    <row r="128">
      <c r="A128" s="12" t="s">
        <v>394</v>
      </c>
      <c r="B128" s="7"/>
      <c r="E128" s="9" t="s">
        <v>395</v>
      </c>
      <c r="F128" s="9" t="s">
        <v>396</v>
      </c>
    </row>
    <row r="129">
      <c r="A129" s="22"/>
      <c r="B129" s="7"/>
      <c r="C129" s="18" t="s">
        <v>397</v>
      </c>
      <c r="D129" s="8" t="s">
        <v>398</v>
      </c>
      <c r="E129" s="9" t="s">
        <v>399</v>
      </c>
      <c r="F129" s="9" t="s">
        <v>400</v>
      </c>
    </row>
    <row r="130">
      <c r="A130" s="7"/>
      <c r="B130" s="7"/>
      <c r="C130" s="6" t="s">
        <v>397</v>
      </c>
      <c r="D130" s="8" t="s">
        <v>401</v>
      </c>
      <c r="E130" s="23" t="s">
        <v>142</v>
      </c>
      <c r="F130" s="9" t="s">
        <v>143</v>
      </c>
    </row>
    <row r="131">
      <c r="A131" s="7"/>
      <c r="B131" s="7"/>
      <c r="E131" s="23" t="s">
        <v>144</v>
      </c>
      <c r="F131" s="9" t="s">
        <v>145</v>
      </c>
    </row>
    <row r="132">
      <c r="A132" s="24"/>
      <c r="B132" s="7"/>
      <c r="E132" s="23" t="s">
        <v>146</v>
      </c>
      <c r="F132" s="9" t="s">
        <v>147</v>
      </c>
    </row>
    <row r="133">
      <c r="A133" s="25" t="s">
        <v>402</v>
      </c>
      <c r="B133" s="7"/>
      <c r="C133" s="6" t="s">
        <v>380</v>
      </c>
      <c r="D133" s="8" t="s">
        <v>403</v>
      </c>
      <c r="E133" s="26" t="s">
        <v>404</v>
      </c>
      <c r="F133" s="26" t="s">
        <v>405</v>
      </c>
    </row>
    <row r="134">
      <c r="A134" s="12" t="s">
        <v>406</v>
      </c>
      <c r="B134" s="7"/>
      <c r="C134" s="6" t="s">
        <v>380</v>
      </c>
      <c r="D134" s="8" t="s">
        <v>407</v>
      </c>
      <c r="E134" s="26" t="s">
        <v>408</v>
      </c>
      <c r="F134" s="26" t="s">
        <v>409</v>
      </c>
    </row>
    <row r="135">
      <c r="A135" s="12" t="s">
        <v>410</v>
      </c>
      <c r="B135" s="7"/>
      <c r="C135" s="6" t="s">
        <v>380</v>
      </c>
      <c r="D135" s="8" t="s">
        <v>411</v>
      </c>
      <c r="E135" s="26" t="s">
        <v>412</v>
      </c>
      <c r="F135" s="26" t="s">
        <v>413</v>
      </c>
    </row>
    <row r="136">
      <c r="A136" s="12" t="s">
        <v>414</v>
      </c>
      <c r="B136" s="7"/>
      <c r="C136" s="6" t="s">
        <v>380</v>
      </c>
      <c r="D136" s="8" t="s">
        <v>415</v>
      </c>
      <c r="E136" s="26" t="s">
        <v>416</v>
      </c>
      <c r="F136" s="26" t="s">
        <v>417</v>
      </c>
    </row>
    <row r="137">
      <c r="A137" s="12" t="s">
        <v>418</v>
      </c>
      <c r="B137" s="7"/>
      <c r="C137" s="6" t="s">
        <v>380</v>
      </c>
      <c r="D137" s="27" t="s">
        <v>419</v>
      </c>
      <c r="E137" s="28" t="s">
        <v>420</v>
      </c>
      <c r="F137" s="28" t="s">
        <v>421</v>
      </c>
    </row>
    <row r="138">
      <c r="A138" s="12" t="s">
        <v>422</v>
      </c>
      <c r="B138" s="7"/>
      <c r="C138" s="6" t="s">
        <v>380</v>
      </c>
      <c r="D138" s="27" t="s">
        <v>423</v>
      </c>
      <c r="E138" s="28" t="s">
        <v>424</v>
      </c>
      <c r="F138" s="28" t="s">
        <v>425</v>
      </c>
    </row>
    <row r="139">
      <c r="A139" s="12" t="s">
        <v>426</v>
      </c>
      <c r="B139" s="7"/>
      <c r="E139" s="28" t="s">
        <v>427</v>
      </c>
      <c r="F139" s="28" t="s">
        <v>77</v>
      </c>
    </row>
    <row r="140">
      <c r="A140" s="12" t="s">
        <v>78</v>
      </c>
      <c r="B140" s="7"/>
      <c r="E140" s="28" t="s">
        <v>79</v>
      </c>
      <c r="F140" s="28" t="s">
        <v>80</v>
      </c>
    </row>
    <row r="141">
      <c r="A141" s="12" t="s">
        <v>428</v>
      </c>
      <c r="B141" s="7"/>
      <c r="C141" s="6" t="s">
        <v>380</v>
      </c>
      <c r="D141" s="27" t="s">
        <v>429</v>
      </c>
      <c r="E141" s="28" t="s">
        <v>430</v>
      </c>
      <c r="F141" s="28" t="s">
        <v>431</v>
      </c>
    </row>
    <row r="142">
      <c r="A142" s="12" t="s">
        <v>432</v>
      </c>
      <c r="B142" s="7"/>
      <c r="E142" s="28" t="s">
        <v>433</v>
      </c>
      <c r="F142" s="28" t="s">
        <v>434</v>
      </c>
    </row>
    <row r="143">
      <c r="A143" s="12" t="s">
        <v>435</v>
      </c>
      <c r="B143" s="7"/>
      <c r="E143" s="28" t="s">
        <v>436</v>
      </c>
      <c r="F143" s="28" t="s">
        <v>437</v>
      </c>
    </row>
    <row r="144">
      <c r="A144" s="7"/>
      <c r="B144" s="7"/>
      <c r="C144" s="6" t="s">
        <v>397</v>
      </c>
      <c r="D144" s="8" t="s">
        <v>438</v>
      </c>
      <c r="E144" s="9" t="s">
        <v>439</v>
      </c>
      <c r="F144" s="9" t="s">
        <v>440</v>
      </c>
    </row>
    <row r="145">
      <c r="A145" s="7"/>
      <c r="B145" s="7"/>
      <c r="C145" s="6" t="s">
        <v>397</v>
      </c>
      <c r="D145" s="8" t="s">
        <v>441</v>
      </c>
      <c r="E145" s="9" t="s">
        <v>442</v>
      </c>
      <c r="F145" s="9" t="s">
        <v>337</v>
      </c>
    </row>
    <row r="146">
      <c r="A146" s="7"/>
      <c r="B146" s="7"/>
      <c r="E146" s="9" t="s">
        <v>443</v>
      </c>
      <c r="F146" s="9" t="s">
        <v>444</v>
      </c>
    </row>
    <row r="147">
      <c r="A147" s="7"/>
      <c r="B147" s="7"/>
      <c r="C147" s="6" t="s">
        <v>397</v>
      </c>
      <c r="D147" s="8" t="s">
        <v>445</v>
      </c>
      <c r="E147" s="9" t="s">
        <v>446</v>
      </c>
      <c r="F147" s="9" t="s">
        <v>447</v>
      </c>
    </row>
    <row r="148">
      <c r="A148" s="7"/>
      <c r="B148" s="7"/>
      <c r="E148" s="9" t="s">
        <v>448</v>
      </c>
      <c r="F148" s="9" t="s">
        <v>449</v>
      </c>
    </row>
    <row r="149">
      <c r="A149" s="7"/>
      <c r="B149" s="7"/>
      <c r="E149" s="9" t="s">
        <v>450</v>
      </c>
      <c r="F149" s="9" t="s">
        <v>451</v>
      </c>
    </row>
    <row r="150">
      <c r="A150" s="7"/>
      <c r="B150" s="7"/>
      <c r="E150" s="9" t="s">
        <v>452</v>
      </c>
      <c r="F150" s="9" t="s">
        <v>453</v>
      </c>
    </row>
    <row r="151">
      <c r="A151" s="12" t="s">
        <v>392</v>
      </c>
      <c r="B151" s="7"/>
      <c r="C151" s="6" t="s">
        <v>454</v>
      </c>
      <c r="D151" s="8" t="s">
        <v>455</v>
      </c>
      <c r="E151" s="9" t="s">
        <v>12</v>
      </c>
      <c r="F151" s="9" t="s">
        <v>13</v>
      </c>
    </row>
    <row r="152">
      <c r="A152" s="12" t="s">
        <v>456</v>
      </c>
      <c r="B152" s="7"/>
      <c r="E152" s="9" t="s">
        <v>457</v>
      </c>
      <c r="F152" s="9" t="s">
        <v>458</v>
      </c>
    </row>
    <row r="153">
      <c r="A153" s="12" t="s">
        <v>459</v>
      </c>
      <c r="B153" s="7"/>
      <c r="C153" s="6" t="s">
        <v>454</v>
      </c>
      <c r="D153" s="8" t="s">
        <v>460</v>
      </c>
      <c r="E153" s="9" t="s">
        <v>461</v>
      </c>
      <c r="F153" s="9" t="s">
        <v>462</v>
      </c>
    </row>
    <row r="154">
      <c r="A154" s="12" t="s">
        <v>463</v>
      </c>
      <c r="B154" s="7"/>
      <c r="C154" s="6" t="s">
        <v>454</v>
      </c>
      <c r="D154" s="8" t="s">
        <v>464</v>
      </c>
      <c r="E154" s="7" t="s">
        <v>465</v>
      </c>
      <c r="F154" s="7" t="s">
        <v>466</v>
      </c>
    </row>
    <row r="155">
      <c r="A155" s="12" t="s">
        <v>467</v>
      </c>
      <c r="B155" s="7"/>
      <c r="C155" s="6" t="s">
        <v>454</v>
      </c>
      <c r="D155" s="8" t="s">
        <v>468</v>
      </c>
      <c r="E155" s="26" t="s">
        <v>443</v>
      </c>
      <c r="F155" s="26" t="s">
        <v>444</v>
      </c>
    </row>
    <row r="156">
      <c r="A156" s="12" t="s">
        <v>338</v>
      </c>
      <c r="B156" s="7"/>
      <c r="E156" s="26" t="s">
        <v>339</v>
      </c>
      <c r="F156" s="26" t="s">
        <v>340</v>
      </c>
    </row>
    <row r="157">
      <c r="A157" s="12" t="s">
        <v>469</v>
      </c>
      <c r="B157" s="7"/>
      <c r="C157" s="6" t="s">
        <v>454</v>
      </c>
      <c r="D157" s="8" t="s">
        <v>470</v>
      </c>
      <c r="E157" s="29" t="s">
        <v>471</v>
      </c>
      <c r="F157" s="29" t="s">
        <v>472</v>
      </c>
    </row>
    <row r="158">
      <c r="A158" s="12" t="s">
        <v>473</v>
      </c>
      <c r="B158" s="7"/>
      <c r="E158" s="29" t="s">
        <v>474</v>
      </c>
      <c r="F158" s="29" t="s">
        <v>475</v>
      </c>
    </row>
    <row r="159">
      <c r="A159" s="12" t="s">
        <v>476</v>
      </c>
      <c r="B159" s="7"/>
      <c r="E159" s="29" t="s">
        <v>477</v>
      </c>
      <c r="F159" s="29" t="s">
        <v>478</v>
      </c>
    </row>
    <row r="160">
      <c r="A160" s="12" t="s">
        <v>479</v>
      </c>
      <c r="B160" s="7"/>
      <c r="C160" s="6" t="s">
        <v>454</v>
      </c>
      <c r="D160" s="8" t="s">
        <v>480</v>
      </c>
      <c r="E160" s="29" t="s">
        <v>481</v>
      </c>
      <c r="F160" s="29" t="s">
        <v>482</v>
      </c>
    </row>
    <row r="161">
      <c r="A161" s="12" t="s">
        <v>483</v>
      </c>
      <c r="B161" s="7"/>
      <c r="C161" s="6" t="s">
        <v>454</v>
      </c>
      <c r="D161" s="8" t="s">
        <v>484</v>
      </c>
      <c r="E161" s="30" t="s">
        <v>485</v>
      </c>
      <c r="F161" s="30" t="s">
        <v>486</v>
      </c>
    </row>
    <row r="162">
      <c r="A162" s="12" t="s">
        <v>487</v>
      </c>
      <c r="B162" s="7"/>
      <c r="C162" s="6" t="s">
        <v>454</v>
      </c>
      <c r="D162" s="8" t="s">
        <v>488</v>
      </c>
      <c r="E162" s="30" t="s">
        <v>489</v>
      </c>
      <c r="F162" s="30" t="s">
        <v>490</v>
      </c>
      <c r="G162" s="2" t="s">
        <v>491</v>
      </c>
    </row>
    <row r="163">
      <c r="A163" s="12" t="s">
        <v>86</v>
      </c>
      <c r="B163" s="7"/>
      <c r="E163" s="30" t="s">
        <v>87</v>
      </c>
      <c r="F163" s="30" t="s">
        <v>88</v>
      </c>
    </row>
    <row r="164">
      <c r="A164" s="12" t="s">
        <v>492</v>
      </c>
      <c r="B164" s="7"/>
      <c r="E164" s="30" t="s">
        <v>493</v>
      </c>
      <c r="F164" s="30" t="s">
        <v>494</v>
      </c>
    </row>
    <row r="165">
      <c r="A165" s="12" t="s">
        <v>495</v>
      </c>
      <c r="B165" s="7"/>
      <c r="C165" s="6" t="s">
        <v>454</v>
      </c>
      <c r="D165" s="8" t="s">
        <v>496</v>
      </c>
      <c r="E165" s="9" t="s">
        <v>497</v>
      </c>
      <c r="F165" s="9" t="s">
        <v>498</v>
      </c>
    </row>
    <row r="166">
      <c r="A166" s="12" t="s">
        <v>499</v>
      </c>
      <c r="B166" s="7"/>
      <c r="C166" s="6" t="s">
        <v>454</v>
      </c>
      <c r="D166" s="8" t="s">
        <v>500</v>
      </c>
      <c r="E166" s="29" t="s">
        <v>501</v>
      </c>
      <c r="F166" s="29" t="s">
        <v>502</v>
      </c>
    </row>
    <row r="167">
      <c r="A167" s="12" t="s">
        <v>503</v>
      </c>
      <c r="B167" s="7"/>
      <c r="C167" s="6" t="s">
        <v>454</v>
      </c>
      <c r="D167" s="31" t="s">
        <v>504</v>
      </c>
      <c r="E167" s="30" t="s">
        <v>505</v>
      </c>
      <c r="F167" s="30" t="s">
        <v>506</v>
      </c>
    </row>
    <row r="168">
      <c r="A168" s="12" t="s">
        <v>507</v>
      </c>
      <c r="B168" s="7"/>
      <c r="E168" s="30" t="s">
        <v>508</v>
      </c>
      <c r="F168" s="30" t="s">
        <v>509</v>
      </c>
    </row>
    <row r="169">
      <c r="A169" s="12" t="s">
        <v>510</v>
      </c>
      <c r="B169" s="7"/>
      <c r="E169" s="30" t="s">
        <v>511</v>
      </c>
      <c r="F169" s="30" t="s">
        <v>512</v>
      </c>
    </row>
    <row r="170">
      <c r="A170" s="12" t="s">
        <v>513</v>
      </c>
      <c r="B170" s="7"/>
      <c r="C170" s="6" t="s">
        <v>454</v>
      </c>
      <c r="D170" s="8" t="s">
        <v>514</v>
      </c>
      <c r="E170" s="30" t="s">
        <v>515</v>
      </c>
      <c r="F170" s="30" t="s">
        <v>516</v>
      </c>
    </row>
    <row r="171">
      <c r="A171" s="12" t="s">
        <v>517</v>
      </c>
      <c r="B171" s="7"/>
      <c r="C171" s="6" t="s">
        <v>454</v>
      </c>
      <c r="D171" s="31" t="s">
        <v>518</v>
      </c>
      <c r="E171" s="30" t="s">
        <v>519</v>
      </c>
      <c r="F171" s="30" t="s">
        <v>520</v>
      </c>
    </row>
    <row r="172">
      <c r="A172" s="12" t="s">
        <v>521</v>
      </c>
      <c r="B172" s="7"/>
      <c r="E172" s="30" t="s">
        <v>522</v>
      </c>
      <c r="F172" s="30" t="s">
        <v>523</v>
      </c>
    </row>
    <row r="173">
      <c r="A173" s="12" t="s">
        <v>524</v>
      </c>
      <c r="B173" s="7"/>
      <c r="C173" s="6" t="s">
        <v>454</v>
      </c>
      <c r="D173" s="8" t="s">
        <v>525</v>
      </c>
      <c r="E173" s="30" t="s">
        <v>146</v>
      </c>
      <c r="F173" s="30" t="s">
        <v>147</v>
      </c>
    </row>
    <row r="174">
      <c r="A174" s="7"/>
      <c r="B174" s="7"/>
      <c r="C174" s="6" t="s">
        <v>454</v>
      </c>
      <c r="D174" s="8" t="s">
        <v>526</v>
      </c>
      <c r="E174" s="26" t="s">
        <v>527</v>
      </c>
      <c r="F174" s="26" t="s">
        <v>528</v>
      </c>
    </row>
    <row r="175">
      <c r="A175" s="19" t="s">
        <v>529</v>
      </c>
      <c r="B175" s="7"/>
      <c r="C175" s="6" t="s">
        <v>454</v>
      </c>
      <c r="D175" s="8" t="s">
        <v>530</v>
      </c>
      <c r="E175" s="7" t="s">
        <v>531</v>
      </c>
      <c r="F175" s="7" t="s">
        <v>532</v>
      </c>
    </row>
    <row r="176">
      <c r="A176" s="19" t="s">
        <v>533</v>
      </c>
      <c r="B176" s="7"/>
      <c r="E176" s="7" t="s">
        <v>534</v>
      </c>
      <c r="F176" s="7" t="s">
        <v>535</v>
      </c>
    </row>
    <row r="177">
      <c r="A177" s="19" t="s">
        <v>536</v>
      </c>
      <c r="B177" s="7"/>
      <c r="E177" s="7" t="s">
        <v>537</v>
      </c>
      <c r="F177" s="7" t="s">
        <v>538</v>
      </c>
    </row>
    <row r="178">
      <c r="A178" s="19" t="s">
        <v>539</v>
      </c>
      <c r="B178" s="7"/>
      <c r="E178" s="7" t="s">
        <v>540</v>
      </c>
      <c r="F178" s="7" t="s">
        <v>541</v>
      </c>
    </row>
    <row r="179">
      <c r="A179" s="19" t="s">
        <v>542</v>
      </c>
      <c r="B179" s="7"/>
      <c r="C179" s="6" t="s">
        <v>454</v>
      </c>
      <c r="D179" s="8" t="s">
        <v>543</v>
      </c>
      <c r="E179" s="7" t="s">
        <v>544</v>
      </c>
      <c r="F179" s="7" t="s">
        <v>545</v>
      </c>
    </row>
    <row r="180">
      <c r="A180" s="32" t="s">
        <v>546</v>
      </c>
      <c r="B180" s="7"/>
      <c r="E180" s="7" t="s">
        <v>547</v>
      </c>
      <c r="F180" s="7" t="s">
        <v>548</v>
      </c>
    </row>
    <row r="181">
      <c r="A181" s="19" t="s">
        <v>549</v>
      </c>
      <c r="B181" s="7"/>
      <c r="C181" s="18" t="s">
        <v>454</v>
      </c>
      <c r="D181" s="8" t="s">
        <v>550</v>
      </c>
      <c r="E181" s="7" t="s">
        <v>551</v>
      </c>
      <c r="F181" s="7" t="s">
        <v>552</v>
      </c>
    </row>
    <row r="182">
      <c r="A182" s="19" t="s">
        <v>553</v>
      </c>
      <c r="B182" s="7"/>
      <c r="E182" s="7" t="s">
        <v>554</v>
      </c>
      <c r="F182" s="7" t="s">
        <v>555</v>
      </c>
    </row>
    <row r="183">
      <c r="A183" s="19" t="s">
        <v>556</v>
      </c>
      <c r="B183" s="7"/>
      <c r="E183" s="7" t="s">
        <v>557</v>
      </c>
      <c r="F183" s="7" t="s">
        <v>558</v>
      </c>
    </row>
    <row r="184">
      <c r="A184" s="19" t="s">
        <v>559</v>
      </c>
      <c r="B184" s="7"/>
      <c r="E184" s="7" t="s">
        <v>560</v>
      </c>
      <c r="F184" s="7" t="s">
        <v>561</v>
      </c>
    </row>
    <row r="185">
      <c r="A185" s="19" t="s">
        <v>562</v>
      </c>
      <c r="B185" s="7"/>
      <c r="E185" s="7" t="s">
        <v>563</v>
      </c>
      <c r="F185" s="7" t="s">
        <v>564</v>
      </c>
    </row>
    <row r="186">
      <c r="A186" s="19" t="s">
        <v>565</v>
      </c>
      <c r="B186" s="7"/>
      <c r="E186" s="7" t="s">
        <v>566</v>
      </c>
      <c r="F186" s="7" t="s">
        <v>567</v>
      </c>
    </row>
    <row r="187">
      <c r="A187" s="19" t="s">
        <v>568</v>
      </c>
      <c r="B187" s="7"/>
      <c r="E187" s="9" t="s">
        <v>569</v>
      </c>
      <c r="F187" s="9" t="s">
        <v>570</v>
      </c>
    </row>
    <row r="188">
      <c r="A188" s="19" t="s">
        <v>571</v>
      </c>
      <c r="B188" s="7"/>
      <c r="C188" s="6" t="s">
        <v>454</v>
      </c>
      <c r="D188" s="8" t="s">
        <v>572</v>
      </c>
      <c r="E188" s="9" t="s">
        <v>573</v>
      </c>
      <c r="F188" s="9" t="s">
        <v>574</v>
      </c>
    </row>
    <row r="189">
      <c r="A189" s="32" t="s">
        <v>575</v>
      </c>
      <c r="B189" s="7"/>
      <c r="C189" s="18" t="s">
        <v>454</v>
      </c>
      <c r="D189" s="8" t="s">
        <v>576</v>
      </c>
      <c r="E189" s="9" t="s">
        <v>577</v>
      </c>
      <c r="F189" s="9" t="s">
        <v>578</v>
      </c>
    </row>
    <row r="190">
      <c r="A190" s="32" t="s">
        <v>579</v>
      </c>
      <c r="B190" s="7"/>
      <c r="E190" s="9" t="s">
        <v>580</v>
      </c>
      <c r="F190" s="9" t="s">
        <v>581</v>
      </c>
    </row>
    <row r="191">
      <c r="A191" s="32" t="s">
        <v>582</v>
      </c>
      <c r="B191" s="7"/>
      <c r="C191" s="6" t="s">
        <v>454</v>
      </c>
      <c r="D191" s="8" t="s">
        <v>583</v>
      </c>
      <c r="E191" s="9" t="s">
        <v>584</v>
      </c>
      <c r="F191" s="9" t="s">
        <v>585</v>
      </c>
    </row>
    <row r="192">
      <c r="A192" s="19" t="s">
        <v>586</v>
      </c>
      <c r="B192" s="7"/>
      <c r="C192" s="6" t="s">
        <v>454</v>
      </c>
      <c r="D192" s="8" t="s">
        <v>587</v>
      </c>
      <c r="E192" s="9" t="s">
        <v>588</v>
      </c>
      <c r="F192" s="9" t="s">
        <v>589</v>
      </c>
    </row>
    <row r="193">
      <c r="A193" s="19" t="s">
        <v>590</v>
      </c>
      <c r="B193" s="7"/>
      <c r="C193" s="6" t="s">
        <v>454</v>
      </c>
      <c r="D193" s="8" t="s">
        <v>591</v>
      </c>
      <c r="E193" s="9" t="s">
        <v>592</v>
      </c>
      <c r="F193" s="7" t="s">
        <v>593</v>
      </c>
    </row>
    <row r="194">
      <c r="A194" s="19" t="s">
        <v>594</v>
      </c>
      <c r="B194" s="7"/>
      <c r="C194" s="6" t="s">
        <v>454</v>
      </c>
      <c r="D194" s="8" t="s">
        <v>595</v>
      </c>
      <c r="E194" s="7" t="s">
        <v>596</v>
      </c>
      <c r="F194" s="7" t="s">
        <v>597</v>
      </c>
    </row>
    <row r="195">
      <c r="A195" s="19" t="s">
        <v>598</v>
      </c>
      <c r="B195" s="7"/>
      <c r="E195" s="7" t="s">
        <v>599</v>
      </c>
      <c r="F195" s="7" t="s">
        <v>600</v>
      </c>
    </row>
    <row r="196">
      <c r="A196" s="19" t="s">
        <v>601</v>
      </c>
      <c r="B196" s="7"/>
      <c r="E196" s="7" t="s">
        <v>602</v>
      </c>
      <c r="F196" s="7" t="s">
        <v>603</v>
      </c>
    </row>
    <row r="197">
      <c r="A197" s="19" t="s">
        <v>604</v>
      </c>
      <c r="B197" s="7"/>
      <c r="E197" s="7" t="s">
        <v>605</v>
      </c>
      <c r="F197" s="7" t="s">
        <v>606</v>
      </c>
    </row>
    <row r="198">
      <c r="A198" s="19" t="s">
        <v>607</v>
      </c>
      <c r="B198" s="7"/>
      <c r="E198" s="7" t="s">
        <v>608</v>
      </c>
      <c r="F198" s="7" t="s">
        <v>609</v>
      </c>
    </row>
    <row r="199">
      <c r="A199" s="19" t="s">
        <v>610</v>
      </c>
      <c r="B199" s="7"/>
      <c r="C199" s="6" t="s">
        <v>454</v>
      </c>
      <c r="D199" s="8" t="s">
        <v>611</v>
      </c>
      <c r="E199" s="7" t="s">
        <v>612</v>
      </c>
      <c r="F199" s="7" t="s">
        <v>613</v>
      </c>
    </row>
    <row r="200">
      <c r="A200" s="19" t="s">
        <v>614</v>
      </c>
      <c r="B200" s="7"/>
      <c r="E200" s="7" t="s">
        <v>615</v>
      </c>
      <c r="F200" s="7" t="s">
        <v>616</v>
      </c>
    </row>
    <row r="201">
      <c r="A201" s="19" t="s">
        <v>617</v>
      </c>
      <c r="B201" s="7"/>
      <c r="E201" s="7" t="s">
        <v>618</v>
      </c>
      <c r="F201" s="7" t="s">
        <v>619</v>
      </c>
    </row>
    <row r="202">
      <c r="A202" s="19" t="s">
        <v>620</v>
      </c>
      <c r="B202" s="7"/>
      <c r="E202" s="7" t="s">
        <v>621</v>
      </c>
      <c r="F202" s="7" t="s">
        <v>622</v>
      </c>
    </row>
    <row r="203">
      <c r="A203" s="19" t="s">
        <v>623</v>
      </c>
      <c r="B203" s="7"/>
      <c r="E203" s="7" t="s">
        <v>624</v>
      </c>
      <c r="F203" s="7" t="s">
        <v>625</v>
      </c>
    </row>
    <row r="204">
      <c r="A204" s="19" t="s">
        <v>626</v>
      </c>
      <c r="B204" s="7"/>
      <c r="E204" s="7" t="s">
        <v>627</v>
      </c>
      <c r="F204" s="7" t="s">
        <v>628</v>
      </c>
    </row>
    <row r="205">
      <c r="A205" s="19" t="s">
        <v>629</v>
      </c>
      <c r="B205" s="7"/>
      <c r="E205" s="7" t="s">
        <v>630</v>
      </c>
      <c r="F205" s="7" t="s">
        <v>631</v>
      </c>
    </row>
    <row r="206">
      <c r="A206" s="19" t="s">
        <v>632</v>
      </c>
      <c r="B206" s="7"/>
      <c r="C206" s="6" t="s">
        <v>454</v>
      </c>
      <c r="D206" s="8" t="s">
        <v>633</v>
      </c>
      <c r="E206" s="9" t="s">
        <v>634</v>
      </c>
      <c r="F206" s="9" t="s">
        <v>635</v>
      </c>
    </row>
    <row r="207">
      <c r="A207" s="19" t="s">
        <v>636</v>
      </c>
      <c r="B207" s="7"/>
      <c r="C207" s="6" t="s">
        <v>454</v>
      </c>
      <c r="D207" s="8" t="s">
        <v>637</v>
      </c>
      <c r="E207" s="9" t="s">
        <v>638</v>
      </c>
      <c r="F207" s="9" t="s">
        <v>639</v>
      </c>
    </row>
    <row r="208">
      <c r="A208" s="19" t="s">
        <v>640</v>
      </c>
      <c r="B208" s="7"/>
      <c r="E208" s="9" t="s">
        <v>641</v>
      </c>
      <c r="F208" s="9" t="s">
        <v>642</v>
      </c>
    </row>
    <row r="209">
      <c r="A209" s="19" t="s">
        <v>643</v>
      </c>
      <c r="B209" s="7"/>
      <c r="E209" s="9" t="s">
        <v>644</v>
      </c>
      <c r="F209" s="9" t="s">
        <v>644</v>
      </c>
    </row>
    <row r="210">
      <c r="A210" s="19" t="s">
        <v>645</v>
      </c>
      <c r="B210" s="7"/>
      <c r="E210" s="9" t="s">
        <v>131</v>
      </c>
      <c r="F210" s="9" t="s">
        <v>131</v>
      </c>
    </row>
    <row r="211">
      <c r="A211" s="19" t="s">
        <v>646</v>
      </c>
      <c r="B211" s="7"/>
      <c r="E211" s="9" t="s">
        <v>647</v>
      </c>
      <c r="F211" s="9" t="s">
        <v>648</v>
      </c>
    </row>
    <row r="212">
      <c r="A212" s="19" t="s">
        <v>649</v>
      </c>
      <c r="B212" s="7"/>
      <c r="C212" s="6" t="s">
        <v>454</v>
      </c>
      <c r="D212" s="8" t="s">
        <v>650</v>
      </c>
      <c r="E212" s="9" t="s">
        <v>110</v>
      </c>
      <c r="F212" s="9" t="s">
        <v>110</v>
      </c>
    </row>
    <row r="213">
      <c r="A213" s="19" t="s">
        <v>651</v>
      </c>
      <c r="B213" s="7"/>
      <c r="E213" s="9" t="s">
        <v>652</v>
      </c>
      <c r="F213" s="9" t="s">
        <v>652</v>
      </c>
    </row>
    <row r="214">
      <c r="A214" s="19" t="s">
        <v>653</v>
      </c>
      <c r="B214" s="7"/>
      <c r="E214" s="9" t="s">
        <v>654</v>
      </c>
      <c r="F214" s="9" t="s">
        <v>654</v>
      </c>
    </row>
    <row r="215">
      <c r="A215" s="19" t="s">
        <v>655</v>
      </c>
      <c r="B215" s="7"/>
      <c r="E215" s="9" t="s">
        <v>656</v>
      </c>
      <c r="F215" s="9" t="s">
        <v>657</v>
      </c>
    </row>
    <row r="216">
      <c r="A216" s="19" t="s">
        <v>658</v>
      </c>
      <c r="B216" s="7"/>
      <c r="C216" s="6" t="s">
        <v>454</v>
      </c>
      <c r="D216" s="8" t="s">
        <v>659</v>
      </c>
      <c r="E216" s="9" t="s">
        <v>660</v>
      </c>
      <c r="F216" s="9" t="s">
        <v>660</v>
      </c>
    </row>
    <row r="217">
      <c r="A217" s="19" t="s">
        <v>661</v>
      </c>
      <c r="B217" s="7"/>
      <c r="E217" s="9" t="s">
        <v>662</v>
      </c>
      <c r="F217" s="9" t="s">
        <v>662</v>
      </c>
    </row>
    <row r="218">
      <c r="A218" s="19" t="s">
        <v>663</v>
      </c>
      <c r="B218" s="7"/>
      <c r="E218" s="9" t="s">
        <v>664</v>
      </c>
      <c r="F218" s="9" t="s">
        <v>664</v>
      </c>
    </row>
    <row r="219">
      <c r="A219" s="19" t="s">
        <v>665</v>
      </c>
      <c r="B219" s="7"/>
      <c r="E219" s="9" t="s">
        <v>666</v>
      </c>
      <c r="F219" s="9" t="s">
        <v>667</v>
      </c>
    </row>
    <row r="220">
      <c r="A220" s="19"/>
      <c r="B220" s="7"/>
      <c r="C220" s="6" t="s">
        <v>454</v>
      </c>
      <c r="D220" s="8" t="s">
        <v>668</v>
      </c>
      <c r="E220" s="9" t="s">
        <v>669</v>
      </c>
      <c r="F220" s="9" t="s">
        <v>670</v>
      </c>
    </row>
    <row r="221">
      <c r="A221" s="7"/>
      <c r="B221" s="7"/>
      <c r="E221" s="9" t="s">
        <v>671</v>
      </c>
      <c r="F221" s="9" t="s">
        <v>672</v>
      </c>
    </row>
    <row r="222">
      <c r="A222" s="12" t="s">
        <v>673</v>
      </c>
      <c r="B222" s="7"/>
      <c r="C222" s="6" t="s">
        <v>454</v>
      </c>
      <c r="D222" s="8" t="s">
        <v>674</v>
      </c>
      <c r="E222" s="9" t="s">
        <v>446</v>
      </c>
      <c r="F222" s="9" t="s">
        <v>447</v>
      </c>
    </row>
    <row r="223">
      <c r="A223" s="12" t="s">
        <v>675</v>
      </c>
      <c r="B223" s="7"/>
      <c r="C223" s="6" t="s">
        <v>454</v>
      </c>
      <c r="D223" s="8" t="s">
        <v>676</v>
      </c>
      <c r="E223" s="9" t="s">
        <v>677</v>
      </c>
      <c r="F223" s="9" t="s">
        <v>453</v>
      </c>
    </row>
    <row r="224">
      <c r="A224" s="12" t="s">
        <v>524</v>
      </c>
      <c r="B224" s="7"/>
      <c r="C224" s="6" t="s">
        <v>454</v>
      </c>
      <c r="D224" s="8" t="s">
        <v>678</v>
      </c>
      <c r="E224" s="17" t="s">
        <v>146</v>
      </c>
      <c r="F224" s="17" t="s">
        <v>147</v>
      </c>
    </row>
    <row r="225">
      <c r="A225" s="12" t="s">
        <v>679</v>
      </c>
      <c r="B225" s="7"/>
      <c r="E225" s="17" t="s">
        <v>680</v>
      </c>
      <c r="F225" s="17" t="s">
        <v>177</v>
      </c>
    </row>
    <row r="226">
      <c r="A226" s="12" t="s">
        <v>681</v>
      </c>
      <c r="B226" s="7"/>
      <c r="C226" s="6" t="s">
        <v>454</v>
      </c>
      <c r="D226" s="8" t="s">
        <v>682</v>
      </c>
      <c r="E226" s="9" t="s">
        <v>683</v>
      </c>
      <c r="F226" s="9" t="s">
        <v>684</v>
      </c>
    </row>
    <row r="227">
      <c r="A227" s="12" t="s">
        <v>45</v>
      </c>
      <c r="B227" s="7"/>
      <c r="D227" s="8" t="s">
        <v>685</v>
      </c>
      <c r="E227" s="9" t="s">
        <v>48</v>
      </c>
      <c r="F227" s="9" t="s">
        <v>49</v>
      </c>
    </row>
    <row r="228">
      <c r="A228" s="12" t="s">
        <v>378</v>
      </c>
      <c r="B228" s="7"/>
      <c r="C228" s="6" t="s">
        <v>454</v>
      </c>
      <c r="E228" s="9" t="s">
        <v>382</v>
      </c>
      <c r="F228" s="9" t="s">
        <v>383</v>
      </c>
    </row>
    <row r="229">
      <c r="A229" s="12" t="s">
        <v>499</v>
      </c>
      <c r="B229" s="6"/>
      <c r="C229" s="6" t="s">
        <v>454</v>
      </c>
      <c r="D229" s="8" t="s">
        <v>686</v>
      </c>
      <c r="E229" s="33" t="s">
        <v>501</v>
      </c>
      <c r="F229" s="33" t="s">
        <v>502</v>
      </c>
    </row>
    <row r="230">
      <c r="A230" s="34" t="s">
        <v>687</v>
      </c>
      <c r="B230" s="6"/>
      <c r="C230" s="6" t="s">
        <v>454</v>
      </c>
      <c r="D230" s="8" t="s">
        <v>688</v>
      </c>
      <c r="E230" s="33" t="s">
        <v>527</v>
      </c>
      <c r="F230" s="33" t="s">
        <v>528</v>
      </c>
    </row>
    <row r="231">
      <c r="A231" s="12" t="s">
        <v>689</v>
      </c>
      <c r="B231" s="7"/>
      <c r="C231" s="6" t="s">
        <v>454</v>
      </c>
      <c r="D231" s="27" t="s">
        <v>690</v>
      </c>
      <c r="E231" s="35" t="s">
        <v>691</v>
      </c>
      <c r="F231" s="35" t="s">
        <v>692</v>
      </c>
    </row>
    <row r="232">
      <c r="A232" s="12" t="s">
        <v>693</v>
      </c>
      <c r="B232" s="7"/>
      <c r="C232" s="6" t="s">
        <v>694</v>
      </c>
      <c r="D232" s="8" t="s">
        <v>695</v>
      </c>
      <c r="E232" s="9" t="s">
        <v>696</v>
      </c>
      <c r="F232" s="9" t="s">
        <v>697</v>
      </c>
    </row>
    <row r="233">
      <c r="A233" s="2" t="s">
        <v>181</v>
      </c>
      <c r="C233" s="6" t="s">
        <v>397</v>
      </c>
      <c r="D233" s="8" t="s">
        <v>698</v>
      </c>
      <c r="E233" s="9" t="s">
        <v>183</v>
      </c>
      <c r="F233" s="9" t="s">
        <v>184</v>
      </c>
    </row>
    <row r="234">
      <c r="A234" s="12" t="s">
        <v>191</v>
      </c>
      <c r="B234" s="7"/>
      <c r="E234" s="9" t="s">
        <v>192</v>
      </c>
      <c r="F234" s="9" t="s">
        <v>193</v>
      </c>
    </row>
    <row r="235">
      <c r="A235" s="36"/>
      <c r="B235" s="7"/>
      <c r="E235" s="9" t="s">
        <v>699</v>
      </c>
      <c r="F235" s="9" t="s">
        <v>700</v>
      </c>
    </row>
    <row r="236">
      <c r="A236" s="12" t="s">
        <v>701</v>
      </c>
      <c r="B236" s="7"/>
      <c r="C236" s="6" t="s">
        <v>397</v>
      </c>
      <c r="D236" s="8" t="s">
        <v>702</v>
      </c>
      <c r="E236" s="9" t="s">
        <v>703</v>
      </c>
      <c r="F236" s="9" t="s">
        <v>704</v>
      </c>
    </row>
    <row r="237">
      <c r="A237" s="12" t="s">
        <v>229</v>
      </c>
      <c r="B237" s="7"/>
      <c r="C237" s="6" t="s">
        <v>705</v>
      </c>
      <c r="D237" s="20" t="s">
        <v>706</v>
      </c>
      <c r="E237" s="9" t="s">
        <v>231</v>
      </c>
      <c r="F237" s="9" t="s">
        <v>232</v>
      </c>
    </row>
    <row r="238">
      <c r="A238" s="12" t="s">
        <v>233</v>
      </c>
      <c r="B238" s="7"/>
      <c r="E238" s="9" t="s">
        <v>234</v>
      </c>
      <c r="F238" s="9" t="s">
        <v>235</v>
      </c>
    </row>
    <row r="239">
      <c r="A239" s="12" t="s">
        <v>236</v>
      </c>
      <c r="B239" s="7"/>
      <c r="E239" s="9" t="s">
        <v>237</v>
      </c>
      <c r="F239" s="9" t="s">
        <v>238</v>
      </c>
    </row>
    <row r="240">
      <c r="A240" s="12" t="s">
        <v>239</v>
      </c>
      <c r="B240" s="7"/>
      <c r="E240" s="9" t="s">
        <v>240</v>
      </c>
      <c r="F240" s="9" t="s">
        <v>241</v>
      </c>
    </row>
    <row r="241">
      <c r="A241" s="12" t="s">
        <v>242</v>
      </c>
      <c r="B241" s="7"/>
      <c r="E241" s="9" t="s">
        <v>243</v>
      </c>
      <c r="F241" s="9" t="s">
        <v>244</v>
      </c>
    </row>
    <row r="242">
      <c r="A242" s="12" t="s">
        <v>245</v>
      </c>
      <c r="B242" s="7"/>
      <c r="C242" s="6" t="s">
        <v>707</v>
      </c>
      <c r="D242" s="8" t="s">
        <v>708</v>
      </c>
      <c r="E242" s="9" t="s">
        <v>247</v>
      </c>
      <c r="F242" s="9" t="s">
        <v>248</v>
      </c>
    </row>
    <row r="243">
      <c r="A243" s="12" t="s">
        <v>249</v>
      </c>
      <c r="B243" s="7"/>
      <c r="C243" s="6" t="s">
        <v>707</v>
      </c>
      <c r="D243" s="8" t="s">
        <v>709</v>
      </c>
      <c r="E243" s="9" t="s">
        <v>251</v>
      </c>
      <c r="F243" s="9" t="s">
        <v>252</v>
      </c>
    </row>
    <row r="244">
      <c r="A244" s="12" t="s">
        <v>253</v>
      </c>
      <c r="B244" s="7"/>
      <c r="C244" s="6" t="s">
        <v>707</v>
      </c>
      <c r="D244" s="8" t="s">
        <v>710</v>
      </c>
      <c r="E244" s="9" t="s">
        <v>255</v>
      </c>
      <c r="F244" s="9" t="s">
        <v>256</v>
      </c>
    </row>
    <row r="245">
      <c r="A245" s="12" t="s">
        <v>257</v>
      </c>
      <c r="B245" s="7"/>
      <c r="C245" s="6" t="s">
        <v>707</v>
      </c>
      <c r="D245" s="8" t="s">
        <v>711</v>
      </c>
      <c r="E245" s="9" t="s">
        <v>259</v>
      </c>
      <c r="F245" s="9" t="s">
        <v>260</v>
      </c>
    </row>
    <row r="246">
      <c r="A246" s="12" t="s">
        <v>261</v>
      </c>
      <c r="B246" s="7"/>
      <c r="C246" s="6" t="s">
        <v>707</v>
      </c>
      <c r="D246" s="8" t="s">
        <v>712</v>
      </c>
      <c r="E246" s="9" t="s">
        <v>263</v>
      </c>
      <c r="F246" s="9" t="s">
        <v>264</v>
      </c>
    </row>
    <row r="247">
      <c r="A247" s="12" t="s">
        <v>265</v>
      </c>
      <c r="B247" s="7"/>
      <c r="E247" s="9" t="s">
        <v>266</v>
      </c>
      <c r="F247" s="9" t="s">
        <v>267</v>
      </c>
    </row>
    <row r="248">
      <c r="A248" s="12" t="s">
        <v>268</v>
      </c>
      <c r="B248" s="7"/>
      <c r="E248" s="9" t="s">
        <v>269</v>
      </c>
      <c r="F248" s="9" t="s">
        <v>270</v>
      </c>
    </row>
    <row r="249">
      <c r="A249" s="12" t="s">
        <v>271</v>
      </c>
      <c r="B249" s="7"/>
      <c r="C249" s="6" t="s">
        <v>713</v>
      </c>
      <c r="D249" s="8" t="s">
        <v>714</v>
      </c>
      <c r="E249" s="9" t="s">
        <v>274</v>
      </c>
      <c r="F249" s="9" t="s">
        <v>275</v>
      </c>
    </row>
    <row r="250">
      <c r="A250" s="12" t="s">
        <v>276</v>
      </c>
      <c r="B250" s="7"/>
      <c r="C250" s="6" t="s">
        <v>715</v>
      </c>
      <c r="D250" s="8" t="s">
        <v>716</v>
      </c>
      <c r="E250" s="9" t="s">
        <v>279</v>
      </c>
      <c r="F250" s="9" t="s">
        <v>280</v>
      </c>
    </row>
    <row r="251">
      <c r="A251" s="12" t="s">
        <v>281</v>
      </c>
      <c r="B251" s="7"/>
      <c r="E251" s="9" t="s">
        <v>282</v>
      </c>
      <c r="F251" s="9" t="s">
        <v>283</v>
      </c>
    </row>
    <row r="252">
      <c r="A252" s="12" t="s">
        <v>268</v>
      </c>
      <c r="B252" s="7"/>
      <c r="E252" s="9" t="s">
        <v>269</v>
      </c>
      <c r="F252" s="9" t="s">
        <v>270</v>
      </c>
    </row>
    <row r="253">
      <c r="A253" s="12" t="s">
        <v>284</v>
      </c>
      <c r="B253" s="7"/>
      <c r="C253" s="6" t="s">
        <v>717</v>
      </c>
      <c r="D253" s="8" t="s">
        <v>718</v>
      </c>
      <c r="E253" s="7" t="s">
        <v>287</v>
      </c>
      <c r="F253" s="7" t="s">
        <v>288</v>
      </c>
    </row>
    <row r="254">
      <c r="A254" s="12" t="s">
        <v>289</v>
      </c>
      <c r="B254" s="7"/>
      <c r="C254" s="6" t="s">
        <v>717</v>
      </c>
      <c r="D254" s="8" t="s">
        <v>719</v>
      </c>
      <c r="E254" s="9" t="s">
        <v>291</v>
      </c>
      <c r="F254" s="9" t="s">
        <v>292</v>
      </c>
    </row>
    <row r="255">
      <c r="A255" s="12" t="s">
        <v>293</v>
      </c>
      <c r="B255" s="7"/>
      <c r="C255" s="6" t="s">
        <v>717</v>
      </c>
      <c r="D255" s="8" t="s">
        <v>720</v>
      </c>
      <c r="E255" s="9" t="s">
        <v>295</v>
      </c>
      <c r="F255" s="9" t="s">
        <v>296</v>
      </c>
    </row>
    <row r="256">
      <c r="A256" s="12" t="s">
        <v>297</v>
      </c>
      <c r="B256" s="7"/>
      <c r="E256" s="9" t="s">
        <v>298</v>
      </c>
      <c r="F256" s="9" t="s">
        <v>299</v>
      </c>
    </row>
    <row r="257">
      <c r="A257" s="12" t="s">
        <v>300</v>
      </c>
      <c r="B257" s="7"/>
      <c r="C257" s="6" t="s">
        <v>717</v>
      </c>
      <c r="D257" s="21" t="s">
        <v>301</v>
      </c>
      <c r="E257" s="7" t="s">
        <v>302</v>
      </c>
      <c r="F257" s="7" t="s">
        <v>303</v>
      </c>
    </row>
    <row r="258">
      <c r="A258" s="12" t="s">
        <v>304</v>
      </c>
      <c r="B258" s="7"/>
      <c r="C258" s="6" t="s">
        <v>717</v>
      </c>
      <c r="D258" s="21" t="s">
        <v>305</v>
      </c>
      <c r="E258" s="7" t="s">
        <v>306</v>
      </c>
      <c r="F258" s="7" t="s">
        <v>307</v>
      </c>
    </row>
    <row r="259">
      <c r="A259" s="12" t="s">
        <v>308</v>
      </c>
      <c r="B259" s="7"/>
      <c r="C259" s="6" t="s">
        <v>717</v>
      </c>
      <c r="D259" s="21" t="s">
        <v>309</v>
      </c>
      <c r="E259" s="7" t="s">
        <v>310</v>
      </c>
      <c r="F259" s="7" t="s">
        <v>311</v>
      </c>
    </row>
    <row r="260">
      <c r="A260" s="12" t="s">
        <v>185</v>
      </c>
      <c r="B260" s="7"/>
      <c r="C260" s="6" t="s">
        <v>717</v>
      </c>
      <c r="D260" s="21" t="s">
        <v>312</v>
      </c>
      <c r="E260" s="7" t="s">
        <v>186</v>
      </c>
      <c r="F260" s="7" t="s">
        <v>187</v>
      </c>
    </row>
    <row r="261">
      <c r="A261" s="34" t="s">
        <v>229</v>
      </c>
      <c r="B261" s="6"/>
      <c r="C261" s="6" t="s">
        <v>717</v>
      </c>
      <c r="D261" s="37" t="s">
        <v>721</v>
      </c>
      <c r="E261" s="9" t="s">
        <v>231</v>
      </c>
      <c r="F261" s="9" t="s">
        <v>232</v>
      </c>
    </row>
    <row r="262">
      <c r="A262" s="34" t="s">
        <v>722</v>
      </c>
      <c r="B262" s="6"/>
      <c r="E262" s="9" t="s">
        <v>234</v>
      </c>
      <c r="F262" s="9" t="s">
        <v>235</v>
      </c>
    </row>
    <row r="263">
      <c r="A263" s="34" t="s">
        <v>236</v>
      </c>
      <c r="B263" s="6"/>
      <c r="E263" s="9" t="s">
        <v>237</v>
      </c>
      <c r="F263" s="9" t="s">
        <v>238</v>
      </c>
    </row>
    <row r="264">
      <c r="A264" s="34" t="s">
        <v>239</v>
      </c>
      <c r="B264" s="6"/>
      <c r="E264" s="9" t="s">
        <v>240</v>
      </c>
      <c r="F264" s="9" t="s">
        <v>241</v>
      </c>
    </row>
    <row r="265">
      <c r="A265" s="34" t="s">
        <v>242</v>
      </c>
      <c r="B265" s="6"/>
      <c r="E265" s="9" t="s">
        <v>243</v>
      </c>
      <c r="F265" s="9" t="s">
        <v>244</v>
      </c>
    </row>
    <row r="266">
      <c r="A266" s="34" t="s">
        <v>392</v>
      </c>
      <c r="B266" s="6"/>
      <c r="C266" s="6" t="s">
        <v>723</v>
      </c>
      <c r="D266" s="31" t="s">
        <v>724</v>
      </c>
      <c r="E266" s="38" t="s">
        <v>12</v>
      </c>
      <c r="F266" s="38" t="s">
        <v>13</v>
      </c>
    </row>
    <row r="267">
      <c r="A267" s="34" t="s">
        <v>456</v>
      </c>
      <c r="B267" s="6"/>
      <c r="E267" s="38" t="s">
        <v>457</v>
      </c>
      <c r="F267" s="38" t="s">
        <v>458</v>
      </c>
    </row>
    <row r="268">
      <c r="A268" s="34" t="s">
        <v>725</v>
      </c>
      <c r="B268" s="6"/>
      <c r="C268" s="6" t="s">
        <v>723</v>
      </c>
      <c r="D268" s="31" t="s">
        <v>726</v>
      </c>
      <c r="E268" s="38" t="s">
        <v>727</v>
      </c>
      <c r="F268" s="38" t="s">
        <v>728</v>
      </c>
    </row>
    <row r="269">
      <c r="A269" s="34" t="s">
        <v>729</v>
      </c>
      <c r="B269" s="6"/>
      <c r="E269" s="38" t="s">
        <v>730</v>
      </c>
      <c r="F269" s="38" t="s">
        <v>731</v>
      </c>
    </row>
    <row r="270">
      <c r="A270" s="34" t="s">
        <v>732</v>
      </c>
      <c r="B270" s="6"/>
      <c r="C270" s="6" t="s">
        <v>723</v>
      </c>
      <c r="D270" s="31" t="s">
        <v>733</v>
      </c>
      <c r="E270" s="38" t="s">
        <v>734</v>
      </c>
      <c r="F270" s="38" t="s">
        <v>735</v>
      </c>
    </row>
    <row r="271">
      <c r="A271" s="34" t="s">
        <v>736</v>
      </c>
      <c r="B271" s="6"/>
      <c r="C271" s="6" t="s">
        <v>723</v>
      </c>
      <c r="D271" s="31" t="s">
        <v>737</v>
      </c>
      <c r="E271" s="38" t="s">
        <v>738</v>
      </c>
      <c r="F271" s="38" t="s">
        <v>739</v>
      </c>
    </row>
    <row r="272">
      <c r="A272" s="12" t="s">
        <v>740</v>
      </c>
      <c r="B272" s="6"/>
      <c r="C272" s="6" t="s">
        <v>723</v>
      </c>
      <c r="D272" s="31" t="s">
        <v>741</v>
      </c>
      <c r="E272" s="38" t="s">
        <v>742</v>
      </c>
      <c r="F272" s="38" t="s">
        <v>743</v>
      </c>
    </row>
    <row r="273">
      <c r="A273" s="34" t="s">
        <v>744</v>
      </c>
      <c r="B273" s="6"/>
      <c r="E273" s="38" t="s">
        <v>745</v>
      </c>
      <c r="F273" s="38" t="s">
        <v>746</v>
      </c>
    </row>
    <row r="274">
      <c r="A274" s="34" t="s">
        <v>747</v>
      </c>
      <c r="B274" s="6"/>
      <c r="C274" s="6" t="s">
        <v>723</v>
      </c>
      <c r="D274" s="31" t="s">
        <v>748</v>
      </c>
      <c r="E274" s="38" t="s">
        <v>749</v>
      </c>
      <c r="F274" s="38" t="s">
        <v>750</v>
      </c>
    </row>
    <row r="275">
      <c r="A275" s="34" t="s">
        <v>751</v>
      </c>
      <c r="B275" s="6"/>
      <c r="E275" s="38" t="s">
        <v>752</v>
      </c>
      <c r="F275" s="38" t="s">
        <v>753</v>
      </c>
    </row>
    <row r="276">
      <c r="A276" s="19" t="s">
        <v>754</v>
      </c>
      <c r="B276" s="6"/>
      <c r="C276" s="6" t="s">
        <v>755</v>
      </c>
      <c r="D276" s="20" t="s">
        <v>756</v>
      </c>
      <c r="E276" s="9" t="s">
        <v>757</v>
      </c>
      <c r="F276" s="9" t="s">
        <v>758</v>
      </c>
    </row>
    <row r="277">
      <c r="A277" s="19" t="s">
        <v>759</v>
      </c>
      <c r="B277" s="6"/>
      <c r="C277" s="6" t="s">
        <v>755</v>
      </c>
      <c r="D277" s="20" t="s">
        <v>760</v>
      </c>
      <c r="E277" s="9" t="s">
        <v>761</v>
      </c>
      <c r="F277" s="9" t="s">
        <v>762</v>
      </c>
    </row>
    <row r="278">
      <c r="A278" s="19" t="s">
        <v>98</v>
      </c>
      <c r="B278" s="6"/>
      <c r="C278" s="6" t="s">
        <v>755</v>
      </c>
      <c r="D278" s="20" t="s">
        <v>763</v>
      </c>
      <c r="E278" s="9" t="s">
        <v>99</v>
      </c>
      <c r="F278" s="9" t="s">
        <v>100</v>
      </c>
    </row>
    <row r="279">
      <c r="A279" s="19" t="s">
        <v>152</v>
      </c>
      <c r="B279" s="6"/>
      <c r="C279" s="6" t="s">
        <v>755</v>
      </c>
      <c r="D279" s="20" t="s">
        <v>764</v>
      </c>
      <c r="E279" s="9" t="s">
        <v>154</v>
      </c>
      <c r="F279" s="9" t="s">
        <v>155</v>
      </c>
    </row>
    <row r="280">
      <c r="A280" s="12" t="s">
        <v>765</v>
      </c>
      <c r="B280" s="6"/>
      <c r="C280" s="6" t="s">
        <v>766</v>
      </c>
      <c r="D280" s="20" t="s">
        <v>767</v>
      </c>
      <c r="E280" s="9" t="s">
        <v>768</v>
      </c>
      <c r="F280" s="9" t="s">
        <v>769</v>
      </c>
    </row>
    <row r="281">
      <c r="A281" s="12" t="s">
        <v>770</v>
      </c>
      <c r="B281" s="6"/>
      <c r="E281" s="9" t="s">
        <v>771</v>
      </c>
      <c r="F281" s="9" t="s">
        <v>772</v>
      </c>
    </row>
    <row r="282">
      <c r="A282" s="12" t="s">
        <v>165</v>
      </c>
      <c r="B282" s="6"/>
      <c r="E282" s="9" t="s">
        <v>166</v>
      </c>
      <c r="F282" s="9" t="s">
        <v>167</v>
      </c>
    </row>
    <row r="283">
      <c r="A283" s="12" t="s">
        <v>156</v>
      </c>
      <c r="B283" s="6"/>
      <c r="E283" s="9" t="s">
        <v>157</v>
      </c>
      <c r="F283" s="9" t="s">
        <v>158</v>
      </c>
    </row>
    <row r="284">
      <c r="A284" s="12" t="s">
        <v>773</v>
      </c>
      <c r="B284" s="6"/>
      <c r="E284" s="9" t="s">
        <v>774</v>
      </c>
      <c r="F284" s="9" t="s">
        <v>775</v>
      </c>
    </row>
    <row r="285">
      <c r="A285" s="12" t="s">
        <v>776</v>
      </c>
      <c r="B285" s="6"/>
      <c r="E285" s="9" t="s">
        <v>777</v>
      </c>
      <c r="F285" s="9" t="s">
        <v>778</v>
      </c>
    </row>
    <row r="286">
      <c r="A286" s="12" t="s">
        <v>779</v>
      </c>
      <c r="B286" s="6"/>
      <c r="E286" s="9" t="s">
        <v>780</v>
      </c>
      <c r="F286" s="9" t="s">
        <v>164</v>
      </c>
    </row>
    <row r="287">
      <c r="A287" s="12" t="s">
        <v>171</v>
      </c>
      <c r="B287" s="6"/>
      <c r="E287" s="9" t="s">
        <v>172</v>
      </c>
      <c r="F287" s="9" t="s">
        <v>173</v>
      </c>
    </row>
    <row r="288">
      <c r="A288" s="19" t="s">
        <v>174</v>
      </c>
      <c r="B288" s="6"/>
      <c r="C288" s="6" t="s">
        <v>766</v>
      </c>
      <c r="D288" s="20" t="s">
        <v>781</v>
      </c>
      <c r="E288" s="9" t="s">
        <v>176</v>
      </c>
      <c r="F288" s="9" t="s">
        <v>177</v>
      </c>
    </row>
    <row r="289">
      <c r="A289" s="19" t="s">
        <v>178</v>
      </c>
      <c r="B289" s="6"/>
      <c r="E289" s="9" t="s">
        <v>179</v>
      </c>
      <c r="F289" s="9" t="s">
        <v>180</v>
      </c>
    </row>
    <row r="290">
      <c r="A290" s="19" t="s">
        <v>770</v>
      </c>
      <c r="B290" s="6"/>
      <c r="E290" s="9" t="s">
        <v>195</v>
      </c>
      <c r="F290" s="9" t="s">
        <v>196</v>
      </c>
    </row>
    <row r="291">
      <c r="A291" s="19" t="s">
        <v>181</v>
      </c>
      <c r="B291" s="6"/>
      <c r="C291" s="6" t="s">
        <v>766</v>
      </c>
      <c r="D291" s="20" t="s">
        <v>782</v>
      </c>
      <c r="E291" s="9" t="s">
        <v>183</v>
      </c>
      <c r="F291" s="9" t="s">
        <v>184</v>
      </c>
    </row>
    <row r="292">
      <c r="A292" s="19" t="s">
        <v>185</v>
      </c>
      <c r="B292" s="6"/>
      <c r="E292" s="9" t="s">
        <v>186</v>
      </c>
      <c r="F292" s="9" t="s">
        <v>783</v>
      </c>
    </row>
    <row r="293">
      <c r="A293" s="2" t="s">
        <v>784</v>
      </c>
      <c r="C293" s="6" t="s">
        <v>766</v>
      </c>
      <c r="D293" s="20" t="s">
        <v>785</v>
      </c>
      <c r="E293" s="9" t="s">
        <v>198</v>
      </c>
      <c r="F293" s="9" t="s">
        <v>199</v>
      </c>
    </row>
    <row r="294">
      <c r="A294" s="2" t="s">
        <v>786</v>
      </c>
      <c r="E294" s="9" t="s">
        <v>200</v>
      </c>
      <c r="F294" s="9" t="s">
        <v>201</v>
      </c>
    </row>
    <row r="295">
      <c r="A295" s="9" t="s">
        <v>787</v>
      </c>
      <c r="C295" s="6" t="s">
        <v>766</v>
      </c>
      <c r="D295" s="20" t="s">
        <v>788</v>
      </c>
      <c r="E295" s="9" t="s">
        <v>787</v>
      </c>
      <c r="F295" s="9" t="s">
        <v>789</v>
      </c>
    </row>
    <row r="296">
      <c r="A296" s="2" t="s">
        <v>202</v>
      </c>
      <c r="E296" s="9" t="s">
        <v>204</v>
      </c>
      <c r="F296" s="9" t="s">
        <v>205</v>
      </c>
    </row>
    <row r="297">
      <c r="A297" s="19" t="s">
        <v>206</v>
      </c>
      <c r="B297" s="6"/>
      <c r="E297" s="9" t="s">
        <v>207</v>
      </c>
      <c r="F297" s="9" t="s">
        <v>208</v>
      </c>
    </row>
    <row r="298">
      <c r="A298" s="19" t="s">
        <v>209</v>
      </c>
      <c r="B298" s="6"/>
      <c r="E298" s="9" t="s">
        <v>210</v>
      </c>
      <c r="F298" s="9" t="s">
        <v>211</v>
      </c>
    </row>
    <row r="299">
      <c r="A299" s="19" t="s">
        <v>212</v>
      </c>
      <c r="B299" s="6"/>
      <c r="E299" s="9" t="s">
        <v>213</v>
      </c>
      <c r="F299" s="9" t="s">
        <v>214</v>
      </c>
    </row>
    <row r="300">
      <c r="A300" s="19" t="s">
        <v>790</v>
      </c>
      <c r="B300" s="6"/>
      <c r="C300" s="6" t="s">
        <v>766</v>
      </c>
      <c r="D300" s="20" t="s">
        <v>791</v>
      </c>
      <c r="E300" s="9" t="s">
        <v>216</v>
      </c>
      <c r="F300" s="9" t="s">
        <v>217</v>
      </c>
    </row>
    <row r="301">
      <c r="A301" s="6"/>
      <c r="B301" s="6"/>
      <c r="C301" s="6" t="s">
        <v>766</v>
      </c>
      <c r="D301" s="20" t="s">
        <v>792</v>
      </c>
      <c r="E301" s="39" t="s">
        <v>219</v>
      </c>
      <c r="F301" s="9" t="s">
        <v>220</v>
      </c>
    </row>
    <row r="302">
      <c r="A302" s="19" t="s">
        <v>793</v>
      </c>
      <c r="B302" s="6"/>
      <c r="C302" s="6" t="s">
        <v>766</v>
      </c>
      <c r="D302" s="20" t="s">
        <v>794</v>
      </c>
      <c r="E302" s="26" t="s">
        <v>795</v>
      </c>
      <c r="F302" s="26" t="s">
        <v>796</v>
      </c>
    </row>
    <row r="303">
      <c r="A303" s="19" t="s">
        <v>797</v>
      </c>
      <c r="B303" s="6"/>
      <c r="E303" s="26" t="s">
        <v>798</v>
      </c>
      <c r="F303" s="26" t="s">
        <v>799</v>
      </c>
    </row>
    <row r="304">
      <c r="A304" s="6"/>
      <c r="B304" s="6"/>
      <c r="E304" s="26" t="s">
        <v>800</v>
      </c>
      <c r="F304" s="26" t="s">
        <v>801</v>
      </c>
    </row>
    <row r="305">
      <c r="A305" s="19" t="s">
        <v>529</v>
      </c>
      <c r="B305" s="6"/>
      <c r="C305" s="6" t="s">
        <v>802</v>
      </c>
      <c r="D305" s="20" t="s">
        <v>803</v>
      </c>
      <c r="E305" s="7" t="s">
        <v>531</v>
      </c>
      <c r="F305" s="7" t="s">
        <v>532</v>
      </c>
    </row>
    <row r="306">
      <c r="A306" s="19" t="s">
        <v>533</v>
      </c>
      <c r="B306" s="6"/>
      <c r="E306" s="7" t="s">
        <v>534</v>
      </c>
      <c r="F306" s="7" t="s">
        <v>535</v>
      </c>
    </row>
    <row r="307">
      <c r="A307" s="19" t="s">
        <v>536</v>
      </c>
      <c r="B307" s="6"/>
      <c r="E307" s="7" t="s">
        <v>537</v>
      </c>
      <c r="F307" s="7" t="s">
        <v>538</v>
      </c>
    </row>
    <row r="308">
      <c r="A308" s="19" t="s">
        <v>539</v>
      </c>
      <c r="B308" s="6"/>
      <c r="E308" s="7" t="s">
        <v>540</v>
      </c>
      <c r="F308" s="7" t="s">
        <v>541</v>
      </c>
    </row>
    <row r="309">
      <c r="A309" s="19" t="s">
        <v>542</v>
      </c>
      <c r="B309" s="6"/>
      <c r="C309" s="6" t="s">
        <v>802</v>
      </c>
      <c r="D309" s="20" t="s">
        <v>804</v>
      </c>
      <c r="E309" s="7" t="s">
        <v>544</v>
      </c>
      <c r="F309" s="7" t="s">
        <v>545</v>
      </c>
    </row>
    <row r="310">
      <c r="A310" s="32" t="s">
        <v>546</v>
      </c>
      <c r="B310" s="6"/>
      <c r="E310" s="7" t="s">
        <v>547</v>
      </c>
      <c r="F310" s="7" t="s">
        <v>548</v>
      </c>
    </row>
    <row r="311">
      <c r="A311" s="19" t="s">
        <v>549</v>
      </c>
      <c r="B311" s="6"/>
      <c r="C311" s="6" t="s">
        <v>802</v>
      </c>
      <c r="D311" s="20" t="s">
        <v>805</v>
      </c>
      <c r="E311" s="7" t="s">
        <v>551</v>
      </c>
      <c r="F311" s="7" t="s">
        <v>552</v>
      </c>
    </row>
    <row r="312">
      <c r="A312" s="19" t="s">
        <v>553</v>
      </c>
      <c r="B312" s="6"/>
      <c r="E312" s="7" t="s">
        <v>554</v>
      </c>
      <c r="F312" s="7" t="s">
        <v>555</v>
      </c>
    </row>
    <row r="313">
      <c r="A313" s="19" t="s">
        <v>556</v>
      </c>
      <c r="B313" s="6"/>
      <c r="E313" s="7" t="s">
        <v>557</v>
      </c>
      <c r="F313" s="7" t="s">
        <v>558</v>
      </c>
    </row>
    <row r="314">
      <c r="A314" s="19" t="s">
        <v>559</v>
      </c>
      <c r="B314" s="6"/>
      <c r="E314" s="7" t="s">
        <v>560</v>
      </c>
      <c r="F314" s="7" t="s">
        <v>561</v>
      </c>
    </row>
    <row r="315">
      <c r="A315" s="19" t="s">
        <v>562</v>
      </c>
      <c r="B315" s="6"/>
      <c r="E315" s="7" t="s">
        <v>563</v>
      </c>
      <c r="F315" s="7" t="s">
        <v>564</v>
      </c>
    </row>
    <row r="316">
      <c r="A316" s="19" t="s">
        <v>565</v>
      </c>
      <c r="B316" s="6"/>
      <c r="E316" s="7" t="s">
        <v>566</v>
      </c>
      <c r="F316" s="7" t="s">
        <v>567</v>
      </c>
    </row>
    <row r="317">
      <c r="A317" s="19" t="s">
        <v>568</v>
      </c>
      <c r="B317" s="6"/>
      <c r="E317" s="9" t="s">
        <v>569</v>
      </c>
      <c r="F317" s="9" t="s">
        <v>570</v>
      </c>
    </row>
    <row r="318">
      <c r="A318" s="19" t="s">
        <v>571</v>
      </c>
      <c r="B318" s="6"/>
      <c r="C318" s="6" t="s">
        <v>802</v>
      </c>
      <c r="D318" s="20" t="s">
        <v>806</v>
      </c>
      <c r="E318" s="9" t="s">
        <v>573</v>
      </c>
      <c r="F318" s="9" t="s">
        <v>574</v>
      </c>
    </row>
    <row r="319">
      <c r="A319" s="32" t="s">
        <v>575</v>
      </c>
      <c r="B319" s="6"/>
      <c r="C319" s="6" t="s">
        <v>802</v>
      </c>
      <c r="D319" s="20" t="s">
        <v>807</v>
      </c>
      <c r="E319" s="9" t="s">
        <v>577</v>
      </c>
      <c r="F319" s="9" t="s">
        <v>578</v>
      </c>
    </row>
    <row r="320">
      <c r="A320" s="32" t="s">
        <v>579</v>
      </c>
      <c r="B320" s="6"/>
      <c r="E320" s="9" t="s">
        <v>580</v>
      </c>
      <c r="F320" s="9" t="s">
        <v>581</v>
      </c>
    </row>
    <row r="321">
      <c r="A321" s="32" t="s">
        <v>582</v>
      </c>
      <c r="B321" s="6"/>
      <c r="C321" s="6" t="s">
        <v>802</v>
      </c>
      <c r="D321" s="20" t="s">
        <v>808</v>
      </c>
      <c r="E321" s="9" t="s">
        <v>584</v>
      </c>
      <c r="F321" s="9" t="s">
        <v>585</v>
      </c>
    </row>
    <row r="322">
      <c r="A322" s="19" t="s">
        <v>586</v>
      </c>
      <c r="B322" s="6"/>
      <c r="C322" s="6" t="s">
        <v>802</v>
      </c>
      <c r="D322" s="20" t="s">
        <v>809</v>
      </c>
      <c r="E322" s="9" t="s">
        <v>588</v>
      </c>
      <c r="F322" s="9" t="s">
        <v>589</v>
      </c>
    </row>
    <row r="323">
      <c r="A323" s="19" t="s">
        <v>590</v>
      </c>
      <c r="B323" s="6"/>
      <c r="C323" s="6" t="s">
        <v>802</v>
      </c>
      <c r="D323" s="20" t="s">
        <v>810</v>
      </c>
      <c r="E323" s="9" t="s">
        <v>592</v>
      </c>
      <c r="F323" s="7" t="s">
        <v>593</v>
      </c>
    </row>
    <row r="324">
      <c r="A324" s="19" t="s">
        <v>594</v>
      </c>
      <c r="B324" s="6"/>
      <c r="C324" s="6" t="s">
        <v>802</v>
      </c>
      <c r="D324" s="20" t="s">
        <v>811</v>
      </c>
      <c r="E324" s="7" t="s">
        <v>596</v>
      </c>
      <c r="F324" s="7" t="s">
        <v>597</v>
      </c>
    </row>
    <row r="325">
      <c r="A325" s="19" t="s">
        <v>598</v>
      </c>
      <c r="B325" s="6"/>
      <c r="E325" s="7" t="s">
        <v>599</v>
      </c>
      <c r="F325" s="7" t="s">
        <v>600</v>
      </c>
    </row>
    <row r="326">
      <c r="A326" s="19" t="s">
        <v>601</v>
      </c>
      <c r="B326" s="6"/>
      <c r="E326" s="7" t="s">
        <v>602</v>
      </c>
      <c r="F326" s="7" t="s">
        <v>603</v>
      </c>
    </row>
    <row r="327">
      <c r="A327" s="19" t="s">
        <v>604</v>
      </c>
      <c r="B327" s="6"/>
      <c r="E327" s="7" t="s">
        <v>605</v>
      </c>
      <c r="F327" s="7" t="s">
        <v>606</v>
      </c>
    </row>
    <row r="328">
      <c r="A328" s="19" t="s">
        <v>607</v>
      </c>
      <c r="B328" s="6"/>
      <c r="E328" s="7" t="s">
        <v>608</v>
      </c>
      <c r="F328" s="7" t="s">
        <v>609</v>
      </c>
    </row>
    <row r="329">
      <c r="A329" s="19" t="s">
        <v>610</v>
      </c>
      <c r="B329" s="6"/>
      <c r="C329" s="6" t="s">
        <v>802</v>
      </c>
      <c r="D329" s="20" t="s">
        <v>812</v>
      </c>
      <c r="E329" s="7" t="s">
        <v>612</v>
      </c>
      <c r="F329" s="7" t="s">
        <v>613</v>
      </c>
    </row>
    <row r="330">
      <c r="A330" s="19" t="s">
        <v>614</v>
      </c>
      <c r="B330" s="6"/>
      <c r="E330" s="7" t="s">
        <v>615</v>
      </c>
      <c r="F330" s="7" t="s">
        <v>616</v>
      </c>
    </row>
    <row r="331">
      <c r="A331" s="19" t="s">
        <v>617</v>
      </c>
      <c r="B331" s="6"/>
      <c r="E331" s="7" t="s">
        <v>618</v>
      </c>
      <c r="F331" s="7" t="s">
        <v>619</v>
      </c>
    </row>
    <row r="332">
      <c r="A332" s="19" t="s">
        <v>620</v>
      </c>
      <c r="B332" s="6"/>
      <c r="E332" s="7" t="s">
        <v>621</v>
      </c>
      <c r="F332" s="7" t="s">
        <v>622</v>
      </c>
    </row>
    <row r="333">
      <c r="A333" s="19" t="s">
        <v>623</v>
      </c>
      <c r="B333" s="6"/>
      <c r="E333" s="7" t="s">
        <v>624</v>
      </c>
      <c r="F333" s="7" t="s">
        <v>625</v>
      </c>
    </row>
    <row r="334">
      <c r="A334" s="19" t="s">
        <v>626</v>
      </c>
      <c r="B334" s="6"/>
      <c r="E334" s="7" t="s">
        <v>627</v>
      </c>
      <c r="F334" s="7" t="s">
        <v>628</v>
      </c>
    </row>
    <row r="335">
      <c r="A335" s="19" t="s">
        <v>629</v>
      </c>
      <c r="B335" s="6"/>
      <c r="E335" s="7" t="s">
        <v>630</v>
      </c>
      <c r="F335" s="7" t="s">
        <v>631</v>
      </c>
    </row>
    <row r="336">
      <c r="A336" s="19" t="s">
        <v>632</v>
      </c>
      <c r="B336" s="6"/>
      <c r="C336" s="6" t="s">
        <v>802</v>
      </c>
      <c r="D336" s="20" t="s">
        <v>813</v>
      </c>
      <c r="E336" s="9" t="s">
        <v>634</v>
      </c>
      <c r="F336" s="9" t="s">
        <v>635</v>
      </c>
    </row>
    <row r="337">
      <c r="A337" s="19" t="s">
        <v>636</v>
      </c>
      <c r="B337" s="6"/>
      <c r="C337" s="6" t="s">
        <v>802</v>
      </c>
      <c r="D337" s="20" t="s">
        <v>814</v>
      </c>
      <c r="E337" s="9" t="s">
        <v>638</v>
      </c>
      <c r="F337" s="9" t="s">
        <v>639</v>
      </c>
    </row>
    <row r="338">
      <c r="A338" s="32" t="s">
        <v>640</v>
      </c>
      <c r="B338" s="6"/>
      <c r="E338" s="9" t="s">
        <v>641</v>
      </c>
      <c r="F338" s="9" t="s">
        <v>642</v>
      </c>
    </row>
    <row r="339">
      <c r="A339" s="32" t="s">
        <v>643</v>
      </c>
      <c r="B339" s="6"/>
      <c r="E339" s="9" t="s">
        <v>644</v>
      </c>
      <c r="F339" s="9" t="s">
        <v>644</v>
      </c>
    </row>
    <row r="340">
      <c r="A340" s="32" t="s">
        <v>645</v>
      </c>
      <c r="B340" s="6"/>
      <c r="E340" s="9" t="s">
        <v>131</v>
      </c>
      <c r="F340" s="9" t="s">
        <v>131</v>
      </c>
    </row>
    <row r="341">
      <c r="A341" s="32" t="s">
        <v>646</v>
      </c>
      <c r="B341" s="6"/>
      <c r="E341" s="9" t="s">
        <v>647</v>
      </c>
      <c r="F341" s="9" t="s">
        <v>648</v>
      </c>
    </row>
    <row r="342">
      <c r="A342" s="32" t="s">
        <v>649</v>
      </c>
      <c r="B342" s="6"/>
      <c r="C342" s="6" t="s">
        <v>802</v>
      </c>
      <c r="D342" s="20" t="s">
        <v>815</v>
      </c>
      <c r="E342" s="9" t="s">
        <v>110</v>
      </c>
      <c r="F342" s="9" t="s">
        <v>110</v>
      </c>
    </row>
    <row r="343">
      <c r="A343" s="32" t="s">
        <v>651</v>
      </c>
      <c r="B343" s="6"/>
      <c r="E343" s="9" t="s">
        <v>652</v>
      </c>
      <c r="F343" s="9" t="s">
        <v>652</v>
      </c>
    </row>
    <row r="344">
      <c r="A344" s="32" t="s">
        <v>653</v>
      </c>
      <c r="B344" s="6"/>
      <c r="E344" s="9" t="s">
        <v>654</v>
      </c>
      <c r="F344" s="9" t="s">
        <v>654</v>
      </c>
    </row>
    <row r="345">
      <c r="A345" s="32" t="s">
        <v>655</v>
      </c>
      <c r="B345" s="6"/>
      <c r="E345" s="9" t="s">
        <v>656</v>
      </c>
      <c r="F345" s="9" t="s">
        <v>657</v>
      </c>
    </row>
    <row r="346">
      <c r="A346" s="32" t="s">
        <v>658</v>
      </c>
      <c r="B346" s="6"/>
      <c r="C346" s="6" t="s">
        <v>802</v>
      </c>
      <c r="D346" s="20" t="s">
        <v>816</v>
      </c>
      <c r="E346" s="9" t="s">
        <v>660</v>
      </c>
      <c r="F346" s="9" t="s">
        <v>660</v>
      </c>
    </row>
    <row r="347">
      <c r="A347" s="32" t="s">
        <v>661</v>
      </c>
      <c r="B347" s="6"/>
      <c r="E347" s="9" t="s">
        <v>662</v>
      </c>
      <c r="F347" s="9" t="s">
        <v>662</v>
      </c>
    </row>
    <row r="348">
      <c r="A348" s="32" t="s">
        <v>663</v>
      </c>
      <c r="B348" s="6"/>
      <c r="E348" s="9" t="s">
        <v>664</v>
      </c>
      <c r="F348" s="9" t="s">
        <v>664</v>
      </c>
    </row>
    <row r="349">
      <c r="A349" s="32" t="s">
        <v>665</v>
      </c>
      <c r="B349" s="6"/>
      <c r="E349" s="9" t="s">
        <v>666</v>
      </c>
      <c r="F349" s="9" t="s">
        <v>667</v>
      </c>
    </row>
    <row r="350">
      <c r="A350" s="32" t="s">
        <v>817</v>
      </c>
      <c r="B350" s="6"/>
      <c r="C350" s="6" t="s">
        <v>802</v>
      </c>
      <c r="D350" s="20" t="s">
        <v>818</v>
      </c>
      <c r="E350" s="9" t="s">
        <v>819</v>
      </c>
      <c r="F350" s="9" t="s">
        <v>820</v>
      </c>
    </row>
    <row r="351">
      <c r="A351" s="32" t="s">
        <v>821</v>
      </c>
      <c r="B351" s="6"/>
      <c r="C351" s="6" t="s">
        <v>802</v>
      </c>
      <c r="D351" s="20" t="s">
        <v>822</v>
      </c>
      <c r="E351" s="9" t="s">
        <v>823</v>
      </c>
      <c r="F351" s="9" t="s">
        <v>824</v>
      </c>
    </row>
    <row r="352">
      <c r="A352" s="6"/>
      <c r="B352" s="6"/>
      <c r="E352" s="16" t="s">
        <v>825</v>
      </c>
      <c r="F352" s="9" t="s">
        <v>826</v>
      </c>
    </row>
    <row r="353">
      <c r="A353" s="19" t="s">
        <v>827</v>
      </c>
      <c r="B353" s="6"/>
      <c r="E353" s="9" t="s">
        <v>828</v>
      </c>
      <c r="F353" s="9" t="s">
        <v>829</v>
      </c>
    </row>
    <row r="354">
      <c r="A354" s="19" t="s">
        <v>830</v>
      </c>
      <c r="B354" s="6"/>
      <c r="E354" s="9" t="s">
        <v>831</v>
      </c>
      <c r="F354" s="9" t="s">
        <v>832</v>
      </c>
    </row>
    <row r="355">
      <c r="A355" s="6"/>
      <c r="B355" s="6"/>
      <c r="E355" s="39" t="s">
        <v>833</v>
      </c>
      <c r="F355" s="9" t="s">
        <v>834</v>
      </c>
    </row>
    <row r="356">
      <c r="A356" s="19" t="s">
        <v>835</v>
      </c>
      <c r="B356" s="6"/>
      <c r="C356" s="6" t="s">
        <v>802</v>
      </c>
      <c r="D356" s="20" t="s">
        <v>836</v>
      </c>
      <c r="E356" s="9" t="s">
        <v>669</v>
      </c>
      <c r="F356" s="9" t="s">
        <v>670</v>
      </c>
    </row>
    <row r="357">
      <c r="A357" s="19" t="s">
        <v>837</v>
      </c>
      <c r="B357" s="6" t="s">
        <v>838</v>
      </c>
      <c r="C357" s="6" t="s">
        <v>839</v>
      </c>
      <c r="D357" s="20" t="s">
        <v>840</v>
      </c>
      <c r="E357" s="9" t="s">
        <v>841</v>
      </c>
      <c r="F357" s="9" t="s">
        <v>842</v>
      </c>
    </row>
    <row r="358">
      <c r="A358" s="40"/>
      <c r="B358" s="7"/>
      <c r="C358" s="6" t="s">
        <v>843</v>
      </c>
      <c r="D358" s="21" t="s">
        <v>844</v>
      </c>
      <c r="E358" s="41" t="s">
        <v>845</v>
      </c>
      <c r="F358" s="9" t="s">
        <v>846</v>
      </c>
    </row>
    <row r="359">
      <c r="A359" s="40"/>
      <c r="B359" s="7"/>
      <c r="E359" s="42" t="s">
        <v>847</v>
      </c>
      <c r="F359" s="7" t="s">
        <v>848</v>
      </c>
    </row>
    <row r="360">
      <c r="A360" s="40"/>
      <c r="B360" s="7"/>
      <c r="C360" s="6" t="s">
        <v>843</v>
      </c>
      <c r="D360" s="21" t="s">
        <v>849</v>
      </c>
      <c r="E360" s="41" t="s">
        <v>850</v>
      </c>
      <c r="F360" s="9" t="s">
        <v>851</v>
      </c>
    </row>
    <row r="361">
      <c r="A361" s="40"/>
      <c r="B361" s="7"/>
      <c r="E361" s="42" t="s">
        <v>852</v>
      </c>
      <c r="F361" s="7" t="s">
        <v>853</v>
      </c>
    </row>
    <row r="362">
      <c r="A362" s="40"/>
      <c r="B362" s="7"/>
      <c r="C362" s="6" t="s">
        <v>843</v>
      </c>
      <c r="D362" s="21" t="s">
        <v>854</v>
      </c>
      <c r="E362" s="41" t="s">
        <v>855</v>
      </c>
      <c r="F362" s="9" t="s">
        <v>856</v>
      </c>
    </row>
    <row r="363">
      <c r="A363" s="40"/>
      <c r="B363" s="7"/>
      <c r="E363" s="42" t="s">
        <v>857</v>
      </c>
      <c r="F363" s="7" t="s">
        <v>858</v>
      </c>
    </row>
    <row r="364">
      <c r="A364" s="40"/>
      <c r="B364" s="7"/>
      <c r="C364" s="6" t="s">
        <v>843</v>
      </c>
      <c r="D364" s="21" t="s">
        <v>859</v>
      </c>
      <c r="E364" s="41" t="s">
        <v>860</v>
      </c>
      <c r="F364" s="9" t="s">
        <v>861</v>
      </c>
    </row>
    <row r="365">
      <c r="A365" s="40"/>
      <c r="B365" s="7"/>
      <c r="E365" s="42" t="s">
        <v>862</v>
      </c>
      <c r="F365" s="7" t="s">
        <v>863</v>
      </c>
    </row>
    <row r="366">
      <c r="A366" s="40"/>
      <c r="B366" s="7"/>
      <c r="C366" s="6" t="s">
        <v>843</v>
      </c>
      <c r="D366" s="21" t="s">
        <v>864</v>
      </c>
      <c r="E366" s="41" t="s">
        <v>865</v>
      </c>
      <c r="F366" s="9" t="s">
        <v>866</v>
      </c>
    </row>
    <row r="367">
      <c r="A367" s="40"/>
      <c r="B367" s="7"/>
      <c r="E367" s="42" t="s">
        <v>867</v>
      </c>
      <c r="F367" s="7" t="s">
        <v>868</v>
      </c>
    </row>
    <row r="368">
      <c r="A368" s="40"/>
      <c r="B368" s="7"/>
      <c r="C368" s="6" t="s">
        <v>843</v>
      </c>
      <c r="D368" s="21" t="s">
        <v>869</v>
      </c>
      <c r="E368" s="41" t="s">
        <v>870</v>
      </c>
      <c r="F368" s="9" t="s">
        <v>871</v>
      </c>
    </row>
    <row r="369">
      <c r="A369" s="40"/>
      <c r="B369" s="7"/>
      <c r="E369" s="42" t="s">
        <v>872</v>
      </c>
      <c r="F369" s="7" t="s">
        <v>873</v>
      </c>
    </row>
    <row r="370">
      <c r="A370" s="12" t="s">
        <v>874</v>
      </c>
      <c r="C370" s="6" t="s">
        <v>875</v>
      </c>
      <c r="D370" s="8" t="s">
        <v>876</v>
      </c>
      <c r="E370" s="9" t="s">
        <v>877</v>
      </c>
      <c r="F370" s="9" t="s">
        <v>878</v>
      </c>
    </row>
    <row r="371">
      <c r="A371" s="12" t="s">
        <v>185</v>
      </c>
      <c r="C371" s="6" t="s">
        <v>875</v>
      </c>
      <c r="D371" s="8" t="s">
        <v>879</v>
      </c>
      <c r="E371" s="9" t="s">
        <v>186</v>
      </c>
      <c r="F371" s="9" t="s">
        <v>187</v>
      </c>
    </row>
    <row r="372">
      <c r="A372" s="12" t="s">
        <v>880</v>
      </c>
      <c r="B372" s="7"/>
      <c r="E372" s="9" t="s">
        <v>881</v>
      </c>
      <c r="F372" s="9" t="s">
        <v>882</v>
      </c>
    </row>
    <row r="373">
      <c r="A373" s="12" t="s">
        <v>883</v>
      </c>
      <c r="B373" s="7"/>
      <c r="C373" s="6" t="s">
        <v>875</v>
      </c>
      <c r="D373" s="8" t="s">
        <v>879</v>
      </c>
      <c r="E373" s="9" t="s">
        <v>884</v>
      </c>
      <c r="F373" s="9" t="s">
        <v>885</v>
      </c>
    </row>
    <row r="374">
      <c r="A374" s="12" t="s">
        <v>886</v>
      </c>
      <c r="B374" s="7"/>
      <c r="E374" s="9" t="s">
        <v>887</v>
      </c>
      <c r="F374" s="9" t="s">
        <v>888</v>
      </c>
    </row>
    <row r="375">
      <c r="A375" s="12" t="s">
        <v>329</v>
      </c>
      <c r="B375" s="7"/>
      <c r="C375" s="6" t="s">
        <v>889</v>
      </c>
      <c r="D375" s="8" t="s">
        <v>890</v>
      </c>
      <c r="E375" s="9" t="s">
        <v>330</v>
      </c>
      <c r="F375" s="9" t="s">
        <v>331</v>
      </c>
    </row>
    <row r="376">
      <c r="A376" s="12" t="s">
        <v>68</v>
      </c>
      <c r="B376" s="7"/>
      <c r="C376" s="6" t="s">
        <v>889</v>
      </c>
      <c r="D376" s="8" t="s">
        <v>890</v>
      </c>
      <c r="E376" s="9" t="s">
        <v>891</v>
      </c>
      <c r="F376" s="9" t="s">
        <v>70</v>
      </c>
      <c r="I376" s="9"/>
      <c r="J376" s="9"/>
    </row>
    <row r="377">
      <c r="A377" s="7"/>
      <c r="B377" s="7"/>
      <c r="E377" s="9" t="s">
        <v>892</v>
      </c>
      <c r="F377" s="9" t="s">
        <v>893</v>
      </c>
      <c r="I377" s="9"/>
      <c r="J377" s="9"/>
    </row>
    <row r="378">
      <c r="A378" s="36"/>
      <c r="B378" s="7"/>
      <c r="E378" s="9" t="s">
        <v>93</v>
      </c>
      <c r="F378" s="9" t="s">
        <v>94</v>
      </c>
      <c r="I378" s="9"/>
      <c r="J378" s="9"/>
    </row>
    <row r="379">
      <c r="A379" s="12" t="s">
        <v>332</v>
      </c>
      <c r="B379" s="7"/>
      <c r="E379" s="9" t="s">
        <v>894</v>
      </c>
      <c r="F379" s="9" t="s">
        <v>334</v>
      </c>
      <c r="I379" s="9"/>
      <c r="J379" s="9"/>
    </row>
    <row r="380">
      <c r="A380" s="36"/>
      <c r="B380" s="7"/>
      <c r="E380" s="9" t="s">
        <v>895</v>
      </c>
      <c r="F380" s="9" t="s">
        <v>896</v>
      </c>
      <c r="I380" s="9"/>
      <c r="J380" s="9"/>
    </row>
    <row r="381">
      <c r="A381" s="12" t="s">
        <v>89</v>
      </c>
      <c r="B381" s="7"/>
      <c r="E381" s="9" t="s">
        <v>90</v>
      </c>
      <c r="F381" s="9" t="s">
        <v>91</v>
      </c>
      <c r="I381" s="9"/>
      <c r="J381" s="9"/>
    </row>
    <row r="382">
      <c r="A382" s="12" t="s">
        <v>897</v>
      </c>
      <c r="B382" s="7"/>
      <c r="C382" s="6" t="s">
        <v>889</v>
      </c>
      <c r="D382" s="8" t="s">
        <v>898</v>
      </c>
      <c r="E382" s="9" t="s">
        <v>899</v>
      </c>
      <c r="F382" s="9" t="s">
        <v>900</v>
      </c>
      <c r="I382" s="9"/>
      <c r="J382" s="9"/>
    </row>
    <row r="383">
      <c r="A383" s="12" t="s">
        <v>901</v>
      </c>
      <c r="B383" s="7"/>
      <c r="E383" s="9" t="s">
        <v>902</v>
      </c>
      <c r="F383" s="9" t="s">
        <v>903</v>
      </c>
    </row>
    <row r="384">
      <c r="A384" s="12" t="s">
        <v>313</v>
      </c>
      <c r="B384" s="7"/>
      <c r="C384" s="6" t="s">
        <v>875</v>
      </c>
      <c r="D384" s="8" t="s">
        <v>904</v>
      </c>
      <c r="E384" s="9" t="s">
        <v>315</v>
      </c>
      <c r="F384" s="9" t="s">
        <v>316</v>
      </c>
    </row>
    <row r="385">
      <c r="A385" s="6"/>
      <c r="B385" s="6" t="s">
        <v>391</v>
      </c>
      <c r="C385" s="6" t="s">
        <v>905</v>
      </c>
      <c r="D385" s="8" t="s">
        <v>906</v>
      </c>
      <c r="E385" s="39" t="s">
        <v>907</v>
      </c>
      <c r="F385" s="12" t="s">
        <v>908</v>
      </c>
    </row>
    <row r="386">
      <c r="A386" s="36"/>
      <c r="B386" s="7"/>
      <c r="C386" s="6" t="s">
        <v>905</v>
      </c>
      <c r="D386" s="8" t="s">
        <v>909</v>
      </c>
      <c r="E386" s="9" t="s">
        <v>910</v>
      </c>
      <c r="F386" s="9" t="s">
        <v>911</v>
      </c>
    </row>
    <row r="387">
      <c r="A387" s="36"/>
      <c r="B387" s="7"/>
      <c r="E387" s="9" t="s">
        <v>912</v>
      </c>
      <c r="F387" s="9" t="s">
        <v>913</v>
      </c>
    </row>
    <row r="388">
      <c r="A388" s="36"/>
      <c r="B388" s="7"/>
      <c r="E388" s="9" t="s">
        <v>914</v>
      </c>
      <c r="F388" s="9" t="s">
        <v>16</v>
      </c>
    </row>
    <row r="389">
      <c r="A389" s="12" t="s">
        <v>915</v>
      </c>
      <c r="B389" s="7"/>
      <c r="C389" s="6" t="s">
        <v>916</v>
      </c>
      <c r="D389" s="8" t="s">
        <v>917</v>
      </c>
      <c r="E389" s="9" t="s">
        <v>918</v>
      </c>
      <c r="F389" s="9" t="s">
        <v>919</v>
      </c>
    </row>
    <row r="390">
      <c r="A390" s="36"/>
      <c r="B390" s="7"/>
      <c r="E390" s="16" t="s">
        <v>907</v>
      </c>
      <c r="F390" s="9" t="s">
        <v>908</v>
      </c>
    </row>
    <row r="391">
      <c r="A391" s="12" t="s">
        <v>181</v>
      </c>
      <c r="B391" s="7"/>
      <c r="C391" s="6" t="s">
        <v>916</v>
      </c>
      <c r="D391" s="8" t="s">
        <v>920</v>
      </c>
      <c r="E391" s="9" t="s">
        <v>183</v>
      </c>
      <c r="F391" s="9" t="s">
        <v>184</v>
      </c>
    </row>
    <row r="392">
      <c r="A392" s="7"/>
      <c r="B392" s="7"/>
      <c r="C392" s="6" t="s">
        <v>916</v>
      </c>
      <c r="D392" s="20" t="s">
        <v>921</v>
      </c>
      <c r="E392" s="39" t="s">
        <v>922</v>
      </c>
      <c r="F392" s="9" t="s">
        <v>923</v>
      </c>
    </row>
    <row r="393">
      <c r="A393" s="12" t="s">
        <v>915</v>
      </c>
      <c r="B393" s="7"/>
      <c r="C393" s="6" t="s">
        <v>924</v>
      </c>
      <c r="D393" s="8" t="s">
        <v>925</v>
      </c>
      <c r="E393" s="38" t="s">
        <v>918</v>
      </c>
      <c r="F393" s="38" t="s">
        <v>919</v>
      </c>
    </row>
    <row r="394">
      <c r="A394" s="12" t="s">
        <v>926</v>
      </c>
      <c r="B394" s="7"/>
      <c r="E394" s="38" t="s">
        <v>927</v>
      </c>
      <c r="F394" s="38" t="s">
        <v>928</v>
      </c>
    </row>
    <row r="395">
      <c r="A395" s="36"/>
      <c r="B395" s="7"/>
      <c r="C395" s="6" t="s">
        <v>929</v>
      </c>
      <c r="D395" s="8" t="s">
        <v>930</v>
      </c>
      <c r="E395" s="22" t="s">
        <v>471</v>
      </c>
      <c r="F395" s="22" t="s">
        <v>472</v>
      </c>
    </row>
    <row r="396">
      <c r="A396" s="36"/>
      <c r="B396" s="7"/>
      <c r="E396" s="22" t="s">
        <v>179</v>
      </c>
      <c r="F396" s="22" t="s">
        <v>180</v>
      </c>
    </row>
    <row r="397">
      <c r="A397" s="36"/>
      <c r="B397" s="7"/>
      <c r="E397" s="22" t="s">
        <v>680</v>
      </c>
      <c r="F397" s="22" t="s">
        <v>177</v>
      </c>
    </row>
    <row r="398">
      <c r="A398" s="36"/>
      <c r="B398" s="7"/>
      <c r="E398" s="22" t="s">
        <v>931</v>
      </c>
      <c r="F398" s="22" t="s">
        <v>932</v>
      </c>
    </row>
    <row r="399">
      <c r="A399" s="12" t="s">
        <v>933</v>
      </c>
      <c r="C399" s="6" t="s">
        <v>929</v>
      </c>
      <c r="D399" s="20" t="s">
        <v>934</v>
      </c>
      <c r="E399" s="9" t="s">
        <v>935</v>
      </c>
      <c r="F399" s="9" t="s">
        <v>936</v>
      </c>
    </row>
    <row r="400">
      <c r="A400" s="36"/>
      <c r="B400" s="12"/>
      <c r="C400" s="6" t="s">
        <v>937</v>
      </c>
      <c r="D400" s="8" t="s">
        <v>938</v>
      </c>
      <c r="E400" s="9" t="s">
        <v>939</v>
      </c>
      <c r="F400" s="9" t="s">
        <v>940</v>
      </c>
    </row>
    <row r="401">
      <c r="A401" s="36"/>
      <c r="B401" s="7"/>
      <c r="C401" s="6" t="s">
        <v>929</v>
      </c>
      <c r="D401" s="8" t="s">
        <v>941</v>
      </c>
      <c r="E401" s="22" t="s">
        <v>942</v>
      </c>
      <c r="F401" s="22" t="s">
        <v>943</v>
      </c>
    </row>
    <row r="402">
      <c r="A402" s="36"/>
      <c r="B402" s="7"/>
      <c r="C402" s="6" t="s">
        <v>944</v>
      </c>
      <c r="D402" s="8" t="s">
        <v>945</v>
      </c>
      <c r="E402" s="9" t="s">
        <v>946</v>
      </c>
      <c r="F402" s="9" t="s">
        <v>947</v>
      </c>
    </row>
    <row r="403">
      <c r="A403" s="12" t="s">
        <v>948</v>
      </c>
      <c r="C403" s="6" t="s">
        <v>949</v>
      </c>
      <c r="D403" s="8" t="s">
        <v>950</v>
      </c>
      <c r="E403" s="9" t="s">
        <v>951</v>
      </c>
      <c r="F403" s="9" t="s">
        <v>952</v>
      </c>
    </row>
    <row r="404">
      <c r="A404" s="12" t="s">
        <v>507</v>
      </c>
      <c r="B404" s="7"/>
      <c r="C404" s="6" t="s">
        <v>953</v>
      </c>
      <c r="D404" s="8" t="s">
        <v>954</v>
      </c>
      <c r="E404" s="9" t="s">
        <v>508</v>
      </c>
      <c r="F404" s="9" t="s">
        <v>509</v>
      </c>
    </row>
    <row r="405">
      <c r="A405" s="12" t="s">
        <v>955</v>
      </c>
      <c r="B405" s="7"/>
      <c r="C405" s="6" t="s">
        <v>956</v>
      </c>
      <c r="D405" s="8" t="s">
        <v>957</v>
      </c>
      <c r="E405" s="9" t="s">
        <v>958</v>
      </c>
      <c r="F405" s="9" t="s">
        <v>959</v>
      </c>
    </row>
    <row r="406">
      <c r="A406" s="12" t="s">
        <v>960</v>
      </c>
      <c r="B406" s="7"/>
      <c r="E406" s="12" t="s">
        <v>961</v>
      </c>
      <c r="F406" s="12" t="s">
        <v>962</v>
      </c>
    </row>
    <row r="407">
      <c r="A407" s="7"/>
      <c r="B407" s="7"/>
      <c r="E407" s="43">
        <v>44316.0</v>
      </c>
      <c r="F407" s="9" t="s">
        <v>963</v>
      </c>
    </row>
    <row r="408">
      <c r="A408" s="12" t="s">
        <v>964</v>
      </c>
      <c r="B408" s="7"/>
      <c r="C408" s="6" t="s">
        <v>965</v>
      </c>
      <c r="D408" s="8" t="s">
        <v>966</v>
      </c>
      <c r="E408" s="9" t="s">
        <v>967</v>
      </c>
      <c r="F408" s="9" t="s">
        <v>968</v>
      </c>
    </row>
    <row r="409">
      <c r="A409" s="12" t="s">
        <v>969</v>
      </c>
      <c r="B409" s="7"/>
      <c r="C409" s="6" t="s">
        <v>742</v>
      </c>
      <c r="D409" s="8" t="s">
        <v>970</v>
      </c>
      <c r="E409" s="9" t="s">
        <v>971</v>
      </c>
      <c r="F409" s="9" t="s">
        <v>972</v>
      </c>
    </row>
    <row r="410">
      <c r="A410" s="12" t="s">
        <v>973</v>
      </c>
      <c r="B410" s="7"/>
      <c r="C410" s="44" t="s">
        <v>742</v>
      </c>
      <c r="D410" s="8" t="s">
        <v>974</v>
      </c>
      <c r="E410" s="9" t="s">
        <v>975</v>
      </c>
      <c r="F410" s="9" t="s">
        <v>976</v>
      </c>
    </row>
    <row r="411">
      <c r="A411" s="12" t="s">
        <v>977</v>
      </c>
      <c r="B411" s="7"/>
      <c r="E411" s="9" t="s">
        <v>978</v>
      </c>
      <c r="F411" s="9" t="s">
        <v>979</v>
      </c>
    </row>
    <row r="412">
      <c r="A412" s="12" t="s">
        <v>980</v>
      </c>
      <c r="B412" s="7"/>
      <c r="C412" s="6" t="s">
        <v>742</v>
      </c>
      <c r="D412" s="8" t="s">
        <v>981</v>
      </c>
      <c r="E412" s="9" t="s">
        <v>982</v>
      </c>
      <c r="F412" s="9" t="s">
        <v>983</v>
      </c>
    </row>
    <row r="413">
      <c r="A413" s="19" t="s">
        <v>984</v>
      </c>
      <c r="B413" s="6" t="s">
        <v>985</v>
      </c>
      <c r="C413" s="6" t="s">
        <v>986</v>
      </c>
      <c r="D413" s="8" t="s">
        <v>987</v>
      </c>
      <c r="E413" s="9" t="s">
        <v>988</v>
      </c>
      <c r="F413" s="9" t="s">
        <v>989</v>
      </c>
    </row>
    <row r="414">
      <c r="A414" s="36"/>
      <c r="B414" s="7"/>
      <c r="C414" s="6" t="s">
        <v>986</v>
      </c>
      <c r="D414" s="8" t="s">
        <v>990</v>
      </c>
      <c r="E414" s="45" t="s">
        <v>991</v>
      </c>
      <c r="F414" s="9" t="s">
        <v>992</v>
      </c>
    </row>
    <row r="415">
      <c r="A415" s="36"/>
      <c r="B415" s="7"/>
      <c r="E415" s="45" t="s">
        <v>259</v>
      </c>
      <c r="F415" s="9" t="s">
        <v>260</v>
      </c>
    </row>
    <row r="416">
      <c r="A416" s="36"/>
      <c r="B416" s="7"/>
      <c r="E416" s="45" t="s">
        <v>993</v>
      </c>
      <c r="F416" s="9" t="s">
        <v>994</v>
      </c>
    </row>
    <row r="417">
      <c r="A417" s="36"/>
      <c r="B417" s="7"/>
      <c r="C417" s="6" t="s">
        <v>986</v>
      </c>
      <c r="D417" s="8" t="s">
        <v>995</v>
      </c>
      <c r="E417" s="45" t="s">
        <v>996</v>
      </c>
      <c r="F417" s="9" t="s">
        <v>997</v>
      </c>
    </row>
    <row r="418">
      <c r="A418" s="36"/>
      <c r="B418" s="7"/>
      <c r="E418" s="9" t="s">
        <v>259</v>
      </c>
      <c r="F418" s="9" t="s">
        <v>260</v>
      </c>
    </row>
    <row r="419">
      <c r="A419" s="12" t="s">
        <v>998</v>
      </c>
      <c r="B419" s="7"/>
      <c r="E419" s="12" t="s">
        <v>999</v>
      </c>
      <c r="F419" s="12" t="s">
        <v>1000</v>
      </c>
    </row>
    <row r="420">
      <c r="A420" s="12" t="s">
        <v>1001</v>
      </c>
      <c r="B420" s="7"/>
      <c r="C420" s="6" t="s">
        <v>986</v>
      </c>
      <c r="D420" s="8" t="s">
        <v>1002</v>
      </c>
      <c r="E420" s="9" t="s">
        <v>1003</v>
      </c>
      <c r="F420" s="9" t="s">
        <v>1004</v>
      </c>
    </row>
    <row r="421">
      <c r="A421" s="12" t="s">
        <v>505</v>
      </c>
      <c r="B421" s="7"/>
      <c r="E421" s="9" t="s">
        <v>1005</v>
      </c>
      <c r="F421" s="9" t="s">
        <v>1006</v>
      </c>
    </row>
    <row r="422">
      <c r="A422" s="19" t="s">
        <v>1007</v>
      </c>
      <c r="B422" s="6" t="s">
        <v>1008</v>
      </c>
      <c r="C422" s="6" t="s">
        <v>1009</v>
      </c>
      <c r="D422" s="8" t="s">
        <v>1010</v>
      </c>
      <c r="E422" s="9" t="s">
        <v>1011</v>
      </c>
      <c r="F422" s="9" t="s">
        <v>1012</v>
      </c>
    </row>
    <row r="423">
      <c r="A423" s="12" t="s">
        <v>1013</v>
      </c>
      <c r="B423" s="7"/>
      <c r="C423" s="6" t="s">
        <v>1009</v>
      </c>
      <c r="D423" s="8" t="s">
        <v>1014</v>
      </c>
      <c r="E423" s="9" t="s">
        <v>1015</v>
      </c>
      <c r="F423" s="9" t="s">
        <v>1016</v>
      </c>
    </row>
    <row r="424">
      <c r="A424" s="12" t="s">
        <v>1007</v>
      </c>
      <c r="B424" s="7"/>
      <c r="E424" s="9" t="s">
        <v>1011</v>
      </c>
      <c r="F424" s="9" t="s">
        <v>1012</v>
      </c>
    </row>
    <row r="425">
      <c r="A425" s="19" t="s">
        <v>1017</v>
      </c>
      <c r="B425" s="6" t="s">
        <v>508</v>
      </c>
      <c r="C425" s="6" t="s">
        <v>1018</v>
      </c>
      <c r="D425" s="27" t="s">
        <v>1019</v>
      </c>
      <c r="E425" s="46" t="s">
        <v>1020</v>
      </c>
      <c r="F425" s="46" t="s">
        <v>1021</v>
      </c>
    </row>
    <row r="426">
      <c r="A426" s="19" t="s">
        <v>1022</v>
      </c>
      <c r="B426" s="6" t="s">
        <v>1023</v>
      </c>
      <c r="C426" s="7"/>
      <c r="D426" s="8" t="s">
        <v>1024</v>
      </c>
      <c r="E426" s="46" t="s">
        <v>1025</v>
      </c>
      <c r="F426" s="46" t="s">
        <v>1026</v>
      </c>
    </row>
    <row r="427">
      <c r="A427" s="12" t="s">
        <v>1027</v>
      </c>
      <c r="B427" s="7"/>
      <c r="C427" s="6" t="s">
        <v>1028</v>
      </c>
      <c r="D427" s="47" t="s">
        <v>1029</v>
      </c>
      <c r="E427" s="46" t="s">
        <v>1030</v>
      </c>
      <c r="F427" s="46" t="s">
        <v>1031</v>
      </c>
    </row>
    <row r="428">
      <c r="A428" s="19" t="s">
        <v>926</v>
      </c>
      <c r="B428" s="6" t="s">
        <v>12</v>
      </c>
      <c r="C428" s="6" t="s">
        <v>1032</v>
      </c>
      <c r="D428" s="8" t="s">
        <v>1033</v>
      </c>
      <c r="E428" s="30" t="s">
        <v>927</v>
      </c>
      <c r="F428" s="30" t="s">
        <v>1034</v>
      </c>
    </row>
    <row r="429">
      <c r="A429" s="12" t="s">
        <v>1035</v>
      </c>
      <c r="B429" s="7"/>
      <c r="C429" s="6" t="s">
        <v>841</v>
      </c>
      <c r="D429" s="8" t="s">
        <v>1036</v>
      </c>
      <c r="E429" s="9" t="s">
        <v>1037</v>
      </c>
      <c r="F429" s="9" t="s">
        <v>1038</v>
      </c>
    </row>
    <row r="430">
      <c r="A430" s="48" t="s">
        <v>1039</v>
      </c>
      <c r="B430" s="7"/>
      <c r="C430" s="6" t="s">
        <v>450</v>
      </c>
      <c r="D430" s="8" t="s">
        <v>1040</v>
      </c>
      <c r="E430" s="30" t="s">
        <v>485</v>
      </c>
      <c r="F430" s="30" t="s">
        <v>486</v>
      </c>
    </row>
    <row r="431">
      <c r="A431" s="40"/>
      <c r="B431" s="7"/>
      <c r="C431" s="6" t="s">
        <v>450</v>
      </c>
      <c r="D431" s="8" t="s">
        <v>1041</v>
      </c>
      <c r="E431" s="9" t="s">
        <v>1042</v>
      </c>
      <c r="F431" s="9" t="s">
        <v>1043</v>
      </c>
    </row>
    <row r="432">
      <c r="A432" s="12" t="s">
        <v>1039</v>
      </c>
      <c r="B432" s="7"/>
      <c r="C432" s="6" t="s">
        <v>450</v>
      </c>
      <c r="D432" s="8" t="s">
        <v>1044</v>
      </c>
      <c r="E432" s="9" t="s">
        <v>485</v>
      </c>
      <c r="F432" s="9" t="s">
        <v>486</v>
      </c>
    </row>
    <row r="433">
      <c r="A433" s="12" t="s">
        <v>1045</v>
      </c>
      <c r="B433" s="7"/>
      <c r="C433" s="19" t="s">
        <v>450</v>
      </c>
      <c r="D433" s="8" t="s">
        <v>1046</v>
      </c>
      <c r="E433" s="12" t="s">
        <v>1047</v>
      </c>
      <c r="F433" s="12" t="s">
        <v>1048</v>
      </c>
    </row>
    <row r="434">
      <c r="A434" s="12" t="s">
        <v>675</v>
      </c>
      <c r="B434" s="7"/>
      <c r="C434" s="6" t="s">
        <v>677</v>
      </c>
      <c r="D434" s="8" t="s">
        <v>1049</v>
      </c>
      <c r="E434" s="9" t="s">
        <v>677</v>
      </c>
      <c r="F434" s="9" t="s">
        <v>453</v>
      </c>
    </row>
    <row r="435">
      <c r="A435" s="12" t="s">
        <v>1050</v>
      </c>
      <c r="B435" s="7"/>
      <c r="C435" s="6" t="s">
        <v>1051</v>
      </c>
      <c r="D435" s="8" t="s">
        <v>1052</v>
      </c>
      <c r="E435" s="9" t="s">
        <v>1051</v>
      </c>
      <c r="F435" s="9" t="s">
        <v>1053</v>
      </c>
    </row>
    <row r="436">
      <c r="A436" s="19" t="s">
        <v>1054</v>
      </c>
      <c r="B436" s="6" t="s">
        <v>1055</v>
      </c>
      <c r="C436" s="6" t="s">
        <v>9</v>
      </c>
      <c r="D436" s="8" t="s">
        <v>1056</v>
      </c>
      <c r="E436" s="9" t="s">
        <v>9</v>
      </c>
      <c r="F436" s="9" t="s">
        <v>1057</v>
      </c>
    </row>
    <row r="437">
      <c r="A437" s="12" t="s">
        <v>1058</v>
      </c>
      <c r="B437" s="9"/>
      <c r="E437" s="9" t="s">
        <v>1059</v>
      </c>
      <c r="F437" s="9" t="s">
        <v>1060</v>
      </c>
    </row>
    <row r="438">
      <c r="A438" s="11" t="s">
        <v>1061</v>
      </c>
      <c r="B438" s="7"/>
      <c r="C438" s="6" t="s">
        <v>9</v>
      </c>
      <c r="D438" s="8" t="s">
        <v>1062</v>
      </c>
      <c r="E438" s="9" t="s">
        <v>1063</v>
      </c>
      <c r="F438" s="9" t="s">
        <v>1064</v>
      </c>
    </row>
    <row r="439">
      <c r="A439" s="11" t="s">
        <v>1065</v>
      </c>
      <c r="B439" s="7"/>
      <c r="C439" s="6" t="s">
        <v>9</v>
      </c>
      <c r="D439" s="8" t="s">
        <v>1066</v>
      </c>
      <c r="E439" s="9" t="s">
        <v>1067</v>
      </c>
      <c r="F439" s="9" t="s">
        <v>1068</v>
      </c>
    </row>
    <row r="440">
      <c r="A440" s="17" t="s">
        <v>1069</v>
      </c>
      <c r="B440" s="7"/>
      <c r="C440" s="6" t="s">
        <v>1070</v>
      </c>
      <c r="D440" s="8" t="s">
        <v>1071</v>
      </c>
      <c r="E440" s="9" t="s">
        <v>1070</v>
      </c>
      <c r="F440" s="9" t="s">
        <v>1072</v>
      </c>
    </row>
    <row r="441">
      <c r="A441" s="12" t="s">
        <v>1073</v>
      </c>
      <c r="B441" s="7"/>
      <c r="C441" s="6" t="s">
        <v>1070</v>
      </c>
      <c r="D441" s="8" t="s">
        <v>1074</v>
      </c>
      <c r="E441" s="9" t="s">
        <v>1075</v>
      </c>
      <c r="F441" s="9" t="s">
        <v>1076</v>
      </c>
    </row>
    <row r="442">
      <c r="A442" s="12" t="s">
        <v>1077</v>
      </c>
      <c r="B442" s="7"/>
      <c r="E442" s="9" t="s">
        <v>1078</v>
      </c>
      <c r="F442" s="9" t="s">
        <v>1079</v>
      </c>
    </row>
    <row r="443">
      <c r="A443" s="11" t="s">
        <v>1080</v>
      </c>
      <c r="B443" s="7"/>
      <c r="E443" s="9" t="s">
        <v>1081</v>
      </c>
      <c r="F443" s="9" t="s">
        <v>1082</v>
      </c>
    </row>
    <row r="444">
      <c r="A444" s="17" t="s">
        <v>1083</v>
      </c>
      <c r="B444" s="7"/>
      <c r="E444" s="9" t="s">
        <v>1084</v>
      </c>
      <c r="F444" s="9" t="s">
        <v>1085</v>
      </c>
    </row>
    <row r="445">
      <c r="A445" s="49" t="s">
        <v>1086</v>
      </c>
      <c r="B445" s="7"/>
      <c r="E445" s="9" t="s">
        <v>1087</v>
      </c>
      <c r="F445" s="9" t="s">
        <v>1088</v>
      </c>
    </row>
    <row r="446">
      <c r="A446" s="17" t="s">
        <v>1089</v>
      </c>
      <c r="B446" s="7"/>
      <c r="C446" s="6" t="s">
        <v>1090</v>
      </c>
      <c r="D446" s="8" t="s">
        <v>1091</v>
      </c>
      <c r="E446" s="9" t="s">
        <v>1090</v>
      </c>
      <c r="F446" s="9" t="s">
        <v>1092</v>
      </c>
    </row>
    <row r="447">
      <c r="A447" s="12" t="s">
        <v>14</v>
      </c>
      <c r="B447" s="7"/>
      <c r="C447" s="6" t="s">
        <v>1090</v>
      </c>
      <c r="D447" s="8" t="s">
        <v>1093</v>
      </c>
      <c r="E447" s="9" t="s">
        <v>391</v>
      </c>
      <c r="F447" s="9" t="s">
        <v>16</v>
      </c>
    </row>
    <row r="448">
      <c r="A448" s="12" t="s">
        <v>338</v>
      </c>
      <c r="B448" s="7"/>
      <c r="E448" s="9" t="s">
        <v>339</v>
      </c>
      <c r="F448" s="9" t="s">
        <v>340</v>
      </c>
    </row>
    <row r="449">
      <c r="A449" s="12" t="s">
        <v>14</v>
      </c>
      <c r="B449" s="7"/>
      <c r="C449" s="6" t="s">
        <v>1094</v>
      </c>
      <c r="D449" s="8" t="s">
        <v>1095</v>
      </c>
      <c r="E449" s="9" t="s">
        <v>914</v>
      </c>
      <c r="F449" s="9" t="s">
        <v>16</v>
      </c>
    </row>
    <row r="450">
      <c r="A450" s="17" t="s">
        <v>1096</v>
      </c>
      <c r="B450" s="7"/>
      <c r="E450" s="9" t="s">
        <v>1097</v>
      </c>
      <c r="F450" s="9" t="s">
        <v>1098</v>
      </c>
    </row>
    <row r="451">
      <c r="A451" s="12" t="s">
        <v>467</v>
      </c>
      <c r="B451" s="7"/>
      <c r="E451" s="9" t="s">
        <v>1099</v>
      </c>
      <c r="F451" s="9" t="s">
        <v>444</v>
      </c>
    </row>
    <row r="452">
      <c r="A452" s="17" t="s">
        <v>1100</v>
      </c>
      <c r="B452" s="7"/>
      <c r="E452" s="9" t="s">
        <v>1101</v>
      </c>
      <c r="F452" s="9" t="s">
        <v>1102</v>
      </c>
    </row>
    <row r="453">
      <c r="A453" s="17" t="s">
        <v>1103</v>
      </c>
      <c r="B453" s="7"/>
      <c r="E453" s="9" t="s">
        <v>1104</v>
      </c>
      <c r="F453" s="9" t="s">
        <v>1105</v>
      </c>
    </row>
    <row r="454">
      <c r="A454" s="9" t="s">
        <v>1106</v>
      </c>
      <c r="B454" s="7"/>
      <c r="C454" s="6" t="s">
        <v>1094</v>
      </c>
      <c r="D454" s="8" t="s">
        <v>1107</v>
      </c>
      <c r="E454" s="15" t="s">
        <v>102</v>
      </c>
      <c r="F454" s="15" t="s">
        <v>103</v>
      </c>
    </row>
    <row r="455">
      <c r="B455" s="7"/>
      <c r="E455" s="15" t="s">
        <v>104</v>
      </c>
      <c r="F455" s="15" t="s">
        <v>105</v>
      </c>
    </row>
    <row r="456">
      <c r="B456" s="7"/>
      <c r="E456" s="15" t="s">
        <v>106</v>
      </c>
      <c r="F456" s="15" t="s">
        <v>107</v>
      </c>
    </row>
    <row r="457">
      <c r="B457" s="7"/>
      <c r="E457" s="15" t="s">
        <v>108</v>
      </c>
      <c r="F457" s="15" t="s">
        <v>109</v>
      </c>
    </row>
    <row r="458">
      <c r="B458" s="7"/>
      <c r="E458" s="15" t="s">
        <v>110</v>
      </c>
      <c r="F458" s="15" t="s">
        <v>111</v>
      </c>
    </row>
    <row r="459">
      <c r="B459" s="7"/>
      <c r="E459" s="15" t="s">
        <v>112</v>
      </c>
      <c r="F459" s="15" t="s">
        <v>113</v>
      </c>
    </row>
    <row r="460">
      <c r="B460" s="7"/>
      <c r="E460" s="15" t="s">
        <v>114</v>
      </c>
      <c r="F460" s="15" t="s">
        <v>115</v>
      </c>
    </row>
    <row r="461">
      <c r="B461" s="7"/>
      <c r="E461" s="15" t="s">
        <v>116</v>
      </c>
      <c r="F461" s="15" t="s">
        <v>117</v>
      </c>
    </row>
    <row r="462">
      <c r="B462" s="7"/>
      <c r="E462" s="15" t="s">
        <v>118</v>
      </c>
      <c r="F462" s="15" t="s">
        <v>119</v>
      </c>
    </row>
    <row r="463">
      <c r="B463" s="7"/>
      <c r="E463" s="15" t="s">
        <v>120</v>
      </c>
      <c r="F463" s="15" t="s">
        <v>121</v>
      </c>
    </row>
    <row r="464">
      <c r="B464" s="7"/>
      <c r="E464" s="15" t="s">
        <v>122</v>
      </c>
      <c r="F464" s="15" t="s">
        <v>123</v>
      </c>
    </row>
    <row r="465">
      <c r="B465" s="7"/>
      <c r="E465" s="15" t="s">
        <v>124</v>
      </c>
      <c r="F465" s="15" t="s">
        <v>125</v>
      </c>
    </row>
    <row r="466">
      <c r="B466" s="7"/>
      <c r="E466" s="15" t="s">
        <v>126</v>
      </c>
      <c r="F466" s="15" t="s">
        <v>127</v>
      </c>
    </row>
    <row r="467">
      <c r="B467" s="7"/>
      <c r="E467" s="15" t="s">
        <v>128</v>
      </c>
      <c r="F467" s="15" t="s">
        <v>129</v>
      </c>
    </row>
    <row r="468">
      <c r="B468" s="7"/>
      <c r="E468" s="15" t="s">
        <v>130</v>
      </c>
      <c r="F468" s="15" t="s">
        <v>131</v>
      </c>
    </row>
    <row r="469">
      <c r="B469" s="7"/>
      <c r="E469" s="15" t="s">
        <v>133</v>
      </c>
      <c r="F469" s="15" t="s">
        <v>134</v>
      </c>
    </row>
    <row r="470">
      <c r="B470" s="7"/>
      <c r="E470" s="15" t="s">
        <v>135</v>
      </c>
      <c r="F470" s="15" t="s">
        <v>136</v>
      </c>
    </row>
    <row r="471">
      <c r="B471" s="7"/>
      <c r="E471" s="15" t="s">
        <v>137</v>
      </c>
      <c r="F471" s="15" t="s">
        <v>138</v>
      </c>
    </row>
    <row r="472">
      <c r="B472" s="7"/>
      <c r="E472" s="15" t="s">
        <v>139</v>
      </c>
      <c r="F472" s="15" t="s">
        <v>140</v>
      </c>
    </row>
    <row r="473">
      <c r="A473" s="12" t="s">
        <v>1108</v>
      </c>
      <c r="B473" s="7"/>
      <c r="C473" s="6" t="s">
        <v>1094</v>
      </c>
      <c r="D473" s="8" t="s">
        <v>1109</v>
      </c>
      <c r="E473" s="9" t="s">
        <v>382</v>
      </c>
      <c r="F473" s="9" t="s">
        <v>383</v>
      </c>
    </row>
    <row r="474">
      <c r="A474" s="17" t="s">
        <v>313</v>
      </c>
      <c r="B474" s="7"/>
      <c r="C474" s="6" t="s">
        <v>1110</v>
      </c>
      <c r="D474" s="8" t="s">
        <v>1111</v>
      </c>
      <c r="E474" s="9" t="s">
        <v>315</v>
      </c>
      <c r="F474" s="9" t="s">
        <v>316</v>
      </c>
    </row>
    <row r="475">
      <c r="A475" s="17" t="s">
        <v>1112</v>
      </c>
      <c r="B475" s="7"/>
      <c r="C475" s="6" t="s">
        <v>1113</v>
      </c>
      <c r="D475" s="8" t="s">
        <v>1114</v>
      </c>
      <c r="E475" s="9" t="s">
        <v>1115</v>
      </c>
      <c r="F475" s="9" t="s">
        <v>1116</v>
      </c>
    </row>
    <row r="476">
      <c r="A476" s="50" t="s">
        <v>1117</v>
      </c>
      <c r="B476" s="7"/>
      <c r="C476" s="6" t="s">
        <v>1118</v>
      </c>
      <c r="D476" s="8" t="s">
        <v>1119</v>
      </c>
      <c r="E476" s="7" t="s">
        <v>1120</v>
      </c>
      <c r="F476" s="7" t="s">
        <v>1121</v>
      </c>
    </row>
    <row r="477">
      <c r="B477" s="7"/>
      <c r="E477" s="7" t="s">
        <v>1122</v>
      </c>
      <c r="F477" s="7" t="s">
        <v>1123</v>
      </c>
    </row>
    <row r="478">
      <c r="A478" s="12" t="s">
        <v>14</v>
      </c>
      <c r="B478" s="7"/>
      <c r="C478" s="6" t="s">
        <v>391</v>
      </c>
      <c r="D478" s="8" t="s">
        <v>1124</v>
      </c>
      <c r="E478" s="9" t="s">
        <v>391</v>
      </c>
      <c r="F478" s="9" t="s">
        <v>16</v>
      </c>
    </row>
    <row r="479">
      <c r="A479" s="17" t="s">
        <v>1125</v>
      </c>
      <c r="B479" s="7"/>
      <c r="C479" s="6" t="s">
        <v>391</v>
      </c>
      <c r="D479" s="8" t="s">
        <v>1126</v>
      </c>
      <c r="E479" s="9" t="s">
        <v>1127</v>
      </c>
      <c r="F479" s="9" t="s">
        <v>1128</v>
      </c>
    </row>
    <row r="480">
      <c r="A480" s="17" t="s">
        <v>1100</v>
      </c>
      <c r="B480" s="7"/>
      <c r="C480" s="6" t="s">
        <v>1129</v>
      </c>
      <c r="D480" s="8" t="s">
        <v>1130</v>
      </c>
      <c r="E480" s="9" t="s">
        <v>1101</v>
      </c>
      <c r="F480" s="9" t="s">
        <v>1131</v>
      </c>
    </row>
    <row r="481">
      <c r="A481" s="17" t="s">
        <v>1132</v>
      </c>
      <c r="B481" s="7"/>
      <c r="C481" s="6" t="s">
        <v>1133</v>
      </c>
      <c r="D481" s="8" t="s">
        <v>1134</v>
      </c>
      <c r="E481" s="9" t="s">
        <v>1135</v>
      </c>
      <c r="F481" s="9" t="s">
        <v>1136</v>
      </c>
    </row>
    <row r="482">
      <c r="A482" s="17" t="s">
        <v>1137</v>
      </c>
      <c r="B482" s="7"/>
      <c r="E482" s="9" t="s">
        <v>1138</v>
      </c>
      <c r="F482" s="9" t="s">
        <v>1139</v>
      </c>
    </row>
    <row r="483">
      <c r="A483" s="17" t="s">
        <v>1140</v>
      </c>
      <c r="B483" s="7"/>
      <c r="E483" s="9" t="s">
        <v>1141</v>
      </c>
      <c r="F483" s="9" t="s">
        <v>1142</v>
      </c>
    </row>
    <row r="484">
      <c r="A484" s="12" t="s">
        <v>1143</v>
      </c>
      <c r="B484" s="7"/>
      <c r="E484" s="9" t="s">
        <v>1144</v>
      </c>
      <c r="F484" s="9" t="s">
        <v>1145</v>
      </c>
    </row>
    <row r="485">
      <c r="A485" s="17" t="s">
        <v>1146</v>
      </c>
      <c r="B485" s="7"/>
      <c r="E485" s="9" t="s">
        <v>1147</v>
      </c>
      <c r="F485" s="9" t="s">
        <v>1148</v>
      </c>
    </row>
    <row r="486">
      <c r="A486" s="17" t="s">
        <v>1149</v>
      </c>
      <c r="B486" s="7"/>
      <c r="C486" s="6" t="s">
        <v>1150</v>
      </c>
      <c r="D486" s="8" t="s">
        <v>1151</v>
      </c>
      <c r="E486" s="9" t="s">
        <v>1152</v>
      </c>
      <c r="F486" s="9" t="s">
        <v>1153</v>
      </c>
    </row>
    <row r="487">
      <c r="A487" s="12" t="s">
        <v>1154</v>
      </c>
      <c r="B487" s="7"/>
      <c r="C487" s="6" t="s">
        <v>1150</v>
      </c>
      <c r="D487" s="8" t="s">
        <v>1155</v>
      </c>
      <c r="E487" s="9" t="s">
        <v>1156</v>
      </c>
      <c r="F487" s="9" t="s">
        <v>1157</v>
      </c>
    </row>
    <row r="488">
      <c r="A488" s="17" t="s">
        <v>1158</v>
      </c>
      <c r="B488" s="7"/>
      <c r="C488" s="6" t="s">
        <v>1159</v>
      </c>
      <c r="D488" s="8" t="s">
        <v>1160</v>
      </c>
      <c r="E488" s="9" t="s">
        <v>1161</v>
      </c>
      <c r="F488" s="9" t="s">
        <v>1162</v>
      </c>
    </row>
    <row r="489">
      <c r="A489" s="17" t="s">
        <v>1163</v>
      </c>
      <c r="B489" s="7"/>
      <c r="C489" s="6" t="s">
        <v>1164</v>
      </c>
      <c r="D489" s="8" t="s">
        <v>1165</v>
      </c>
      <c r="E489" s="9" t="s">
        <v>1166</v>
      </c>
      <c r="F489" s="9" t="s">
        <v>1167</v>
      </c>
    </row>
    <row r="490">
      <c r="A490" s="17" t="s">
        <v>1168</v>
      </c>
      <c r="B490" s="7"/>
      <c r="E490" s="9" t="s">
        <v>1169</v>
      </c>
      <c r="F490" s="9" t="s">
        <v>1170</v>
      </c>
    </row>
    <row r="491">
      <c r="A491" s="17" t="s">
        <v>1171</v>
      </c>
      <c r="B491" s="7"/>
      <c r="C491" s="6" t="s">
        <v>1172</v>
      </c>
      <c r="D491" s="8" t="s">
        <v>1160</v>
      </c>
      <c r="E491" s="9" t="s">
        <v>703</v>
      </c>
      <c r="F491" s="9" t="s">
        <v>704</v>
      </c>
    </row>
    <row r="492">
      <c r="A492" s="17" t="s">
        <v>1173</v>
      </c>
      <c r="B492" s="7"/>
      <c r="E492" s="9" t="s">
        <v>1174</v>
      </c>
      <c r="F492" s="9" t="s">
        <v>1175</v>
      </c>
    </row>
    <row r="493">
      <c r="A493" s="17" t="s">
        <v>1176</v>
      </c>
      <c r="B493" s="7"/>
      <c r="C493" s="6" t="s">
        <v>1177</v>
      </c>
      <c r="D493" s="8" t="s">
        <v>1178</v>
      </c>
      <c r="E493" s="9" t="s">
        <v>1179</v>
      </c>
      <c r="F493" s="9" t="s">
        <v>1180</v>
      </c>
    </row>
    <row r="494">
      <c r="A494" s="17" t="s">
        <v>1181</v>
      </c>
      <c r="B494" s="7"/>
      <c r="E494" s="9" t="s">
        <v>1182</v>
      </c>
      <c r="F494" s="9" t="s">
        <v>1183</v>
      </c>
    </row>
    <row r="495">
      <c r="A495" s="17" t="s">
        <v>1184</v>
      </c>
      <c r="B495" s="7"/>
      <c r="E495" s="9" t="s">
        <v>1185</v>
      </c>
      <c r="F495" s="9" t="s">
        <v>1186</v>
      </c>
    </row>
    <row r="496">
      <c r="A496" s="12" t="s">
        <v>1187</v>
      </c>
      <c r="B496" s="7"/>
      <c r="E496" s="7" t="s">
        <v>1188</v>
      </c>
      <c r="F496" s="7" t="s">
        <v>1189</v>
      </c>
    </row>
    <row r="497">
      <c r="A497" s="17" t="s">
        <v>1190</v>
      </c>
      <c r="B497" s="7"/>
      <c r="E497" s="9" t="s">
        <v>1191</v>
      </c>
      <c r="F497" s="9" t="s">
        <v>1192</v>
      </c>
    </row>
    <row r="498">
      <c r="A498" s="12" t="s">
        <v>759</v>
      </c>
      <c r="B498" s="7"/>
      <c r="C498" s="6" t="s">
        <v>1177</v>
      </c>
      <c r="D498" s="8" t="s">
        <v>1193</v>
      </c>
      <c r="E498" s="9" t="s">
        <v>1194</v>
      </c>
      <c r="F498" s="9" t="s">
        <v>1195</v>
      </c>
    </row>
    <row r="499">
      <c r="A499" s="17" t="s">
        <v>1196</v>
      </c>
      <c r="B499" s="7"/>
      <c r="C499" s="6" t="s">
        <v>1197</v>
      </c>
      <c r="D499" s="20" t="s">
        <v>1198</v>
      </c>
      <c r="E499" s="9" t="s">
        <v>1199</v>
      </c>
      <c r="F499" s="9" t="s">
        <v>1200</v>
      </c>
    </row>
    <row r="500">
      <c r="A500" s="12" t="s">
        <v>479</v>
      </c>
      <c r="B500" s="7"/>
      <c r="E500" s="9" t="s">
        <v>481</v>
      </c>
      <c r="F500" s="9" t="s">
        <v>482</v>
      </c>
    </row>
    <row r="501">
      <c r="A501" s="12" t="s">
        <v>673</v>
      </c>
      <c r="B501" s="7"/>
      <c r="C501" s="6" t="s">
        <v>12</v>
      </c>
      <c r="D501" s="20" t="s">
        <v>1201</v>
      </c>
      <c r="E501" s="9" t="s">
        <v>446</v>
      </c>
      <c r="F501" s="9" t="s">
        <v>447</v>
      </c>
    </row>
    <row r="502">
      <c r="A502" s="12" t="s">
        <v>1202</v>
      </c>
      <c r="B502" s="7"/>
      <c r="E502" s="9" t="s">
        <v>448</v>
      </c>
      <c r="F502" s="9" t="s">
        <v>1203</v>
      </c>
    </row>
    <row r="503">
      <c r="A503" s="12" t="s">
        <v>467</v>
      </c>
      <c r="B503" s="7"/>
      <c r="C503" s="6" t="s">
        <v>1204</v>
      </c>
      <c r="D503" s="8" t="s">
        <v>1205</v>
      </c>
      <c r="E503" s="9" t="s">
        <v>1099</v>
      </c>
      <c r="F503" s="9" t="s">
        <v>444</v>
      </c>
    </row>
    <row r="504">
      <c r="A504" s="17" t="s">
        <v>1100</v>
      </c>
      <c r="B504" s="7"/>
      <c r="E504" s="9" t="s">
        <v>1101</v>
      </c>
      <c r="F504" s="9" t="s">
        <v>1131</v>
      </c>
    </row>
    <row r="505">
      <c r="A505" s="17" t="s">
        <v>1176</v>
      </c>
      <c r="B505" s="7"/>
      <c r="E505" s="9" t="s">
        <v>1206</v>
      </c>
      <c r="F505" s="9" t="s">
        <v>1207</v>
      </c>
    </row>
    <row r="506">
      <c r="A506" s="7"/>
      <c r="B506" s="7"/>
      <c r="C506" s="7"/>
      <c r="D506" s="7"/>
      <c r="E506" s="7"/>
      <c r="F506" s="7"/>
    </row>
    <row r="507">
      <c r="A507" s="7"/>
      <c r="B507" s="7"/>
      <c r="C507" s="7"/>
      <c r="D507" s="7"/>
      <c r="E507" s="7"/>
      <c r="F507" s="7"/>
    </row>
    <row r="508">
      <c r="A508" s="7"/>
      <c r="B508" s="7"/>
      <c r="C508" s="7"/>
      <c r="D508" s="7"/>
      <c r="E508" s="7"/>
      <c r="F508" s="7"/>
    </row>
    <row r="509">
      <c r="A509" s="7"/>
      <c r="B509" s="7"/>
      <c r="C509" s="7"/>
      <c r="D509" s="7"/>
      <c r="E509" s="7"/>
      <c r="F509" s="7"/>
    </row>
    <row r="510">
      <c r="A510" s="7"/>
      <c r="B510" s="7"/>
      <c r="C510" s="7"/>
      <c r="D510" s="7"/>
      <c r="E510" s="7"/>
      <c r="F510" s="7"/>
    </row>
    <row r="511">
      <c r="A511" s="7"/>
      <c r="B511" s="7"/>
      <c r="C511" s="7"/>
      <c r="D511" s="7"/>
      <c r="E511" s="7"/>
      <c r="F511" s="7"/>
    </row>
    <row r="512">
      <c r="A512" s="7"/>
      <c r="B512" s="7"/>
      <c r="C512" s="7"/>
      <c r="D512" s="7"/>
      <c r="E512" s="7"/>
      <c r="F512" s="7"/>
    </row>
    <row r="513">
      <c r="A513" s="7"/>
      <c r="B513" s="7"/>
      <c r="C513" s="7"/>
      <c r="D513" s="7"/>
      <c r="E513" s="7"/>
      <c r="F513" s="7"/>
    </row>
    <row r="514">
      <c r="A514" s="7"/>
      <c r="B514" s="7"/>
      <c r="C514" s="7"/>
      <c r="D514" s="7"/>
      <c r="E514" s="7"/>
      <c r="F514" s="7"/>
    </row>
    <row r="515">
      <c r="A515" s="7"/>
      <c r="B515" s="7"/>
      <c r="C515" s="7"/>
      <c r="D515" s="7"/>
      <c r="E515" s="7"/>
      <c r="F515" s="7"/>
    </row>
    <row r="516">
      <c r="A516" s="7"/>
      <c r="B516" s="7"/>
      <c r="C516" s="7"/>
      <c r="D516" s="7"/>
      <c r="E516" s="7"/>
      <c r="F516" s="7"/>
    </row>
    <row r="517">
      <c r="A517" s="7"/>
      <c r="B517" s="7"/>
      <c r="C517" s="7"/>
      <c r="D517" s="7"/>
      <c r="E517" s="7"/>
      <c r="F517" s="7"/>
    </row>
    <row r="518">
      <c r="A518" s="7"/>
      <c r="B518" s="7"/>
      <c r="C518" s="7"/>
      <c r="D518" s="7"/>
      <c r="E518" s="7"/>
      <c r="F518" s="7"/>
    </row>
    <row r="519">
      <c r="A519" s="7"/>
      <c r="B519" s="7"/>
      <c r="C519" s="7"/>
      <c r="D519" s="7"/>
      <c r="E519" s="7"/>
      <c r="F519" s="7"/>
    </row>
    <row r="520">
      <c r="A520" s="7"/>
      <c r="B520" s="7"/>
      <c r="C520" s="7"/>
      <c r="D520" s="7"/>
      <c r="E520" s="7"/>
      <c r="F520" s="7"/>
    </row>
    <row r="521">
      <c r="A521" s="7"/>
      <c r="B521" s="7"/>
      <c r="C521" s="7"/>
      <c r="D521" s="7"/>
      <c r="E521" s="7"/>
      <c r="F521" s="7"/>
    </row>
    <row r="522">
      <c r="A522" s="7"/>
      <c r="B522" s="7"/>
      <c r="C522" s="7"/>
      <c r="D522" s="7"/>
      <c r="E522" s="7"/>
      <c r="F522" s="7"/>
    </row>
    <row r="523">
      <c r="A523" s="7"/>
      <c r="B523" s="7"/>
      <c r="C523" s="7"/>
      <c r="D523" s="7"/>
      <c r="E523" s="7"/>
      <c r="F523" s="7"/>
    </row>
    <row r="524">
      <c r="A524" s="7"/>
      <c r="B524" s="7"/>
      <c r="C524" s="7"/>
      <c r="D524" s="7"/>
      <c r="E524" s="7"/>
      <c r="F524" s="7"/>
    </row>
    <row r="525">
      <c r="A525" s="7"/>
      <c r="B525" s="7"/>
      <c r="C525" s="7"/>
      <c r="D525" s="7"/>
      <c r="E525" s="7"/>
      <c r="F525" s="7"/>
    </row>
    <row r="526">
      <c r="A526" s="7"/>
      <c r="B526" s="7"/>
      <c r="C526" s="7"/>
      <c r="D526" s="7"/>
      <c r="E526" s="7"/>
      <c r="F526" s="7"/>
    </row>
    <row r="527">
      <c r="A527" s="7"/>
      <c r="B527" s="7"/>
      <c r="C527" s="7"/>
      <c r="D527" s="7"/>
      <c r="E527" s="7"/>
      <c r="F527" s="7"/>
    </row>
    <row r="528">
      <c r="A528" s="7"/>
      <c r="B528" s="7"/>
      <c r="C528" s="7"/>
      <c r="D528" s="7"/>
      <c r="E528" s="7"/>
      <c r="F528" s="7"/>
    </row>
    <row r="529">
      <c r="A529" s="7"/>
      <c r="B529" s="7"/>
      <c r="C529" s="7"/>
      <c r="D529" s="7"/>
      <c r="E529" s="7"/>
      <c r="F529" s="7"/>
    </row>
    <row r="530">
      <c r="A530" s="7"/>
      <c r="B530" s="7"/>
      <c r="C530" s="7"/>
      <c r="D530" s="7"/>
      <c r="E530" s="7"/>
      <c r="F530" s="7"/>
    </row>
    <row r="531">
      <c r="A531" s="7"/>
      <c r="B531" s="7"/>
      <c r="C531" s="7"/>
      <c r="D531" s="7"/>
      <c r="E531" s="7"/>
      <c r="F531" s="7"/>
    </row>
    <row r="532">
      <c r="A532" s="7"/>
      <c r="B532" s="7"/>
      <c r="C532" s="7"/>
      <c r="D532" s="7"/>
      <c r="E532" s="7"/>
      <c r="F532" s="7"/>
    </row>
    <row r="533">
      <c r="A533" s="7"/>
      <c r="B533" s="7"/>
      <c r="C533" s="7"/>
      <c r="D533" s="7"/>
      <c r="E533" s="7"/>
      <c r="F533" s="7"/>
    </row>
    <row r="534">
      <c r="A534" s="7"/>
      <c r="B534" s="7"/>
      <c r="C534" s="7"/>
      <c r="D534" s="7"/>
      <c r="E534" s="7"/>
      <c r="F534" s="7"/>
    </row>
    <row r="535">
      <c r="A535" s="7"/>
      <c r="B535" s="7"/>
      <c r="C535" s="7"/>
      <c r="D535" s="7"/>
      <c r="E535" s="7"/>
      <c r="F535" s="7"/>
    </row>
    <row r="536">
      <c r="A536" s="7"/>
      <c r="B536" s="7"/>
      <c r="C536" s="7"/>
      <c r="D536" s="7"/>
      <c r="E536" s="7"/>
      <c r="F536" s="7"/>
    </row>
    <row r="537">
      <c r="A537" s="7"/>
      <c r="B537" s="7"/>
      <c r="C537" s="7"/>
      <c r="D537" s="7"/>
      <c r="E537" s="7"/>
      <c r="F537" s="7"/>
    </row>
    <row r="538">
      <c r="A538" s="7"/>
      <c r="B538" s="7"/>
      <c r="C538" s="7"/>
      <c r="D538" s="7"/>
      <c r="E538" s="7"/>
      <c r="F538" s="7"/>
    </row>
    <row r="539">
      <c r="A539" s="7"/>
      <c r="B539" s="7"/>
      <c r="C539" s="7"/>
      <c r="D539" s="7"/>
      <c r="E539" s="7"/>
      <c r="F539" s="7"/>
    </row>
    <row r="540">
      <c r="A540" s="7"/>
      <c r="B540" s="7"/>
      <c r="C540" s="7"/>
      <c r="D540" s="7"/>
      <c r="E540" s="7"/>
      <c r="F540" s="7"/>
    </row>
    <row r="541">
      <c r="A541" s="7"/>
      <c r="B541" s="7"/>
      <c r="C541" s="7"/>
      <c r="D541" s="7"/>
      <c r="E541" s="7"/>
      <c r="F541" s="7"/>
    </row>
    <row r="542">
      <c r="A542" s="7"/>
      <c r="B542" s="7"/>
      <c r="C542" s="7"/>
      <c r="D542" s="7"/>
      <c r="E542" s="7"/>
      <c r="F542" s="7"/>
    </row>
    <row r="543">
      <c r="A543" s="7"/>
      <c r="B543" s="7"/>
      <c r="C543" s="7"/>
      <c r="D543" s="7"/>
      <c r="E543" s="7"/>
      <c r="F543" s="7"/>
    </row>
    <row r="544">
      <c r="A544" s="7"/>
      <c r="B544" s="7"/>
      <c r="C544" s="7"/>
      <c r="D544" s="7"/>
      <c r="E544" s="7"/>
      <c r="F544" s="7"/>
    </row>
    <row r="545">
      <c r="A545" s="7"/>
      <c r="B545" s="7"/>
      <c r="C545" s="7"/>
      <c r="D545" s="7"/>
      <c r="E545" s="7"/>
      <c r="F545" s="7"/>
    </row>
    <row r="546">
      <c r="A546" s="7"/>
      <c r="B546" s="7"/>
      <c r="C546" s="7"/>
      <c r="D546" s="7"/>
      <c r="E546" s="7"/>
      <c r="F546" s="7"/>
    </row>
    <row r="547">
      <c r="A547" s="7"/>
      <c r="B547" s="7"/>
      <c r="C547" s="7"/>
      <c r="D547" s="7"/>
      <c r="E547" s="7"/>
      <c r="F547" s="7"/>
    </row>
    <row r="548">
      <c r="A548" s="7"/>
      <c r="B548" s="7"/>
      <c r="C548" s="7"/>
      <c r="D548" s="7"/>
      <c r="E548" s="7"/>
      <c r="F548" s="7"/>
    </row>
    <row r="549">
      <c r="A549" s="7"/>
      <c r="B549" s="7"/>
      <c r="C549" s="7"/>
      <c r="D549" s="7"/>
      <c r="E549" s="7"/>
      <c r="F549" s="7"/>
    </row>
    <row r="550">
      <c r="A550" s="7"/>
      <c r="B550" s="7"/>
      <c r="C550" s="7"/>
      <c r="D550" s="7"/>
      <c r="E550" s="7"/>
      <c r="F550" s="7"/>
    </row>
    <row r="551">
      <c r="A551" s="7"/>
      <c r="B551" s="7"/>
      <c r="C551" s="7"/>
      <c r="D551" s="7"/>
      <c r="E551" s="7"/>
      <c r="F551" s="7"/>
    </row>
    <row r="552">
      <c r="A552" s="7"/>
      <c r="B552" s="7"/>
      <c r="C552" s="7"/>
      <c r="D552" s="7"/>
      <c r="E552" s="7"/>
      <c r="F552" s="7"/>
    </row>
    <row r="553">
      <c r="A553" s="7"/>
      <c r="B553" s="7"/>
      <c r="C553" s="7"/>
      <c r="D553" s="7"/>
      <c r="E553" s="7"/>
      <c r="F553" s="7"/>
    </row>
    <row r="554">
      <c r="A554" s="7"/>
      <c r="B554" s="7"/>
      <c r="C554" s="7"/>
      <c r="D554" s="7"/>
      <c r="E554" s="7"/>
      <c r="F554" s="7"/>
    </row>
    <row r="555">
      <c r="A555" s="7"/>
      <c r="B555" s="7"/>
      <c r="C555" s="7"/>
      <c r="D555" s="7"/>
      <c r="E555" s="7"/>
      <c r="F555" s="7"/>
    </row>
    <row r="556">
      <c r="A556" s="7"/>
      <c r="B556" s="7"/>
      <c r="C556" s="7"/>
      <c r="D556" s="7"/>
      <c r="E556" s="7"/>
      <c r="F556" s="7"/>
    </row>
    <row r="557">
      <c r="A557" s="7"/>
      <c r="B557" s="7"/>
      <c r="C557" s="7"/>
      <c r="D557" s="7"/>
      <c r="E557" s="7"/>
      <c r="F557" s="7"/>
    </row>
    <row r="558">
      <c r="A558" s="7"/>
      <c r="B558" s="7"/>
      <c r="C558" s="7"/>
      <c r="D558" s="7"/>
      <c r="E558" s="7"/>
      <c r="F558" s="7"/>
    </row>
    <row r="559">
      <c r="A559" s="7"/>
      <c r="B559" s="7"/>
      <c r="C559" s="7"/>
      <c r="D559" s="7"/>
      <c r="E559" s="7"/>
      <c r="F559" s="7"/>
    </row>
    <row r="560">
      <c r="A560" s="7"/>
      <c r="B560" s="7"/>
      <c r="C560" s="7"/>
      <c r="D560" s="7"/>
      <c r="E560" s="7"/>
      <c r="F560" s="7"/>
    </row>
    <row r="561">
      <c r="A561" s="7"/>
      <c r="B561" s="7"/>
      <c r="C561" s="7"/>
      <c r="D561" s="7"/>
      <c r="E561" s="7"/>
      <c r="F561" s="7"/>
    </row>
    <row r="562">
      <c r="A562" s="7"/>
      <c r="B562" s="7"/>
      <c r="C562" s="7"/>
      <c r="D562" s="7"/>
      <c r="E562" s="7"/>
      <c r="F562" s="7"/>
    </row>
    <row r="563">
      <c r="A563" s="7"/>
      <c r="B563" s="7"/>
      <c r="C563" s="7"/>
      <c r="D563" s="7"/>
      <c r="E563" s="7"/>
      <c r="F563" s="7"/>
    </row>
    <row r="564">
      <c r="A564" s="7"/>
      <c r="B564" s="7"/>
      <c r="C564" s="7"/>
      <c r="D564" s="7"/>
      <c r="E564" s="7"/>
      <c r="F564" s="7"/>
    </row>
    <row r="565">
      <c r="A565" s="7"/>
      <c r="B565" s="7"/>
      <c r="C565" s="7"/>
      <c r="D565" s="7"/>
      <c r="E565" s="7"/>
      <c r="F565" s="7"/>
    </row>
    <row r="566">
      <c r="A566" s="7"/>
      <c r="B566" s="7"/>
      <c r="C566" s="7"/>
      <c r="D566" s="7"/>
      <c r="E566" s="7"/>
      <c r="F566" s="7"/>
    </row>
    <row r="567">
      <c r="A567" s="7"/>
      <c r="B567" s="7"/>
      <c r="C567" s="7"/>
      <c r="D567" s="7"/>
      <c r="E567" s="7"/>
      <c r="F567" s="7"/>
    </row>
    <row r="568">
      <c r="A568" s="7"/>
      <c r="B568" s="7"/>
      <c r="C568" s="7"/>
      <c r="D568" s="7"/>
      <c r="E568" s="7"/>
      <c r="F568" s="7"/>
    </row>
    <row r="569">
      <c r="A569" s="7"/>
      <c r="B569" s="7"/>
      <c r="C569" s="7"/>
      <c r="D569" s="7"/>
      <c r="E569" s="7"/>
      <c r="F569" s="7"/>
    </row>
    <row r="570">
      <c r="A570" s="7"/>
      <c r="B570" s="7"/>
      <c r="C570" s="7"/>
      <c r="D570" s="7"/>
      <c r="E570" s="7"/>
      <c r="F570" s="7"/>
    </row>
    <row r="571">
      <c r="A571" s="7"/>
      <c r="B571" s="7"/>
      <c r="C571" s="7"/>
      <c r="D571" s="7"/>
      <c r="E571" s="7"/>
      <c r="F571" s="7"/>
    </row>
    <row r="572">
      <c r="A572" s="7"/>
      <c r="B572" s="7"/>
      <c r="C572" s="7"/>
      <c r="D572" s="7"/>
      <c r="E572" s="7"/>
      <c r="F572" s="7"/>
    </row>
    <row r="573">
      <c r="A573" s="7"/>
      <c r="B573" s="7"/>
      <c r="C573" s="7"/>
      <c r="D573" s="7"/>
      <c r="E573" s="7"/>
      <c r="F573" s="7"/>
    </row>
    <row r="574">
      <c r="A574" s="7"/>
      <c r="B574" s="7"/>
      <c r="C574" s="7"/>
      <c r="D574" s="7"/>
      <c r="E574" s="7"/>
      <c r="F574" s="7"/>
    </row>
    <row r="575">
      <c r="A575" s="7"/>
      <c r="B575" s="7"/>
      <c r="C575" s="7"/>
      <c r="D575" s="7"/>
      <c r="E575" s="7"/>
      <c r="F575" s="7"/>
    </row>
    <row r="576">
      <c r="A576" s="7"/>
      <c r="B576" s="7"/>
      <c r="C576" s="7"/>
      <c r="D576" s="7"/>
      <c r="E576" s="7"/>
      <c r="F576" s="7"/>
    </row>
    <row r="577">
      <c r="A577" s="7"/>
      <c r="B577" s="7"/>
      <c r="C577" s="7"/>
      <c r="D577" s="7"/>
      <c r="E577" s="7"/>
      <c r="F577" s="7"/>
    </row>
    <row r="578">
      <c r="A578" s="7"/>
      <c r="B578" s="7"/>
      <c r="C578" s="7"/>
      <c r="D578" s="7"/>
      <c r="E578" s="7"/>
      <c r="F578" s="7"/>
    </row>
    <row r="579">
      <c r="A579" s="7"/>
      <c r="B579" s="7"/>
      <c r="C579" s="7"/>
      <c r="D579" s="7"/>
      <c r="E579" s="7"/>
      <c r="F579" s="7"/>
    </row>
    <row r="580">
      <c r="A580" s="7"/>
      <c r="B580" s="7"/>
      <c r="C580" s="7"/>
      <c r="D580" s="7"/>
      <c r="E580" s="7"/>
      <c r="F580" s="7"/>
    </row>
    <row r="581">
      <c r="A581" s="7"/>
      <c r="B581" s="7"/>
      <c r="C581" s="7"/>
      <c r="D581" s="7"/>
      <c r="E581" s="7"/>
      <c r="F581" s="7"/>
    </row>
    <row r="582">
      <c r="A582" s="7"/>
      <c r="B582" s="7"/>
      <c r="C582" s="7"/>
      <c r="D582" s="7"/>
      <c r="E582" s="7"/>
      <c r="F582" s="7"/>
    </row>
    <row r="583">
      <c r="A583" s="7"/>
      <c r="B583" s="7"/>
      <c r="C583" s="7"/>
      <c r="D583" s="7"/>
      <c r="E583" s="7"/>
      <c r="F583" s="7"/>
    </row>
    <row r="584">
      <c r="A584" s="7"/>
      <c r="B584" s="7"/>
      <c r="C584" s="7"/>
      <c r="D584" s="7"/>
      <c r="E584" s="7"/>
      <c r="F584" s="7"/>
    </row>
    <row r="585">
      <c r="A585" s="7"/>
      <c r="B585" s="7"/>
      <c r="C585" s="7"/>
      <c r="D585" s="7"/>
      <c r="E585" s="7"/>
      <c r="F585" s="7"/>
    </row>
    <row r="586">
      <c r="A586" s="7"/>
      <c r="B586" s="7"/>
      <c r="C586" s="7"/>
      <c r="D586" s="7"/>
      <c r="E586" s="7"/>
      <c r="F586" s="7"/>
    </row>
    <row r="587">
      <c r="A587" s="7"/>
      <c r="B587" s="7"/>
      <c r="C587" s="7"/>
      <c r="D587" s="7"/>
      <c r="E587" s="7"/>
      <c r="F587" s="7"/>
    </row>
    <row r="588">
      <c r="A588" s="7"/>
      <c r="B588" s="7"/>
      <c r="C588" s="7"/>
      <c r="D588" s="7"/>
      <c r="E588" s="7"/>
      <c r="F588" s="7"/>
    </row>
    <row r="589">
      <c r="A589" s="7"/>
      <c r="B589" s="7"/>
      <c r="C589" s="7"/>
      <c r="D589" s="7"/>
      <c r="E589" s="7"/>
      <c r="F589" s="7"/>
    </row>
    <row r="590">
      <c r="A590" s="7"/>
      <c r="B590" s="7"/>
      <c r="C590" s="7"/>
      <c r="D590" s="7"/>
      <c r="E590" s="7"/>
      <c r="F590" s="7"/>
    </row>
    <row r="591">
      <c r="A591" s="7"/>
      <c r="B591" s="7"/>
      <c r="C591" s="7"/>
      <c r="D591" s="7"/>
      <c r="E591" s="7"/>
      <c r="F591" s="7"/>
    </row>
    <row r="592">
      <c r="A592" s="7"/>
      <c r="B592" s="7"/>
      <c r="C592" s="7"/>
      <c r="D592" s="7"/>
      <c r="E592" s="7"/>
      <c r="F592" s="7"/>
    </row>
    <row r="593">
      <c r="A593" s="7"/>
      <c r="B593" s="7"/>
      <c r="C593" s="7"/>
      <c r="D593" s="7"/>
      <c r="E593" s="7"/>
      <c r="F593" s="7"/>
    </row>
    <row r="594">
      <c r="A594" s="7"/>
      <c r="B594" s="7"/>
      <c r="C594" s="7"/>
      <c r="D594" s="7"/>
      <c r="E594" s="7"/>
      <c r="F594" s="7"/>
    </row>
    <row r="595">
      <c r="A595" s="7"/>
      <c r="B595" s="7"/>
      <c r="C595" s="7"/>
      <c r="D595" s="7"/>
      <c r="E595" s="7"/>
      <c r="F595" s="7"/>
    </row>
    <row r="596">
      <c r="A596" s="7"/>
      <c r="B596" s="7"/>
      <c r="C596" s="7"/>
      <c r="D596" s="7"/>
      <c r="E596" s="7"/>
      <c r="F596" s="7"/>
    </row>
    <row r="597">
      <c r="A597" s="7"/>
      <c r="B597" s="7"/>
      <c r="C597" s="7"/>
      <c r="D597" s="7"/>
      <c r="E597" s="7"/>
      <c r="F597" s="7"/>
    </row>
    <row r="598">
      <c r="A598" s="7"/>
      <c r="B598" s="7"/>
      <c r="C598" s="7"/>
      <c r="D598" s="7"/>
      <c r="E598" s="7"/>
      <c r="F598" s="7"/>
    </row>
    <row r="599">
      <c r="A599" s="7"/>
      <c r="B599" s="7"/>
      <c r="C599" s="7"/>
      <c r="D599" s="7"/>
      <c r="E599" s="7"/>
      <c r="F599" s="7"/>
    </row>
    <row r="600">
      <c r="A600" s="7"/>
      <c r="B600" s="7"/>
      <c r="C600" s="7"/>
      <c r="D600" s="7"/>
      <c r="E600" s="7"/>
      <c r="F600" s="7"/>
    </row>
    <row r="601">
      <c r="A601" s="7"/>
      <c r="B601" s="7"/>
      <c r="C601" s="7"/>
      <c r="D601" s="7"/>
      <c r="E601" s="7"/>
      <c r="F601" s="7"/>
    </row>
    <row r="602">
      <c r="A602" s="7"/>
      <c r="B602" s="7"/>
      <c r="C602" s="7"/>
      <c r="D602" s="7"/>
      <c r="E602" s="7"/>
      <c r="F602" s="7"/>
    </row>
    <row r="603">
      <c r="A603" s="7"/>
      <c r="B603" s="7"/>
      <c r="C603" s="7"/>
      <c r="D603" s="7"/>
      <c r="E603" s="7"/>
      <c r="F603" s="7"/>
    </row>
    <row r="604">
      <c r="A604" s="7"/>
      <c r="B604" s="7"/>
      <c r="C604" s="7"/>
      <c r="D604" s="7"/>
      <c r="E604" s="7"/>
      <c r="F604" s="7"/>
    </row>
    <row r="605">
      <c r="A605" s="7"/>
      <c r="B605" s="7"/>
      <c r="C605" s="7"/>
      <c r="D605" s="7"/>
      <c r="E605" s="7"/>
      <c r="F605" s="7"/>
    </row>
    <row r="606">
      <c r="A606" s="7"/>
      <c r="B606" s="7"/>
      <c r="C606" s="7"/>
      <c r="D606" s="7"/>
      <c r="E606" s="7"/>
      <c r="F606" s="7"/>
    </row>
    <row r="607">
      <c r="A607" s="7"/>
      <c r="B607" s="7"/>
      <c r="C607" s="7"/>
      <c r="D607" s="7"/>
      <c r="E607" s="7"/>
      <c r="F607" s="7"/>
    </row>
    <row r="608">
      <c r="A608" s="7"/>
      <c r="B608" s="7"/>
      <c r="C608" s="7"/>
      <c r="D608" s="7"/>
      <c r="E608" s="7"/>
      <c r="F608" s="7"/>
    </row>
    <row r="609">
      <c r="A609" s="7"/>
      <c r="B609" s="7"/>
      <c r="C609" s="7"/>
      <c r="D609" s="7"/>
      <c r="E609" s="7"/>
      <c r="F609" s="7"/>
    </row>
    <row r="610">
      <c r="A610" s="7"/>
      <c r="B610" s="7"/>
      <c r="C610" s="7"/>
      <c r="D610" s="7"/>
      <c r="E610" s="7"/>
      <c r="F610" s="7"/>
    </row>
    <row r="611">
      <c r="A611" s="7"/>
      <c r="B611" s="7"/>
      <c r="C611" s="7"/>
      <c r="D611" s="7"/>
      <c r="E611" s="7"/>
      <c r="F611" s="7"/>
    </row>
    <row r="612">
      <c r="A612" s="7"/>
      <c r="B612" s="7"/>
      <c r="C612" s="7"/>
      <c r="D612" s="7"/>
      <c r="E612" s="7"/>
      <c r="F612" s="7"/>
    </row>
    <row r="613">
      <c r="A613" s="7"/>
      <c r="B613" s="7"/>
      <c r="C613" s="7"/>
      <c r="D613" s="7"/>
      <c r="E613" s="7"/>
      <c r="F613" s="7"/>
    </row>
    <row r="614">
      <c r="A614" s="7"/>
      <c r="B614" s="7"/>
      <c r="C614" s="7"/>
      <c r="D614" s="7"/>
      <c r="E614" s="7"/>
      <c r="F614" s="7"/>
    </row>
    <row r="615">
      <c r="A615" s="7"/>
      <c r="B615" s="7"/>
      <c r="C615" s="7"/>
      <c r="D615" s="7"/>
      <c r="E615" s="7"/>
      <c r="F615" s="7"/>
    </row>
    <row r="616">
      <c r="A616" s="7"/>
      <c r="B616" s="7"/>
      <c r="C616" s="7"/>
      <c r="D616" s="7"/>
      <c r="E616" s="7"/>
      <c r="F616" s="7"/>
    </row>
    <row r="617">
      <c r="A617" s="7"/>
      <c r="B617" s="7"/>
      <c r="C617" s="7"/>
      <c r="D617" s="7"/>
      <c r="E617" s="7"/>
      <c r="F617" s="7"/>
    </row>
    <row r="618">
      <c r="A618" s="7"/>
      <c r="B618" s="7"/>
      <c r="C618" s="7"/>
      <c r="D618" s="7"/>
      <c r="E618" s="7"/>
      <c r="F618" s="7"/>
    </row>
    <row r="619">
      <c r="A619" s="7"/>
      <c r="B619" s="7"/>
      <c r="C619" s="7"/>
      <c r="D619" s="7"/>
      <c r="E619" s="7"/>
      <c r="F619" s="7"/>
    </row>
    <row r="620">
      <c r="A620" s="7"/>
      <c r="B620" s="7"/>
      <c r="C620" s="7"/>
      <c r="D620" s="7"/>
      <c r="E620" s="7"/>
      <c r="F620" s="7"/>
    </row>
    <row r="621">
      <c r="A621" s="7"/>
      <c r="B621" s="7"/>
      <c r="C621" s="7"/>
      <c r="D621" s="7"/>
      <c r="E621" s="7"/>
      <c r="F621" s="7"/>
    </row>
    <row r="622">
      <c r="A622" s="7"/>
      <c r="B622" s="7"/>
      <c r="C622" s="7"/>
      <c r="D622" s="7"/>
      <c r="E622" s="7"/>
      <c r="F622" s="7"/>
    </row>
    <row r="623">
      <c r="A623" s="7"/>
      <c r="B623" s="7"/>
      <c r="C623" s="7"/>
      <c r="D623" s="7"/>
      <c r="E623" s="7"/>
      <c r="F623" s="7"/>
    </row>
    <row r="624">
      <c r="A624" s="7"/>
      <c r="B624" s="7"/>
      <c r="C624" s="7"/>
      <c r="D624" s="7"/>
      <c r="E624" s="7"/>
      <c r="F624" s="7"/>
    </row>
    <row r="625">
      <c r="A625" s="7"/>
      <c r="B625" s="7"/>
      <c r="C625" s="7"/>
      <c r="D625" s="7"/>
      <c r="E625" s="7"/>
      <c r="F625" s="7"/>
    </row>
    <row r="626">
      <c r="A626" s="7"/>
      <c r="B626" s="7"/>
      <c r="C626" s="7"/>
      <c r="D626" s="7"/>
      <c r="E626" s="7"/>
      <c r="F626" s="7"/>
    </row>
    <row r="627">
      <c r="A627" s="7"/>
      <c r="B627" s="7"/>
      <c r="C627" s="7"/>
      <c r="D627" s="7"/>
      <c r="E627" s="7"/>
      <c r="F627" s="7"/>
    </row>
    <row r="628">
      <c r="A628" s="7"/>
      <c r="B628" s="7"/>
      <c r="C628" s="7"/>
      <c r="D628" s="7"/>
      <c r="E628" s="7"/>
      <c r="F628" s="7"/>
    </row>
    <row r="629">
      <c r="A629" s="7"/>
      <c r="B629" s="7"/>
      <c r="C629" s="7"/>
      <c r="D629" s="7"/>
      <c r="E629" s="7"/>
      <c r="F629" s="7"/>
    </row>
    <row r="630">
      <c r="A630" s="7"/>
      <c r="B630" s="7"/>
      <c r="C630" s="7"/>
      <c r="D630" s="7"/>
      <c r="E630" s="7"/>
      <c r="F630" s="7"/>
    </row>
    <row r="631">
      <c r="A631" s="7"/>
      <c r="B631" s="7"/>
      <c r="C631" s="7"/>
      <c r="D631" s="7"/>
      <c r="E631" s="7"/>
      <c r="F631" s="7"/>
    </row>
    <row r="632">
      <c r="A632" s="7"/>
      <c r="B632" s="7"/>
      <c r="C632" s="7"/>
      <c r="D632" s="7"/>
      <c r="E632" s="7"/>
      <c r="F632" s="7"/>
    </row>
    <row r="633">
      <c r="A633" s="7"/>
      <c r="B633" s="7"/>
      <c r="C633" s="7"/>
      <c r="D633" s="7"/>
      <c r="E633" s="7"/>
      <c r="F633" s="7"/>
    </row>
    <row r="634">
      <c r="A634" s="7"/>
      <c r="B634" s="7"/>
      <c r="C634" s="7"/>
      <c r="D634" s="7"/>
      <c r="E634" s="7"/>
      <c r="F634" s="7"/>
    </row>
    <row r="635">
      <c r="A635" s="7"/>
      <c r="B635" s="7"/>
      <c r="C635" s="7"/>
      <c r="D635" s="7"/>
      <c r="E635" s="7"/>
      <c r="F635" s="7"/>
    </row>
    <row r="636">
      <c r="A636" s="7"/>
      <c r="B636" s="7"/>
      <c r="C636" s="7"/>
      <c r="D636" s="7"/>
      <c r="E636" s="7"/>
      <c r="F636" s="7"/>
    </row>
    <row r="637">
      <c r="A637" s="7"/>
      <c r="B637" s="7"/>
      <c r="C637" s="7"/>
      <c r="D637" s="7"/>
      <c r="E637" s="7"/>
      <c r="F637" s="7"/>
    </row>
    <row r="638">
      <c r="A638" s="7"/>
      <c r="B638" s="7"/>
      <c r="C638" s="7"/>
      <c r="D638" s="7"/>
      <c r="E638" s="7"/>
      <c r="F638" s="7"/>
    </row>
    <row r="639">
      <c r="A639" s="7"/>
      <c r="B639" s="7"/>
      <c r="C639" s="7"/>
      <c r="D639" s="7"/>
      <c r="E639" s="7"/>
      <c r="F639" s="7"/>
    </row>
    <row r="640">
      <c r="A640" s="7"/>
      <c r="B640" s="7"/>
      <c r="C640" s="7"/>
      <c r="D640" s="7"/>
      <c r="E640" s="7"/>
      <c r="F640" s="7"/>
    </row>
    <row r="641">
      <c r="A641" s="7"/>
      <c r="B641" s="7"/>
      <c r="C641" s="7"/>
      <c r="D641" s="7"/>
      <c r="E641" s="7"/>
      <c r="F641" s="7"/>
    </row>
    <row r="642">
      <c r="A642" s="7"/>
      <c r="B642" s="7"/>
      <c r="C642" s="7"/>
      <c r="D642" s="7"/>
      <c r="E642" s="7"/>
      <c r="F642" s="7"/>
    </row>
    <row r="643">
      <c r="A643" s="7"/>
      <c r="B643" s="7"/>
      <c r="C643" s="7"/>
      <c r="D643" s="7"/>
      <c r="E643" s="7"/>
      <c r="F643" s="7"/>
    </row>
    <row r="644">
      <c r="A644" s="7"/>
      <c r="B644" s="7"/>
      <c r="C644" s="7"/>
      <c r="D644" s="7"/>
      <c r="E644" s="7"/>
      <c r="F644" s="7"/>
    </row>
    <row r="645">
      <c r="A645" s="7"/>
      <c r="B645" s="7"/>
      <c r="C645" s="7"/>
      <c r="D645" s="7"/>
      <c r="E645" s="7"/>
      <c r="F645" s="7"/>
    </row>
    <row r="646">
      <c r="A646" s="7"/>
      <c r="B646" s="7"/>
      <c r="C646" s="7"/>
      <c r="D646" s="7"/>
      <c r="E646" s="7"/>
      <c r="F646" s="7"/>
    </row>
    <row r="647">
      <c r="A647" s="7"/>
      <c r="B647" s="7"/>
      <c r="C647" s="7"/>
      <c r="D647" s="7"/>
      <c r="E647" s="7"/>
      <c r="F647" s="7"/>
    </row>
    <row r="648">
      <c r="A648" s="7"/>
      <c r="B648" s="7"/>
      <c r="C648" s="7"/>
      <c r="D648" s="7"/>
      <c r="E648" s="7"/>
      <c r="F648" s="7"/>
    </row>
    <row r="649">
      <c r="A649" s="7"/>
      <c r="B649" s="7"/>
      <c r="C649" s="7"/>
      <c r="D649" s="7"/>
      <c r="E649" s="7"/>
      <c r="F649" s="7"/>
    </row>
    <row r="650">
      <c r="A650" s="7"/>
      <c r="B650" s="7"/>
      <c r="C650" s="7"/>
      <c r="D650" s="7"/>
      <c r="E650" s="7"/>
      <c r="F650" s="7"/>
    </row>
    <row r="651">
      <c r="A651" s="7"/>
      <c r="B651" s="7"/>
      <c r="C651" s="7"/>
      <c r="D651" s="7"/>
      <c r="E651" s="7"/>
      <c r="F651" s="7"/>
    </row>
    <row r="652">
      <c r="A652" s="7"/>
      <c r="B652" s="7"/>
      <c r="C652" s="7"/>
      <c r="D652" s="7"/>
      <c r="E652" s="7"/>
      <c r="F652" s="7"/>
    </row>
    <row r="653">
      <c r="A653" s="7"/>
      <c r="B653" s="7"/>
      <c r="C653" s="7"/>
      <c r="D653" s="7"/>
      <c r="E653" s="7"/>
      <c r="F653" s="7"/>
    </row>
    <row r="654">
      <c r="A654" s="7"/>
      <c r="B654" s="7"/>
      <c r="C654" s="7"/>
      <c r="D654" s="7"/>
      <c r="E654" s="7"/>
      <c r="F654" s="7"/>
    </row>
    <row r="655">
      <c r="A655" s="7"/>
      <c r="B655" s="7"/>
      <c r="C655" s="7"/>
      <c r="D655" s="7"/>
      <c r="E655" s="7"/>
      <c r="F655" s="7"/>
    </row>
    <row r="656">
      <c r="A656" s="7"/>
      <c r="B656" s="7"/>
      <c r="C656" s="7"/>
      <c r="D656" s="7"/>
      <c r="E656" s="7"/>
      <c r="F656" s="7"/>
    </row>
    <row r="657">
      <c r="A657" s="7"/>
      <c r="B657" s="7"/>
      <c r="C657" s="7"/>
      <c r="D657" s="7"/>
      <c r="E657" s="7"/>
      <c r="F657" s="7"/>
    </row>
    <row r="658">
      <c r="A658" s="7"/>
      <c r="B658" s="7"/>
      <c r="C658" s="7"/>
      <c r="D658" s="7"/>
      <c r="E658" s="7"/>
      <c r="F658" s="7"/>
    </row>
    <row r="659">
      <c r="A659" s="7"/>
      <c r="B659" s="7"/>
      <c r="C659" s="7"/>
      <c r="D659" s="7"/>
      <c r="E659" s="7"/>
      <c r="F659" s="7"/>
    </row>
    <row r="660">
      <c r="A660" s="7"/>
      <c r="B660" s="7"/>
      <c r="C660" s="7"/>
      <c r="D660" s="7"/>
      <c r="E660" s="7"/>
      <c r="F660" s="7"/>
    </row>
    <row r="661">
      <c r="A661" s="7"/>
      <c r="B661" s="7"/>
      <c r="C661" s="7"/>
      <c r="D661" s="7"/>
      <c r="E661" s="7"/>
      <c r="F661" s="7"/>
    </row>
    <row r="662">
      <c r="A662" s="7"/>
      <c r="B662" s="7"/>
      <c r="C662" s="7"/>
      <c r="D662" s="7"/>
      <c r="E662" s="7"/>
      <c r="F662" s="7"/>
    </row>
    <row r="663">
      <c r="A663" s="7"/>
      <c r="B663" s="7"/>
      <c r="C663" s="7"/>
      <c r="D663" s="7"/>
      <c r="E663" s="7"/>
      <c r="F663" s="7"/>
    </row>
    <row r="664">
      <c r="A664" s="7"/>
      <c r="B664" s="7"/>
      <c r="C664" s="7"/>
      <c r="D664" s="7"/>
      <c r="E664" s="7"/>
      <c r="F664" s="7"/>
    </row>
    <row r="665">
      <c r="A665" s="7"/>
      <c r="B665" s="7"/>
      <c r="C665" s="7"/>
      <c r="D665" s="7"/>
      <c r="E665" s="7"/>
      <c r="F665" s="7"/>
    </row>
    <row r="666">
      <c r="A666" s="7"/>
      <c r="B666" s="7"/>
      <c r="C666" s="7"/>
      <c r="D666" s="7"/>
      <c r="E666" s="7"/>
      <c r="F666" s="7"/>
    </row>
    <row r="667">
      <c r="A667" s="7"/>
      <c r="B667" s="7"/>
      <c r="C667" s="7"/>
      <c r="D667" s="7"/>
      <c r="E667" s="7"/>
      <c r="F667" s="7"/>
    </row>
    <row r="668">
      <c r="A668" s="7"/>
      <c r="B668" s="7"/>
      <c r="C668" s="7"/>
      <c r="D668" s="7"/>
      <c r="E668" s="7"/>
      <c r="F668" s="7"/>
    </row>
    <row r="669">
      <c r="A669" s="7"/>
      <c r="B669" s="7"/>
      <c r="C669" s="7"/>
      <c r="D669" s="7"/>
      <c r="E669" s="7"/>
      <c r="F669" s="7"/>
    </row>
    <row r="670">
      <c r="A670" s="7"/>
      <c r="B670" s="7"/>
      <c r="C670" s="7"/>
      <c r="D670" s="7"/>
      <c r="E670" s="7"/>
      <c r="F670" s="7"/>
    </row>
    <row r="671">
      <c r="A671" s="7"/>
      <c r="B671" s="7"/>
      <c r="C671" s="7"/>
      <c r="D671" s="7"/>
      <c r="E671" s="7"/>
      <c r="F671" s="7"/>
    </row>
    <row r="672">
      <c r="A672" s="7"/>
      <c r="B672" s="7"/>
      <c r="C672" s="7"/>
      <c r="D672" s="7"/>
      <c r="E672" s="7"/>
      <c r="F672" s="7"/>
    </row>
    <row r="673">
      <c r="A673" s="7"/>
      <c r="B673" s="7"/>
      <c r="C673" s="7"/>
      <c r="D673" s="7"/>
      <c r="E673" s="7"/>
      <c r="F673" s="7"/>
    </row>
    <row r="674">
      <c r="A674" s="7"/>
      <c r="B674" s="7"/>
      <c r="C674" s="7"/>
      <c r="D674" s="7"/>
      <c r="E674" s="7"/>
      <c r="F674" s="7"/>
    </row>
    <row r="675">
      <c r="A675" s="7"/>
      <c r="B675" s="7"/>
      <c r="C675" s="7"/>
      <c r="D675" s="7"/>
      <c r="E675" s="7"/>
      <c r="F675" s="7"/>
    </row>
    <row r="676">
      <c r="A676" s="7"/>
      <c r="B676" s="7"/>
      <c r="C676" s="7"/>
      <c r="D676" s="7"/>
      <c r="E676" s="7"/>
      <c r="F676" s="7"/>
    </row>
    <row r="677">
      <c r="A677" s="7"/>
      <c r="B677" s="7"/>
      <c r="C677" s="7"/>
      <c r="D677" s="7"/>
      <c r="E677" s="7"/>
      <c r="F677" s="7"/>
    </row>
    <row r="678">
      <c r="A678" s="7"/>
      <c r="B678" s="7"/>
      <c r="C678" s="7"/>
      <c r="D678" s="7"/>
      <c r="E678" s="7"/>
      <c r="F678" s="7"/>
    </row>
    <row r="679">
      <c r="A679" s="7"/>
      <c r="B679" s="7"/>
      <c r="C679" s="7"/>
      <c r="D679" s="7"/>
      <c r="E679" s="7"/>
      <c r="F679" s="7"/>
    </row>
    <row r="680">
      <c r="A680" s="7"/>
      <c r="B680" s="7"/>
      <c r="C680" s="7"/>
      <c r="D680" s="7"/>
      <c r="E680" s="7"/>
      <c r="F680" s="7"/>
    </row>
    <row r="681">
      <c r="A681" s="7"/>
      <c r="B681" s="7"/>
      <c r="C681" s="7"/>
      <c r="D681" s="7"/>
      <c r="E681" s="7"/>
      <c r="F681" s="7"/>
    </row>
    <row r="682">
      <c r="A682" s="7"/>
      <c r="B682" s="7"/>
      <c r="C682" s="7"/>
      <c r="D682" s="7"/>
      <c r="E682" s="7"/>
      <c r="F682" s="7"/>
    </row>
    <row r="683">
      <c r="A683" s="7"/>
      <c r="B683" s="7"/>
      <c r="C683" s="7"/>
      <c r="D683" s="7"/>
      <c r="E683" s="7"/>
      <c r="F683" s="7"/>
    </row>
    <row r="684">
      <c r="A684" s="7"/>
      <c r="B684" s="7"/>
      <c r="C684" s="7"/>
      <c r="D684" s="7"/>
      <c r="E684" s="7"/>
      <c r="F684" s="7"/>
    </row>
    <row r="685">
      <c r="A685" s="7"/>
      <c r="B685" s="7"/>
      <c r="C685" s="7"/>
      <c r="D685" s="7"/>
      <c r="E685" s="7"/>
      <c r="F685" s="7"/>
    </row>
    <row r="686">
      <c r="A686" s="7"/>
      <c r="B686" s="7"/>
      <c r="C686" s="7"/>
      <c r="D686" s="7"/>
      <c r="E686" s="7"/>
      <c r="F686" s="7"/>
    </row>
    <row r="687">
      <c r="A687" s="7"/>
      <c r="B687" s="7"/>
      <c r="C687" s="7"/>
      <c r="D687" s="7"/>
      <c r="E687" s="7"/>
      <c r="F687" s="7"/>
    </row>
    <row r="688">
      <c r="A688" s="7"/>
      <c r="B688" s="7"/>
      <c r="C688" s="7"/>
      <c r="D688" s="7"/>
      <c r="E688" s="7"/>
      <c r="F688" s="7"/>
    </row>
    <row r="689">
      <c r="A689" s="7"/>
      <c r="B689" s="7"/>
      <c r="C689" s="7"/>
      <c r="D689" s="7"/>
      <c r="E689" s="7"/>
      <c r="F689" s="7"/>
    </row>
    <row r="690">
      <c r="A690" s="7"/>
      <c r="B690" s="7"/>
      <c r="C690" s="7"/>
      <c r="D690" s="7"/>
      <c r="E690" s="7"/>
      <c r="F690" s="7"/>
    </row>
    <row r="691">
      <c r="A691" s="7"/>
      <c r="B691" s="7"/>
      <c r="C691" s="7"/>
      <c r="D691" s="7"/>
      <c r="E691" s="7"/>
      <c r="F691" s="7"/>
    </row>
    <row r="692">
      <c r="A692" s="7"/>
      <c r="B692" s="7"/>
      <c r="C692" s="7"/>
      <c r="D692" s="7"/>
      <c r="E692" s="7"/>
      <c r="F692" s="7"/>
    </row>
    <row r="693">
      <c r="A693" s="7"/>
      <c r="B693" s="7"/>
      <c r="C693" s="7"/>
      <c r="D693" s="7"/>
      <c r="E693" s="7"/>
      <c r="F693" s="7"/>
    </row>
    <row r="694">
      <c r="A694" s="7"/>
      <c r="B694" s="7"/>
      <c r="C694" s="7"/>
      <c r="D694" s="7"/>
      <c r="E694" s="7"/>
      <c r="F694" s="7"/>
    </row>
    <row r="695">
      <c r="A695" s="7"/>
      <c r="B695" s="7"/>
      <c r="C695" s="7"/>
      <c r="D695" s="7"/>
      <c r="E695" s="7"/>
      <c r="F695" s="7"/>
    </row>
    <row r="696">
      <c r="A696" s="7"/>
      <c r="B696" s="7"/>
      <c r="C696" s="7"/>
      <c r="D696" s="7"/>
      <c r="E696" s="7"/>
      <c r="F696" s="7"/>
    </row>
    <row r="697">
      <c r="A697" s="7"/>
      <c r="B697" s="7"/>
      <c r="C697" s="7"/>
      <c r="D697" s="7"/>
      <c r="E697" s="7"/>
      <c r="F697" s="7"/>
    </row>
    <row r="698">
      <c r="A698" s="7"/>
      <c r="B698" s="7"/>
      <c r="C698" s="7"/>
      <c r="D698" s="7"/>
      <c r="E698" s="7"/>
      <c r="F698" s="7"/>
    </row>
    <row r="699">
      <c r="A699" s="7"/>
      <c r="B699" s="7"/>
      <c r="C699" s="7"/>
      <c r="D699" s="7"/>
      <c r="E699" s="7"/>
      <c r="F699" s="7"/>
    </row>
    <row r="700">
      <c r="A700" s="7"/>
      <c r="B700" s="7"/>
      <c r="C700" s="7"/>
      <c r="D700" s="7"/>
      <c r="E700" s="7"/>
      <c r="F700" s="7"/>
    </row>
    <row r="701">
      <c r="A701" s="7"/>
      <c r="B701" s="7"/>
      <c r="C701" s="7"/>
      <c r="D701" s="7"/>
      <c r="E701" s="7"/>
      <c r="F701" s="7"/>
    </row>
    <row r="702">
      <c r="A702" s="7"/>
      <c r="B702" s="7"/>
      <c r="C702" s="7"/>
      <c r="D702" s="7"/>
      <c r="E702" s="7"/>
      <c r="F702" s="7"/>
    </row>
    <row r="703">
      <c r="A703" s="7"/>
      <c r="B703" s="7"/>
      <c r="C703" s="7"/>
      <c r="D703" s="7"/>
      <c r="E703" s="7"/>
      <c r="F703" s="7"/>
    </row>
    <row r="704">
      <c r="A704" s="7"/>
      <c r="B704" s="7"/>
      <c r="C704" s="7"/>
      <c r="D704" s="7"/>
      <c r="E704" s="7"/>
      <c r="F704" s="7"/>
    </row>
    <row r="705">
      <c r="A705" s="7"/>
      <c r="B705" s="7"/>
      <c r="C705" s="7"/>
      <c r="D705" s="7"/>
      <c r="E705" s="7"/>
      <c r="F705" s="7"/>
    </row>
    <row r="706">
      <c r="A706" s="7"/>
      <c r="B706" s="7"/>
      <c r="C706" s="7"/>
      <c r="D706" s="7"/>
      <c r="E706" s="7"/>
      <c r="F706" s="7"/>
    </row>
    <row r="707">
      <c r="A707" s="7"/>
      <c r="B707" s="7"/>
      <c r="C707" s="7"/>
      <c r="D707" s="7"/>
      <c r="E707" s="7"/>
      <c r="F707" s="7"/>
    </row>
    <row r="708">
      <c r="A708" s="7"/>
      <c r="B708" s="7"/>
      <c r="C708" s="7"/>
      <c r="D708" s="7"/>
      <c r="E708" s="7"/>
      <c r="F708" s="7"/>
    </row>
    <row r="709">
      <c r="A709" s="7"/>
      <c r="B709" s="7"/>
      <c r="C709" s="7"/>
      <c r="D709" s="7"/>
      <c r="E709" s="7"/>
      <c r="F709" s="7"/>
    </row>
    <row r="710">
      <c r="A710" s="7"/>
      <c r="B710" s="7"/>
      <c r="C710" s="7"/>
      <c r="D710" s="7"/>
      <c r="E710" s="7"/>
      <c r="F710" s="7"/>
    </row>
    <row r="711">
      <c r="A711" s="7"/>
      <c r="B711" s="7"/>
      <c r="C711" s="7"/>
      <c r="D711" s="7"/>
      <c r="E711" s="7"/>
      <c r="F711" s="7"/>
    </row>
    <row r="712">
      <c r="A712" s="7"/>
      <c r="B712" s="7"/>
      <c r="C712" s="7"/>
      <c r="D712" s="7"/>
      <c r="E712" s="7"/>
      <c r="F712" s="7"/>
    </row>
    <row r="713">
      <c r="A713" s="7"/>
      <c r="B713" s="7"/>
      <c r="C713" s="7"/>
      <c r="D713" s="7"/>
      <c r="E713" s="7"/>
      <c r="F713" s="7"/>
    </row>
    <row r="714">
      <c r="A714" s="7"/>
      <c r="B714" s="7"/>
      <c r="C714" s="7"/>
      <c r="D714" s="7"/>
      <c r="E714" s="7"/>
      <c r="F714" s="7"/>
    </row>
    <row r="715">
      <c r="A715" s="7"/>
      <c r="B715" s="7"/>
      <c r="C715" s="7"/>
      <c r="D715" s="7"/>
      <c r="E715" s="7"/>
      <c r="F715" s="7"/>
    </row>
    <row r="716">
      <c r="A716" s="7"/>
      <c r="B716" s="7"/>
      <c r="C716" s="7"/>
      <c r="D716" s="7"/>
      <c r="E716" s="7"/>
      <c r="F716" s="7"/>
    </row>
    <row r="717">
      <c r="A717" s="7"/>
      <c r="B717" s="7"/>
      <c r="C717" s="7"/>
      <c r="D717" s="7"/>
      <c r="E717" s="7"/>
      <c r="F717" s="7"/>
    </row>
    <row r="718">
      <c r="A718" s="7"/>
      <c r="B718" s="7"/>
      <c r="C718" s="7"/>
      <c r="D718" s="7"/>
      <c r="E718" s="7"/>
      <c r="F718" s="7"/>
    </row>
    <row r="719">
      <c r="A719" s="7"/>
      <c r="B719" s="7"/>
      <c r="C719" s="7"/>
      <c r="D719" s="7"/>
      <c r="E719" s="7"/>
      <c r="F719" s="7"/>
    </row>
    <row r="720">
      <c r="A720" s="7"/>
      <c r="B720" s="7"/>
      <c r="C720" s="7"/>
      <c r="D720" s="7"/>
      <c r="E720" s="7"/>
      <c r="F720" s="7"/>
    </row>
    <row r="721">
      <c r="A721" s="7"/>
      <c r="B721" s="7"/>
      <c r="C721" s="7"/>
      <c r="D721" s="7"/>
      <c r="E721" s="7"/>
      <c r="F721" s="7"/>
    </row>
    <row r="722">
      <c r="A722" s="7"/>
      <c r="B722" s="7"/>
      <c r="C722" s="7"/>
      <c r="D722" s="7"/>
      <c r="E722" s="7"/>
      <c r="F722" s="7"/>
    </row>
    <row r="723">
      <c r="A723" s="7"/>
      <c r="B723" s="7"/>
      <c r="C723" s="7"/>
      <c r="D723" s="7"/>
      <c r="E723" s="7"/>
      <c r="F723" s="7"/>
    </row>
    <row r="724">
      <c r="A724" s="7"/>
      <c r="B724" s="7"/>
      <c r="C724" s="7"/>
      <c r="D724" s="7"/>
      <c r="E724" s="7"/>
      <c r="F724" s="7"/>
    </row>
    <row r="725">
      <c r="A725" s="7"/>
      <c r="B725" s="7"/>
      <c r="C725" s="7"/>
      <c r="D725" s="7"/>
      <c r="E725" s="7"/>
      <c r="F725" s="7"/>
    </row>
    <row r="726">
      <c r="A726" s="7"/>
      <c r="B726" s="7"/>
      <c r="C726" s="7"/>
      <c r="D726" s="7"/>
      <c r="E726" s="7"/>
      <c r="F726" s="7"/>
    </row>
    <row r="727">
      <c r="A727" s="7"/>
      <c r="B727" s="7"/>
      <c r="C727" s="7"/>
      <c r="D727" s="7"/>
      <c r="E727" s="7"/>
      <c r="F727" s="7"/>
    </row>
    <row r="728">
      <c r="A728" s="7"/>
      <c r="B728" s="7"/>
      <c r="C728" s="7"/>
      <c r="D728" s="7"/>
      <c r="E728" s="7"/>
      <c r="F728" s="7"/>
    </row>
    <row r="729">
      <c r="A729" s="7"/>
      <c r="B729" s="7"/>
      <c r="C729" s="7"/>
      <c r="D729" s="7"/>
      <c r="E729" s="7"/>
      <c r="F729" s="7"/>
    </row>
    <row r="730">
      <c r="A730" s="7"/>
      <c r="B730" s="7"/>
      <c r="C730" s="7"/>
      <c r="D730" s="7"/>
      <c r="E730" s="7"/>
      <c r="F730" s="7"/>
    </row>
    <row r="731">
      <c r="A731" s="7"/>
      <c r="B731" s="7"/>
      <c r="C731" s="7"/>
      <c r="D731" s="7"/>
      <c r="E731" s="7"/>
      <c r="F731" s="7"/>
    </row>
    <row r="732">
      <c r="A732" s="7"/>
      <c r="B732" s="7"/>
      <c r="C732" s="7"/>
      <c r="D732" s="7"/>
      <c r="E732" s="7"/>
      <c r="F732" s="7"/>
    </row>
    <row r="733">
      <c r="A733" s="7"/>
      <c r="B733" s="7"/>
      <c r="C733" s="7"/>
      <c r="D733" s="7"/>
      <c r="E733" s="7"/>
      <c r="F733" s="7"/>
    </row>
    <row r="734">
      <c r="A734" s="7"/>
      <c r="B734" s="7"/>
      <c r="C734" s="7"/>
      <c r="D734" s="7"/>
      <c r="E734" s="7"/>
      <c r="F734" s="7"/>
    </row>
    <row r="735">
      <c r="A735" s="7"/>
      <c r="B735" s="7"/>
      <c r="C735" s="7"/>
      <c r="D735" s="7"/>
      <c r="E735" s="7"/>
      <c r="F735" s="7"/>
    </row>
    <row r="736">
      <c r="A736" s="7"/>
      <c r="B736" s="7"/>
      <c r="C736" s="7"/>
      <c r="D736" s="7"/>
      <c r="E736" s="7"/>
      <c r="F736" s="7"/>
    </row>
    <row r="737">
      <c r="A737" s="7"/>
      <c r="B737" s="7"/>
      <c r="C737" s="7"/>
      <c r="D737" s="7"/>
      <c r="E737" s="7"/>
      <c r="F737" s="7"/>
    </row>
    <row r="738">
      <c r="A738" s="7"/>
      <c r="B738" s="7"/>
      <c r="C738" s="7"/>
      <c r="D738" s="7"/>
      <c r="E738" s="7"/>
      <c r="F738" s="7"/>
    </row>
    <row r="739">
      <c r="A739" s="7"/>
      <c r="B739" s="7"/>
      <c r="C739" s="7"/>
      <c r="D739" s="7"/>
      <c r="E739" s="7"/>
      <c r="F739" s="7"/>
    </row>
    <row r="740">
      <c r="A740" s="7"/>
      <c r="B740" s="7"/>
      <c r="C740" s="7"/>
      <c r="D740" s="7"/>
      <c r="E740" s="7"/>
      <c r="F740" s="7"/>
    </row>
    <row r="741">
      <c r="A741" s="7"/>
      <c r="B741" s="7"/>
      <c r="C741" s="7"/>
      <c r="D741" s="7"/>
      <c r="E741" s="7"/>
      <c r="F741" s="7"/>
    </row>
    <row r="742">
      <c r="A742" s="7"/>
      <c r="B742" s="7"/>
      <c r="C742" s="7"/>
      <c r="D742" s="7"/>
      <c r="E742" s="7"/>
      <c r="F742" s="7"/>
    </row>
    <row r="743">
      <c r="A743" s="7"/>
      <c r="B743" s="7"/>
      <c r="C743" s="7"/>
      <c r="D743" s="7"/>
      <c r="E743" s="7"/>
      <c r="F743" s="7"/>
    </row>
    <row r="744">
      <c r="A744" s="7"/>
      <c r="B744" s="7"/>
      <c r="C744" s="7"/>
      <c r="D744" s="7"/>
      <c r="E744" s="7"/>
      <c r="F744" s="7"/>
    </row>
    <row r="745">
      <c r="A745" s="7"/>
      <c r="B745" s="7"/>
      <c r="C745" s="7"/>
      <c r="D745" s="7"/>
      <c r="E745" s="7"/>
      <c r="F745" s="7"/>
    </row>
    <row r="746">
      <c r="A746" s="7"/>
      <c r="B746" s="7"/>
      <c r="C746" s="7"/>
      <c r="D746" s="7"/>
      <c r="E746" s="7"/>
      <c r="F746" s="7"/>
    </row>
    <row r="747">
      <c r="A747" s="7"/>
      <c r="B747" s="7"/>
      <c r="C747" s="7"/>
      <c r="D747" s="7"/>
      <c r="E747" s="7"/>
      <c r="F747" s="7"/>
    </row>
    <row r="748">
      <c r="A748" s="7"/>
      <c r="B748" s="7"/>
      <c r="C748" s="7"/>
      <c r="D748" s="7"/>
      <c r="E748" s="7"/>
      <c r="F748" s="7"/>
    </row>
    <row r="749">
      <c r="A749" s="7"/>
      <c r="B749" s="7"/>
      <c r="C749" s="7"/>
      <c r="D749" s="7"/>
      <c r="E749" s="7"/>
      <c r="F749" s="7"/>
    </row>
    <row r="750">
      <c r="A750" s="7"/>
      <c r="B750" s="7"/>
      <c r="C750" s="7"/>
      <c r="D750" s="7"/>
      <c r="E750" s="7"/>
      <c r="F750" s="7"/>
    </row>
    <row r="751">
      <c r="A751" s="7"/>
      <c r="B751" s="7"/>
      <c r="C751" s="7"/>
      <c r="D751" s="7"/>
      <c r="E751" s="7"/>
      <c r="F751" s="7"/>
    </row>
    <row r="752">
      <c r="A752" s="7"/>
      <c r="B752" s="7"/>
      <c r="C752" s="7"/>
      <c r="D752" s="7"/>
      <c r="E752" s="7"/>
      <c r="F752" s="7"/>
    </row>
    <row r="753">
      <c r="A753" s="7"/>
      <c r="B753" s="7"/>
      <c r="C753" s="7"/>
      <c r="D753" s="7"/>
      <c r="E753" s="7"/>
      <c r="F753" s="7"/>
    </row>
    <row r="754">
      <c r="A754" s="7"/>
      <c r="B754" s="7"/>
      <c r="C754" s="7"/>
      <c r="D754" s="7"/>
      <c r="E754" s="7"/>
      <c r="F754" s="7"/>
    </row>
    <row r="755">
      <c r="A755" s="7"/>
      <c r="B755" s="7"/>
      <c r="C755" s="7"/>
      <c r="D755" s="7"/>
      <c r="E755" s="7"/>
      <c r="F755" s="7"/>
    </row>
    <row r="756">
      <c r="A756" s="7"/>
      <c r="B756" s="7"/>
      <c r="C756" s="7"/>
      <c r="D756" s="7"/>
      <c r="E756" s="7"/>
      <c r="F756" s="7"/>
    </row>
    <row r="757">
      <c r="A757" s="7"/>
      <c r="B757" s="7"/>
      <c r="C757" s="7"/>
      <c r="D757" s="7"/>
      <c r="E757" s="7"/>
      <c r="F757" s="7"/>
    </row>
    <row r="758">
      <c r="A758" s="7"/>
      <c r="B758" s="7"/>
      <c r="C758" s="7"/>
      <c r="D758" s="7"/>
      <c r="E758" s="7"/>
      <c r="F758" s="7"/>
    </row>
    <row r="759">
      <c r="A759" s="7"/>
      <c r="B759" s="7"/>
      <c r="C759" s="7"/>
      <c r="D759" s="7"/>
      <c r="E759" s="7"/>
      <c r="F759" s="7"/>
    </row>
    <row r="760">
      <c r="A760" s="7"/>
      <c r="B760" s="7"/>
      <c r="C760" s="7"/>
      <c r="D760" s="7"/>
      <c r="E760" s="7"/>
      <c r="F760" s="7"/>
    </row>
    <row r="761">
      <c r="A761" s="7"/>
      <c r="B761" s="7"/>
      <c r="C761" s="7"/>
      <c r="D761" s="7"/>
      <c r="E761" s="7"/>
      <c r="F761" s="7"/>
    </row>
    <row r="762">
      <c r="A762" s="7"/>
      <c r="B762" s="7"/>
      <c r="C762" s="7"/>
      <c r="D762" s="7"/>
      <c r="E762" s="7"/>
      <c r="F762" s="7"/>
    </row>
    <row r="763">
      <c r="A763" s="7"/>
      <c r="B763" s="7"/>
      <c r="C763" s="7"/>
      <c r="D763" s="7"/>
      <c r="E763" s="7"/>
      <c r="F763" s="7"/>
    </row>
    <row r="764">
      <c r="A764" s="7"/>
      <c r="B764" s="7"/>
      <c r="C764" s="7"/>
      <c r="D764" s="7"/>
      <c r="E764" s="7"/>
      <c r="F764" s="7"/>
    </row>
    <row r="765">
      <c r="A765" s="7"/>
      <c r="B765" s="7"/>
      <c r="C765" s="7"/>
      <c r="D765" s="7"/>
      <c r="E765" s="7"/>
      <c r="F765" s="7"/>
    </row>
    <row r="766">
      <c r="A766" s="7"/>
      <c r="B766" s="7"/>
      <c r="C766" s="7"/>
      <c r="D766" s="7"/>
      <c r="E766" s="7"/>
      <c r="F766" s="7"/>
    </row>
    <row r="767">
      <c r="A767" s="7"/>
      <c r="B767" s="7"/>
      <c r="C767" s="7"/>
      <c r="D767" s="7"/>
      <c r="E767" s="7"/>
      <c r="F767" s="7"/>
    </row>
    <row r="768">
      <c r="A768" s="7"/>
      <c r="B768" s="7"/>
      <c r="C768" s="7"/>
      <c r="D768" s="7"/>
      <c r="E768" s="7"/>
      <c r="F768" s="7"/>
    </row>
    <row r="769">
      <c r="A769" s="7"/>
      <c r="B769" s="7"/>
      <c r="C769" s="7"/>
      <c r="D769" s="7"/>
      <c r="E769" s="7"/>
      <c r="F769" s="7"/>
    </row>
    <row r="770">
      <c r="A770" s="7"/>
      <c r="B770" s="7"/>
      <c r="C770" s="7"/>
      <c r="D770" s="7"/>
      <c r="E770" s="7"/>
      <c r="F770" s="7"/>
    </row>
    <row r="771">
      <c r="A771" s="7"/>
      <c r="B771" s="7"/>
      <c r="C771" s="7"/>
      <c r="D771" s="7"/>
      <c r="E771" s="7"/>
      <c r="F771" s="7"/>
    </row>
    <row r="772">
      <c r="A772" s="7"/>
      <c r="B772" s="7"/>
      <c r="C772" s="7"/>
      <c r="D772" s="7"/>
      <c r="E772" s="7"/>
      <c r="F772" s="7"/>
    </row>
    <row r="773">
      <c r="A773" s="7"/>
      <c r="B773" s="7"/>
      <c r="C773" s="7"/>
      <c r="D773" s="7"/>
      <c r="E773" s="7"/>
      <c r="F773" s="7"/>
    </row>
    <row r="774">
      <c r="A774" s="7"/>
      <c r="B774" s="7"/>
      <c r="C774" s="7"/>
      <c r="D774" s="7"/>
      <c r="E774" s="7"/>
      <c r="F774" s="7"/>
    </row>
    <row r="775">
      <c r="A775" s="7"/>
      <c r="B775" s="7"/>
      <c r="C775" s="7"/>
      <c r="D775" s="7"/>
      <c r="E775" s="7"/>
      <c r="F775" s="7"/>
    </row>
    <row r="776">
      <c r="A776" s="7"/>
      <c r="B776" s="7"/>
      <c r="C776" s="7"/>
      <c r="D776" s="7"/>
      <c r="E776" s="7"/>
      <c r="F776" s="7"/>
    </row>
    <row r="777">
      <c r="A777" s="7"/>
      <c r="B777" s="7"/>
      <c r="C777" s="7"/>
      <c r="D777" s="7"/>
      <c r="E777" s="7"/>
      <c r="F777" s="7"/>
    </row>
    <row r="778">
      <c r="A778" s="7"/>
      <c r="B778" s="7"/>
      <c r="C778" s="7"/>
      <c r="D778" s="7"/>
      <c r="E778" s="7"/>
      <c r="F778" s="7"/>
    </row>
    <row r="779">
      <c r="A779" s="7"/>
      <c r="B779" s="7"/>
      <c r="C779" s="7"/>
      <c r="D779" s="7"/>
      <c r="E779" s="7"/>
      <c r="F779" s="7"/>
    </row>
    <row r="780">
      <c r="A780" s="7"/>
      <c r="B780" s="7"/>
      <c r="C780" s="7"/>
      <c r="D780" s="7"/>
      <c r="E780" s="7"/>
      <c r="F780" s="7"/>
    </row>
    <row r="781">
      <c r="A781" s="7"/>
      <c r="B781" s="7"/>
      <c r="C781" s="7"/>
      <c r="D781" s="7"/>
      <c r="E781" s="7"/>
      <c r="F781" s="7"/>
    </row>
    <row r="782">
      <c r="A782" s="7"/>
      <c r="B782" s="7"/>
      <c r="C782" s="7"/>
      <c r="D782" s="7"/>
      <c r="E782" s="7"/>
      <c r="F782" s="7"/>
    </row>
    <row r="783">
      <c r="A783" s="7"/>
      <c r="B783" s="7"/>
      <c r="C783" s="7"/>
      <c r="D783" s="7"/>
      <c r="E783" s="7"/>
      <c r="F783" s="7"/>
    </row>
    <row r="784">
      <c r="A784" s="7"/>
      <c r="B784" s="7"/>
      <c r="C784" s="7"/>
      <c r="D784" s="7"/>
      <c r="E784" s="7"/>
      <c r="F784" s="7"/>
    </row>
    <row r="785">
      <c r="A785" s="7"/>
      <c r="B785" s="7"/>
      <c r="C785" s="7"/>
      <c r="D785" s="7"/>
      <c r="E785" s="7"/>
      <c r="F785" s="7"/>
    </row>
    <row r="786">
      <c r="A786" s="7"/>
      <c r="B786" s="7"/>
      <c r="C786" s="7"/>
      <c r="D786" s="7"/>
      <c r="E786" s="7"/>
      <c r="F786" s="7"/>
    </row>
    <row r="787">
      <c r="A787" s="7"/>
      <c r="B787" s="7"/>
      <c r="C787" s="7"/>
      <c r="D787" s="7"/>
      <c r="E787" s="7"/>
      <c r="F787" s="7"/>
    </row>
    <row r="788">
      <c r="A788" s="7"/>
      <c r="B788" s="7"/>
      <c r="C788" s="7"/>
      <c r="D788" s="7"/>
      <c r="E788" s="7"/>
      <c r="F788" s="7"/>
    </row>
    <row r="789">
      <c r="A789" s="7"/>
      <c r="B789" s="7"/>
      <c r="C789" s="7"/>
      <c r="D789" s="7"/>
      <c r="E789" s="7"/>
      <c r="F789" s="7"/>
    </row>
    <row r="790">
      <c r="A790" s="7"/>
      <c r="B790" s="7"/>
      <c r="C790" s="7"/>
      <c r="D790" s="7"/>
      <c r="E790" s="7"/>
      <c r="F790" s="7"/>
    </row>
    <row r="791">
      <c r="A791" s="7"/>
      <c r="B791" s="7"/>
      <c r="C791" s="7"/>
      <c r="D791" s="7"/>
      <c r="E791" s="7"/>
      <c r="F791" s="7"/>
    </row>
    <row r="792">
      <c r="A792" s="7"/>
      <c r="B792" s="7"/>
      <c r="C792" s="7"/>
      <c r="D792" s="7"/>
      <c r="E792" s="7"/>
      <c r="F792" s="7"/>
    </row>
    <row r="793">
      <c r="A793" s="7"/>
      <c r="B793" s="7"/>
      <c r="C793" s="7"/>
      <c r="D793" s="7"/>
      <c r="E793" s="7"/>
      <c r="F793" s="7"/>
    </row>
    <row r="794">
      <c r="A794" s="7"/>
      <c r="B794" s="7"/>
      <c r="C794" s="7"/>
      <c r="D794" s="7"/>
      <c r="E794" s="7"/>
      <c r="F794" s="7"/>
    </row>
    <row r="795">
      <c r="A795" s="7"/>
      <c r="B795" s="7"/>
      <c r="C795" s="7"/>
      <c r="D795" s="7"/>
      <c r="E795" s="7"/>
      <c r="F795" s="7"/>
    </row>
    <row r="796">
      <c r="A796" s="7"/>
      <c r="B796" s="7"/>
      <c r="C796" s="7"/>
      <c r="D796" s="7"/>
      <c r="E796" s="7"/>
      <c r="F796" s="7"/>
    </row>
    <row r="797">
      <c r="A797" s="7"/>
      <c r="B797" s="7"/>
      <c r="C797" s="7"/>
      <c r="D797" s="7"/>
      <c r="E797" s="7"/>
      <c r="F797" s="7"/>
    </row>
    <row r="798">
      <c r="A798" s="7"/>
      <c r="B798" s="7"/>
      <c r="C798" s="7"/>
      <c r="D798" s="7"/>
      <c r="E798" s="7"/>
      <c r="F798" s="7"/>
    </row>
    <row r="799">
      <c r="A799" s="7"/>
      <c r="B799" s="7"/>
      <c r="C799" s="7"/>
      <c r="D799" s="7"/>
      <c r="E799" s="7"/>
      <c r="F799" s="7"/>
    </row>
    <row r="800">
      <c r="A800" s="7"/>
      <c r="B800" s="7"/>
      <c r="C800" s="7"/>
      <c r="D800" s="7"/>
      <c r="E800" s="7"/>
      <c r="F800" s="7"/>
    </row>
    <row r="801">
      <c r="A801" s="7"/>
      <c r="B801" s="7"/>
      <c r="C801" s="7"/>
      <c r="D801" s="7"/>
      <c r="E801" s="7"/>
      <c r="F801" s="7"/>
    </row>
    <row r="802">
      <c r="A802" s="7"/>
      <c r="B802" s="7"/>
      <c r="C802" s="7"/>
      <c r="D802" s="7"/>
      <c r="E802" s="7"/>
      <c r="F802" s="7"/>
    </row>
    <row r="803">
      <c r="A803" s="7"/>
      <c r="B803" s="7"/>
      <c r="C803" s="7"/>
      <c r="D803" s="7"/>
      <c r="E803" s="7"/>
      <c r="F803" s="7"/>
    </row>
    <row r="804">
      <c r="A804" s="7"/>
      <c r="B804" s="7"/>
      <c r="C804" s="7"/>
      <c r="D804" s="7"/>
      <c r="E804" s="7"/>
      <c r="F804" s="7"/>
    </row>
    <row r="805">
      <c r="A805" s="7"/>
      <c r="B805" s="7"/>
      <c r="C805" s="7"/>
      <c r="D805" s="7"/>
      <c r="E805" s="7"/>
      <c r="F805" s="7"/>
    </row>
    <row r="806">
      <c r="A806" s="7"/>
      <c r="B806" s="7"/>
      <c r="C806" s="7"/>
      <c r="D806" s="7"/>
      <c r="E806" s="7"/>
      <c r="F806" s="7"/>
    </row>
    <row r="807">
      <c r="A807" s="7"/>
      <c r="B807" s="7"/>
      <c r="C807" s="7"/>
      <c r="D807" s="7"/>
      <c r="E807" s="7"/>
      <c r="F807" s="7"/>
    </row>
    <row r="808">
      <c r="A808" s="7"/>
      <c r="B808" s="7"/>
      <c r="C808" s="7"/>
      <c r="D808" s="7"/>
      <c r="E808" s="7"/>
      <c r="F808" s="7"/>
    </row>
    <row r="809">
      <c r="A809" s="7"/>
      <c r="B809" s="7"/>
      <c r="C809" s="7"/>
      <c r="D809" s="7"/>
      <c r="E809" s="7"/>
      <c r="F809" s="7"/>
    </row>
    <row r="810">
      <c r="A810" s="7"/>
      <c r="B810" s="7"/>
      <c r="C810" s="7"/>
      <c r="D810" s="7"/>
      <c r="E810" s="7"/>
      <c r="F810" s="7"/>
    </row>
    <row r="811">
      <c r="A811" s="7"/>
      <c r="B811" s="7"/>
      <c r="C811" s="7"/>
      <c r="D811" s="7"/>
      <c r="E811" s="7"/>
      <c r="F811" s="7"/>
    </row>
    <row r="812">
      <c r="A812" s="7"/>
      <c r="B812" s="7"/>
      <c r="C812" s="7"/>
      <c r="D812" s="7"/>
      <c r="E812" s="7"/>
      <c r="F812" s="7"/>
    </row>
    <row r="813">
      <c r="A813" s="7"/>
      <c r="B813" s="7"/>
      <c r="C813" s="7"/>
      <c r="D813" s="7"/>
      <c r="E813" s="7"/>
      <c r="F813" s="7"/>
    </row>
    <row r="814">
      <c r="A814" s="7"/>
      <c r="B814" s="7"/>
      <c r="C814" s="7"/>
      <c r="D814" s="7"/>
      <c r="E814" s="7"/>
      <c r="F814" s="7"/>
    </row>
    <row r="815">
      <c r="A815" s="7"/>
      <c r="B815" s="7"/>
      <c r="C815" s="7"/>
      <c r="D815" s="7"/>
      <c r="E815" s="7"/>
      <c r="F815" s="7"/>
    </row>
    <row r="816">
      <c r="A816" s="7"/>
      <c r="B816" s="7"/>
      <c r="C816" s="7"/>
      <c r="D816" s="7"/>
      <c r="E816" s="7"/>
      <c r="F816" s="7"/>
    </row>
    <row r="817">
      <c r="A817" s="7"/>
      <c r="B817" s="7"/>
      <c r="C817" s="7"/>
      <c r="D817" s="7"/>
      <c r="E817" s="7"/>
      <c r="F817" s="7"/>
    </row>
    <row r="818">
      <c r="A818" s="7"/>
      <c r="B818" s="7"/>
      <c r="C818" s="7"/>
      <c r="D818" s="7"/>
      <c r="E818" s="7"/>
      <c r="F818" s="7"/>
    </row>
    <row r="819">
      <c r="A819" s="7"/>
      <c r="B819" s="7"/>
      <c r="C819" s="7"/>
      <c r="D819" s="7"/>
      <c r="E819" s="7"/>
      <c r="F819" s="7"/>
    </row>
    <row r="820">
      <c r="A820" s="7"/>
      <c r="B820" s="7"/>
      <c r="C820" s="7"/>
      <c r="D820" s="7"/>
      <c r="E820" s="7"/>
      <c r="F820" s="7"/>
    </row>
    <row r="821">
      <c r="A821" s="7"/>
      <c r="B821" s="7"/>
      <c r="C821" s="7"/>
      <c r="D821" s="7"/>
      <c r="E821" s="7"/>
      <c r="F821" s="7"/>
    </row>
    <row r="822">
      <c r="A822" s="7"/>
      <c r="B822" s="7"/>
      <c r="C822" s="7"/>
      <c r="D822" s="7"/>
      <c r="E822" s="7"/>
      <c r="F822" s="7"/>
    </row>
    <row r="823">
      <c r="A823" s="7"/>
      <c r="B823" s="7"/>
      <c r="C823" s="7"/>
      <c r="D823" s="7"/>
      <c r="E823" s="7"/>
      <c r="F823" s="7"/>
    </row>
    <row r="824">
      <c r="A824" s="7"/>
      <c r="B824" s="7"/>
      <c r="C824" s="7"/>
      <c r="D824" s="7"/>
      <c r="E824" s="7"/>
      <c r="F824" s="7"/>
    </row>
    <row r="825">
      <c r="A825" s="7"/>
      <c r="B825" s="7"/>
      <c r="C825" s="7"/>
      <c r="D825" s="7"/>
      <c r="E825" s="7"/>
      <c r="F825" s="7"/>
    </row>
    <row r="826">
      <c r="A826" s="7"/>
      <c r="B826" s="7"/>
      <c r="C826" s="7"/>
      <c r="D826" s="7"/>
      <c r="E826" s="7"/>
      <c r="F826" s="7"/>
    </row>
    <row r="827">
      <c r="A827" s="7"/>
      <c r="B827" s="7"/>
      <c r="C827" s="7"/>
      <c r="D827" s="7"/>
      <c r="E827" s="7"/>
      <c r="F827" s="7"/>
    </row>
    <row r="828">
      <c r="A828" s="7"/>
      <c r="B828" s="7"/>
      <c r="C828" s="7"/>
      <c r="D828" s="7"/>
      <c r="E828" s="7"/>
      <c r="F828" s="7"/>
    </row>
    <row r="829">
      <c r="A829" s="7"/>
      <c r="B829" s="7"/>
      <c r="C829" s="7"/>
      <c r="D829" s="7"/>
      <c r="E829" s="7"/>
      <c r="F829" s="7"/>
    </row>
    <row r="830">
      <c r="A830" s="7"/>
      <c r="B830" s="7"/>
      <c r="C830" s="7"/>
      <c r="D830" s="7"/>
      <c r="E830" s="7"/>
      <c r="F830" s="7"/>
    </row>
    <row r="831">
      <c r="A831" s="7"/>
      <c r="B831" s="7"/>
      <c r="C831" s="7"/>
      <c r="D831" s="7"/>
      <c r="E831" s="7"/>
      <c r="F831" s="7"/>
    </row>
    <row r="832">
      <c r="A832" s="7"/>
      <c r="B832" s="7"/>
      <c r="C832" s="7"/>
      <c r="D832" s="7"/>
      <c r="E832" s="7"/>
      <c r="F832" s="7"/>
    </row>
    <row r="833">
      <c r="A833" s="7"/>
      <c r="B833" s="7"/>
      <c r="C833" s="7"/>
      <c r="D833" s="7"/>
      <c r="E833" s="7"/>
      <c r="F833" s="7"/>
    </row>
    <row r="834">
      <c r="A834" s="7"/>
      <c r="B834" s="7"/>
      <c r="C834" s="7"/>
      <c r="D834" s="7"/>
      <c r="E834" s="7"/>
      <c r="F834" s="7"/>
    </row>
    <row r="835">
      <c r="A835" s="7"/>
      <c r="B835" s="7"/>
      <c r="C835" s="7"/>
      <c r="D835" s="7"/>
      <c r="E835" s="7"/>
      <c r="F835" s="7"/>
    </row>
    <row r="836">
      <c r="A836" s="7"/>
      <c r="B836" s="7"/>
      <c r="C836" s="7"/>
      <c r="D836" s="7"/>
      <c r="E836" s="7"/>
      <c r="F836" s="7"/>
    </row>
    <row r="837">
      <c r="A837" s="7"/>
      <c r="B837" s="7"/>
      <c r="C837" s="7"/>
      <c r="D837" s="7"/>
      <c r="E837" s="7"/>
      <c r="F837" s="7"/>
    </row>
    <row r="838">
      <c r="A838" s="7"/>
      <c r="B838" s="7"/>
      <c r="C838" s="7"/>
      <c r="D838" s="7"/>
      <c r="E838" s="7"/>
      <c r="F838" s="7"/>
    </row>
    <row r="839">
      <c r="A839" s="7"/>
      <c r="B839" s="7"/>
      <c r="C839" s="7"/>
      <c r="D839" s="7"/>
      <c r="E839" s="7"/>
      <c r="F839" s="7"/>
    </row>
    <row r="840">
      <c r="A840" s="7"/>
      <c r="B840" s="7"/>
      <c r="C840" s="7"/>
      <c r="D840" s="7"/>
      <c r="E840" s="7"/>
      <c r="F840" s="7"/>
    </row>
    <row r="841">
      <c r="A841" s="7"/>
      <c r="B841" s="7"/>
      <c r="C841" s="7"/>
      <c r="D841" s="7"/>
      <c r="E841" s="7"/>
      <c r="F841" s="7"/>
    </row>
    <row r="842">
      <c r="A842" s="7"/>
      <c r="B842" s="7"/>
      <c r="C842" s="7"/>
      <c r="D842" s="7"/>
      <c r="E842" s="7"/>
      <c r="F842" s="7"/>
    </row>
    <row r="843">
      <c r="A843" s="7"/>
      <c r="B843" s="7"/>
      <c r="C843" s="7"/>
      <c r="D843" s="7"/>
      <c r="E843" s="7"/>
      <c r="F843" s="7"/>
    </row>
    <row r="844">
      <c r="A844" s="7"/>
      <c r="B844" s="7"/>
      <c r="C844" s="7"/>
      <c r="D844" s="7"/>
      <c r="E844" s="7"/>
      <c r="F844" s="7"/>
    </row>
    <row r="845">
      <c r="A845" s="7"/>
      <c r="B845" s="7"/>
      <c r="C845" s="7"/>
      <c r="D845" s="7"/>
      <c r="E845" s="7"/>
      <c r="F845" s="7"/>
    </row>
    <row r="846">
      <c r="A846" s="7"/>
      <c r="B846" s="7"/>
      <c r="C846" s="7"/>
      <c r="D846" s="7"/>
      <c r="E846" s="7"/>
      <c r="F846" s="7"/>
    </row>
    <row r="847">
      <c r="A847" s="7"/>
      <c r="B847" s="7"/>
      <c r="C847" s="7"/>
      <c r="D847" s="7"/>
      <c r="E847" s="7"/>
      <c r="F847" s="7"/>
    </row>
    <row r="848">
      <c r="A848" s="7"/>
      <c r="B848" s="7"/>
      <c r="C848" s="7"/>
      <c r="D848" s="7"/>
      <c r="E848" s="7"/>
      <c r="F848" s="7"/>
    </row>
    <row r="849">
      <c r="A849" s="7"/>
      <c r="B849" s="7"/>
      <c r="C849" s="7"/>
      <c r="D849" s="7"/>
      <c r="E849" s="7"/>
      <c r="F849" s="7"/>
    </row>
    <row r="850">
      <c r="A850" s="7"/>
      <c r="B850" s="7"/>
      <c r="C850" s="7"/>
      <c r="D850" s="7"/>
      <c r="E850" s="7"/>
      <c r="F850" s="7"/>
    </row>
    <row r="851">
      <c r="A851" s="7"/>
      <c r="B851" s="7"/>
      <c r="C851" s="7"/>
      <c r="D851" s="7"/>
      <c r="E851" s="7"/>
      <c r="F851" s="7"/>
    </row>
    <row r="852">
      <c r="A852" s="7"/>
      <c r="B852" s="7"/>
      <c r="C852" s="7"/>
      <c r="D852" s="7"/>
      <c r="E852" s="7"/>
      <c r="F852" s="7"/>
    </row>
    <row r="853">
      <c r="A853" s="7"/>
      <c r="B853" s="7"/>
      <c r="C853" s="7"/>
      <c r="D853" s="7"/>
      <c r="E853" s="7"/>
      <c r="F853" s="7"/>
    </row>
    <row r="854">
      <c r="A854" s="7"/>
      <c r="B854" s="7"/>
      <c r="C854" s="7"/>
      <c r="D854" s="7"/>
      <c r="E854" s="7"/>
      <c r="F854" s="7"/>
    </row>
    <row r="855">
      <c r="A855" s="7"/>
      <c r="B855" s="7"/>
      <c r="C855" s="7"/>
      <c r="D855" s="7"/>
      <c r="E855" s="7"/>
      <c r="F855" s="7"/>
    </row>
    <row r="856">
      <c r="A856" s="7"/>
      <c r="B856" s="7"/>
      <c r="C856" s="7"/>
      <c r="D856" s="7"/>
      <c r="E856" s="7"/>
      <c r="F856" s="7"/>
    </row>
    <row r="857">
      <c r="A857" s="7"/>
      <c r="B857" s="7"/>
      <c r="C857" s="7"/>
      <c r="D857" s="7"/>
      <c r="E857" s="7"/>
      <c r="F857" s="7"/>
    </row>
    <row r="858">
      <c r="A858" s="7"/>
      <c r="B858" s="7"/>
      <c r="C858" s="7"/>
      <c r="D858" s="7"/>
      <c r="E858" s="7"/>
      <c r="F858" s="7"/>
    </row>
    <row r="859">
      <c r="A859" s="7"/>
      <c r="B859" s="7"/>
      <c r="C859" s="7"/>
      <c r="D859" s="7"/>
      <c r="E859" s="7"/>
      <c r="F859" s="7"/>
    </row>
    <row r="860">
      <c r="A860" s="7"/>
      <c r="B860" s="7"/>
      <c r="C860" s="7"/>
      <c r="D860" s="7"/>
      <c r="E860" s="7"/>
      <c r="F860" s="7"/>
    </row>
    <row r="861">
      <c r="A861" s="7"/>
      <c r="B861" s="7"/>
      <c r="C861" s="7"/>
      <c r="D861" s="7"/>
      <c r="E861" s="7"/>
      <c r="F861" s="7"/>
    </row>
    <row r="862">
      <c r="A862" s="7"/>
      <c r="B862" s="7"/>
      <c r="C862" s="7"/>
      <c r="D862" s="7"/>
      <c r="E862" s="7"/>
      <c r="F862" s="7"/>
    </row>
    <row r="863">
      <c r="A863" s="7"/>
      <c r="B863" s="7"/>
      <c r="C863" s="7"/>
      <c r="D863" s="7"/>
      <c r="E863" s="7"/>
      <c r="F863" s="7"/>
    </row>
    <row r="864">
      <c r="A864" s="7"/>
      <c r="B864" s="7"/>
      <c r="C864" s="7"/>
      <c r="D864" s="7"/>
      <c r="E864" s="7"/>
      <c r="F864" s="7"/>
    </row>
    <row r="865">
      <c r="A865" s="7"/>
      <c r="B865" s="7"/>
      <c r="C865" s="7"/>
      <c r="D865" s="7"/>
      <c r="E865" s="7"/>
      <c r="F865" s="7"/>
    </row>
    <row r="866">
      <c r="A866" s="7"/>
      <c r="B866" s="7"/>
      <c r="C866" s="7"/>
      <c r="D866" s="7"/>
      <c r="E866" s="7"/>
      <c r="F866" s="7"/>
    </row>
    <row r="867">
      <c r="A867" s="7"/>
      <c r="B867" s="7"/>
      <c r="C867" s="7"/>
      <c r="D867" s="7"/>
      <c r="E867" s="7"/>
      <c r="F867" s="7"/>
    </row>
    <row r="868">
      <c r="A868" s="7"/>
      <c r="B868" s="7"/>
      <c r="C868" s="7"/>
      <c r="D868" s="7"/>
      <c r="E868" s="7"/>
      <c r="F868" s="7"/>
    </row>
    <row r="869">
      <c r="A869" s="7"/>
      <c r="B869" s="7"/>
      <c r="C869" s="7"/>
      <c r="D869" s="7"/>
      <c r="E869" s="7"/>
      <c r="F869" s="7"/>
    </row>
    <row r="870">
      <c r="A870" s="7"/>
      <c r="B870" s="7"/>
      <c r="C870" s="7"/>
      <c r="D870" s="7"/>
      <c r="E870" s="7"/>
      <c r="F870" s="7"/>
    </row>
    <row r="871">
      <c r="A871" s="7"/>
      <c r="B871" s="7"/>
      <c r="C871" s="7"/>
      <c r="D871" s="7"/>
      <c r="E871" s="7"/>
      <c r="F871" s="7"/>
    </row>
    <row r="872">
      <c r="A872" s="7"/>
      <c r="B872" s="7"/>
      <c r="C872" s="7"/>
      <c r="D872" s="7"/>
      <c r="E872" s="7"/>
      <c r="F872" s="7"/>
    </row>
    <row r="873">
      <c r="A873" s="7"/>
      <c r="B873" s="7"/>
      <c r="C873" s="7"/>
      <c r="D873" s="7"/>
      <c r="E873" s="7"/>
      <c r="F873" s="7"/>
    </row>
    <row r="874">
      <c r="A874" s="7"/>
      <c r="B874" s="7"/>
      <c r="C874" s="7"/>
      <c r="D874" s="7"/>
      <c r="E874" s="7"/>
      <c r="F874" s="7"/>
    </row>
    <row r="875">
      <c r="A875" s="7"/>
      <c r="B875" s="7"/>
      <c r="C875" s="7"/>
      <c r="D875" s="7"/>
      <c r="E875" s="7"/>
      <c r="F875" s="7"/>
    </row>
    <row r="876">
      <c r="A876" s="7"/>
      <c r="B876" s="7"/>
      <c r="C876" s="7"/>
      <c r="D876" s="7"/>
      <c r="E876" s="7"/>
      <c r="F876" s="7"/>
    </row>
    <row r="877">
      <c r="A877" s="7"/>
      <c r="B877" s="7"/>
      <c r="C877" s="7"/>
      <c r="D877" s="7"/>
      <c r="E877" s="7"/>
      <c r="F877" s="7"/>
    </row>
    <row r="878">
      <c r="A878" s="7"/>
      <c r="B878" s="7"/>
      <c r="C878" s="7"/>
      <c r="D878" s="7"/>
      <c r="E878" s="7"/>
      <c r="F878" s="7"/>
    </row>
    <row r="879">
      <c r="A879" s="7"/>
      <c r="B879" s="7"/>
      <c r="C879" s="7"/>
      <c r="D879" s="7"/>
      <c r="E879" s="7"/>
      <c r="F879" s="7"/>
    </row>
    <row r="880">
      <c r="A880" s="7"/>
      <c r="B880" s="7"/>
      <c r="C880" s="7"/>
      <c r="D880" s="7"/>
      <c r="E880" s="7"/>
      <c r="F880" s="7"/>
    </row>
    <row r="881">
      <c r="A881" s="7"/>
      <c r="B881" s="7"/>
      <c r="C881" s="7"/>
      <c r="D881" s="7"/>
      <c r="E881" s="7"/>
      <c r="F881" s="7"/>
    </row>
    <row r="882">
      <c r="A882" s="7"/>
      <c r="B882" s="7"/>
      <c r="C882" s="7"/>
      <c r="D882" s="7"/>
      <c r="E882" s="7"/>
      <c r="F882" s="7"/>
    </row>
    <row r="883">
      <c r="A883" s="7"/>
      <c r="B883" s="7"/>
      <c r="C883" s="7"/>
      <c r="D883" s="7"/>
      <c r="E883" s="7"/>
      <c r="F883" s="7"/>
    </row>
    <row r="884">
      <c r="A884" s="7"/>
      <c r="B884" s="7"/>
      <c r="C884" s="7"/>
      <c r="D884" s="7"/>
      <c r="E884" s="7"/>
      <c r="F884" s="7"/>
    </row>
    <row r="885">
      <c r="A885" s="7"/>
      <c r="B885" s="7"/>
      <c r="C885" s="7"/>
      <c r="D885" s="7"/>
      <c r="E885" s="7"/>
      <c r="F885" s="7"/>
    </row>
    <row r="886">
      <c r="A886" s="7"/>
      <c r="B886" s="7"/>
      <c r="C886" s="7"/>
      <c r="D886" s="7"/>
      <c r="E886" s="7"/>
      <c r="F886" s="7"/>
    </row>
    <row r="887">
      <c r="A887" s="7"/>
      <c r="B887" s="7"/>
      <c r="C887" s="7"/>
      <c r="D887" s="7"/>
      <c r="E887" s="7"/>
      <c r="F887" s="7"/>
    </row>
    <row r="888">
      <c r="A888" s="7"/>
      <c r="B888" s="7"/>
      <c r="C888" s="7"/>
      <c r="D888" s="7"/>
      <c r="E888" s="7"/>
      <c r="F888" s="7"/>
    </row>
    <row r="889">
      <c r="A889" s="7"/>
      <c r="B889" s="7"/>
      <c r="C889" s="7"/>
      <c r="D889" s="7"/>
      <c r="E889" s="7"/>
      <c r="F889" s="7"/>
    </row>
    <row r="890">
      <c r="A890" s="7"/>
      <c r="B890" s="7"/>
      <c r="C890" s="7"/>
      <c r="D890" s="7"/>
      <c r="E890" s="7"/>
      <c r="F890" s="7"/>
    </row>
    <row r="891">
      <c r="A891" s="7"/>
      <c r="B891" s="7"/>
      <c r="C891" s="7"/>
      <c r="D891" s="7"/>
      <c r="E891" s="7"/>
      <c r="F891" s="7"/>
    </row>
    <row r="892">
      <c r="A892" s="7"/>
      <c r="B892" s="7"/>
      <c r="C892" s="7"/>
      <c r="D892" s="7"/>
      <c r="E892" s="7"/>
      <c r="F892" s="7"/>
    </row>
    <row r="893">
      <c r="A893" s="7"/>
      <c r="B893" s="7"/>
      <c r="C893" s="7"/>
      <c r="D893" s="7"/>
      <c r="E893" s="7"/>
      <c r="F893" s="7"/>
    </row>
    <row r="894">
      <c r="A894" s="7"/>
      <c r="B894" s="7"/>
      <c r="C894" s="7"/>
      <c r="D894" s="7"/>
      <c r="E894" s="7"/>
      <c r="F894" s="7"/>
    </row>
    <row r="895">
      <c r="A895" s="7"/>
      <c r="B895" s="7"/>
      <c r="C895" s="7"/>
      <c r="D895" s="7"/>
      <c r="E895" s="7"/>
      <c r="F895" s="7"/>
    </row>
    <row r="896">
      <c r="A896" s="7"/>
      <c r="B896" s="7"/>
      <c r="C896" s="7"/>
      <c r="D896" s="7"/>
      <c r="E896" s="7"/>
      <c r="F896" s="7"/>
    </row>
    <row r="897">
      <c r="A897" s="7"/>
      <c r="B897" s="7"/>
      <c r="C897" s="7"/>
      <c r="D897" s="7"/>
      <c r="E897" s="7"/>
      <c r="F897" s="7"/>
    </row>
    <row r="898">
      <c r="A898" s="7"/>
      <c r="B898" s="7"/>
      <c r="C898" s="7"/>
      <c r="D898" s="7"/>
      <c r="E898" s="7"/>
      <c r="F898" s="7"/>
    </row>
    <row r="899">
      <c r="A899" s="7"/>
      <c r="B899" s="7"/>
      <c r="C899" s="7"/>
      <c r="D899" s="7"/>
      <c r="E899" s="7"/>
      <c r="F899" s="7"/>
    </row>
    <row r="900">
      <c r="A900" s="7"/>
      <c r="B900" s="7"/>
      <c r="C900" s="7"/>
      <c r="D900" s="7"/>
      <c r="E900" s="7"/>
      <c r="F900" s="7"/>
    </row>
    <row r="901">
      <c r="A901" s="7"/>
      <c r="B901" s="7"/>
      <c r="C901" s="7"/>
      <c r="D901" s="7"/>
      <c r="E901" s="7"/>
      <c r="F901" s="7"/>
    </row>
    <row r="902">
      <c r="A902" s="7"/>
      <c r="B902" s="7"/>
      <c r="C902" s="7"/>
      <c r="D902" s="7"/>
      <c r="E902" s="7"/>
      <c r="F902" s="7"/>
    </row>
    <row r="903">
      <c r="A903" s="7"/>
      <c r="B903" s="7"/>
      <c r="C903" s="7"/>
      <c r="D903" s="7"/>
      <c r="E903" s="7"/>
      <c r="F903" s="7"/>
    </row>
    <row r="904">
      <c r="A904" s="7"/>
      <c r="B904" s="7"/>
      <c r="C904" s="7"/>
      <c r="D904" s="7"/>
      <c r="E904" s="7"/>
      <c r="F904" s="7"/>
    </row>
    <row r="905">
      <c r="A905" s="7"/>
      <c r="B905" s="7"/>
      <c r="C905" s="7"/>
      <c r="D905" s="7"/>
      <c r="E905" s="7"/>
      <c r="F905" s="7"/>
    </row>
    <row r="906">
      <c r="A906" s="7"/>
      <c r="B906" s="7"/>
      <c r="C906" s="7"/>
      <c r="D906" s="7"/>
      <c r="E906" s="7"/>
      <c r="F906" s="7"/>
    </row>
    <row r="907">
      <c r="A907" s="7"/>
      <c r="B907" s="7"/>
      <c r="C907" s="7"/>
      <c r="D907" s="7"/>
      <c r="E907" s="7"/>
      <c r="F907" s="7"/>
    </row>
    <row r="908">
      <c r="A908" s="7"/>
      <c r="B908" s="7"/>
      <c r="C908" s="7"/>
      <c r="D908" s="7"/>
      <c r="E908" s="7"/>
      <c r="F908" s="7"/>
    </row>
    <row r="909">
      <c r="A909" s="7"/>
      <c r="B909" s="7"/>
      <c r="C909" s="7"/>
      <c r="D909" s="7"/>
      <c r="E909" s="7"/>
      <c r="F909" s="7"/>
    </row>
    <row r="910">
      <c r="A910" s="7"/>
      <c r="B910" s="7"/>
      <c r="C910" s="7"/>
      <c r="D910" s="7"/>
      <c r="E910" s="7"/>
      <c r="F910" s="7"/>
    </row>
    <row r="911">
      <c r="A911" s="7"/>
      <c r="B911" s="7"/>
      <c r="C911" s="7"/>
      <c r="D911" s="7"/>
      <c r="E911" s="7"/>
      <c r="F911" s="7"/>
    </row>
    <row r="912">
      <c r="A912" s="7"/>
      <c r="B912" s="7"/>
      <c r="C912" s="7"/>
      <c r="D912" s="7"/>
      <c r="E912" s="7"/>
      <c r="F912" s="7"/>
    </row>
    <row r="913">
      <c r="A913" s="7"/>
      <c r="B913" s="7"/>
      <c r="C913" s="7"/>
      <c r="D913" s="7"/>
      <c r="E913" s="7"/>
      <c r="F913" s="7"/>
    </row>
    <row r="914">
      <c r="A914" s="7"/>
      <c r="B914" s="7"/>
      <c r="C914" s="7"/>
      <c r="D914" s="7"/>
      <c r="E914" s="7"/>
      <c r="F914" s="7"/>
    </row>
    <row r="915">
      <c r="A915" s="7"/>
      <c r="B915" s="7"/>
      <c r="C915" s="7"/>
      <c r="D915" s="7"/>
      <c r="E915" s="7"/>
      <c r="F915" s="7"/>
    </row>
    <row r="916">
      <c r="A916" s="7"/>
      <c r="B916" s="7"/>
      <c r="C916" s="7"/>
      <c r="D916" s="7"/>
      <c r="E916" s="7"/>
      <c r="F916" s="7"/>
    </row>
    <row r="917">
      <c r="A917" s="7"/>
      <c r="B917" s="7"/>
      <c r="C917" s="7"/>
      <c r="D917" s="7"/>
      <c r="E917" s="7"/>
      <c r="F917" s="7"/>
    </row>
    <row r="918">
      <c r="A918" s="7"/>
      <c r="B918" s="7"/>
      <c r="C918" s="7"/>
      <c r="D918" s="7"/>
      <c r="E918" s="7"/>
      <c r="F918" s="7"/>
    </row>
    <row r="919">
      <c r="A919" s="7"/>
      <c r="B919" s="7"/>
      <c r="C919" s="7"/>
      <c r="D919" s="7"/>
      <c r="E919" s="7"/>
      <c r="F919" s="7"/>
    </row>
    <row r="920">
      <c r="A920" s="7"/>
      <c r="B920" s="7"/>
      <c r="C920" s="7"/>
      <c r="D920" s="7"/>
      <c r="E920" s="7"/>
      <c r="F920" s="7"/>
    </row>
    <row r="921">
      <c r="A921" s="7"/>
      <c r="B921" s="7"/>
      <c r="C921" s="7"/>
      <c r="D921" s="7"/>
      <c r="E921" s="7"/>
      <c r="F921" s="7"/>
    </row>
    <row r="922">
      <c r="A922" s="7"/>
      <c r="B922" s="7"/>
      <c r="C922" s="7"/>
      <c r="D922" s="7"/>
      <c r="E922" s="7"/>
      <c r="F922" s="7"/>
    </row>
    <row r="923">
      <c r="A923" s="7"/>
      <c r="B923" s="7"/>
      <c r="C923" s="7"/>
      <c r="D923" s="7"/>
      <c r="E923" s="7"/>
      <c r="F923" s="7"/>
    </row>
    <row r="924">
      <c r="A924" s="7"/>
      <c r="B924" s="7"/>
      <c r="C924" s="7"/>
      <c r="D924" s="7"/>
      <c r="E924" s="7"/>
      <c r="F924" s="7"/>
    </row>
    <row r="925">
      <c r="A925" s="7"/>
      <c r="B925" s="7"/>
      <c r="C925" s="7"/>
      <c r="D925" s="7"/>
      <c r="E925" s="7"/>
      <c r="F925" s="7"/>
    </row>
    <row r="926">
      <c r="A926" s="7"/>
      <c r="B926" s="7"/>
      <c r="C926" s="7"/>
      <c r="D926" s="7"/>
      <c r="E926" s="7"/>
      <c r="F926" s="7"/>
    </row>
    <row r="927">
      <c r="A927" s="7"/>
      <c r="B927" s="7"/>
      <c r="C927" s="7"/>
      <c r="D927" s="7"/>
      <c r="E927" s="7"/>
      <c r="F927" s="7"/>
    </row>
    <row r="928">
      <c r="A928" s="7"/>
      <c r="B928" s="7"/>
      <c r="C928" s="7"/>
      <c r="D928" s="7"/>
      <c r="E928" s="7"/>
      <c r="F928" s="7"/>
    </row>
    <row r="929">
      <c r="A929" s="7"/>
      <c r="B929" s="7"/>
      <c r="C929" s="7"/>
      <c r="D929" s="7"/>
      <c r="E929" s="7"/>
      <c r="F929" s="7"/>
    </row>
    <row r="930">
      <c r="A930" s="7"/>
      <c r="B930" s="7"/>
      <c r="C930" s="7"/>
      <c r="D930" s="7"/>
      <c r="E930" s="7"/>
      <c r="F930" s="7"/>
    </row>
    <row r="931">
      <c r="A931" s="7"/>
      <c r="B931" s="7"/>
      <c r="C931" s="7"/>
      <c r="D931" s="7"/>
      <c r="E931" s="7"/>
      <c r="F931" s="7"/>
    </row>
    <row r="932">
      <c r="A932" s="7"/>
      <c r="B932" s="7"/>
      <c r="C932" s="7"/>
      <c r="D932" s="7"/>
      <c r="E932" s="7"/>
      <c r="F932" s="7"/>
    </row>
    <row r="933">
      <c r="A933" s="7"/>
      <c r="B933" s="7"/>
      <c r="C933" s="7"/>
      <c r="D933" s="7"/>
      <c r="E933" s="7"/>
      <c r="F933" s="7"/>
    </row>
    <row r="934">
      <c r="A934" s="7"/>
      <c r="B934" s="7"/>
      <c r="C934" s="7"/>
      <c r="D934" s="7"/>
      <c r="E934" s="7"/>
      <c r="F934" s="7"/>
    </row>
    <row r="935">
      <c r="A935" s="7"/>
      <c r="B935" s="7"/>
      <c r="C935" s="7"/>
      <c r="D935" s="7"/>
      <c r="E935" s="7"/>
      <c r="F935" s="7"/>
    </row>
    <row r="936">
      <c r="A936" s="7"/>
      <c r="B936" s="7"/>
      <c r="C936" s="7"/>
      <c r="D936" s="7"/>
      <c r="E936" s="7"/>
      <c r="F936" s="7"/>
    </row>
    <row r="937">
      <c r="A937" s="7"/>
      <c r="B937" s="7"/>
      <c r="C937" s="7"/>
      <c r="D937" s="7"/>
      <c r="E937" s="7"/>
      <c r="F937" s="7"/>
    </row>
    <row r="938">
      <c r="A938" s="7"/>
      <c r="B938" s="7"/>
      <c r="C938" s="7"/>
      <c r="D938" s="7"/>
      <c r="E938" s="7"/>
      <c r="F938" s="7"/>
    </row>
    <row r="939">
      <c r="A939" s="7"/>
      <c r="B939" s="7"/>
      <c r="C939" s="7"/>
      <c r="D939" s="7"/>
      <c r="E939" s="7"/>
      <c r="F939" s="7"/>
    </row>
    <row r="940">
      <c r="A940" s="7"/>
      <c r="B940" s="7"/>
      <c r="C940" s="7"/>
      <c r="D940" s="7"/>
      <c r="E940" s="7"/>
      <c r="F940" s="7"/>
    </row>
    <row r="941">
      <c r="A941" s="7"/>
      <c r="B941" s="7"/>
      <c r="C941" s="7"/>
      <c r="D941" s="7"/>
      <c r="E941" s="7"/>
      <c r="F941" s="7"/>
    </row>
    <row r="942">
      <c r="A942" s="7"/>
      <c r="B942" s="7"/>
      <c r="C942" s="7"/>
      <c r="D942" s="7"/>
      <c r="E942" s="7"/>
      <c r="F942" s="7"/>
    </row>
    <row r="943">
      <c r="A943" s="7"/>
      <c r="B943" s="7"/>
      <c r="C943" s="7"/>
      <c r="D943" s="7"/>
      <c r="E943" s="7"/>
      <c r="F943" s="7"/>
    </row>
    <row r="944">
      <c r="A944" s="7"/>
      <c r="B944" s="7"/>
      <c r="C944" s="7"/>
      <c r="D944" s="7"/>
      <c r="E944" s="7"/>
      <c r="F944" s="7"/>
    </row>
    <row r="945">
      <c r="A945" s="7"/>
      <c r="B945" s="7"/>
      <c r="C945" s="7"/>
      <c r="D945" s="7"/>
      <c r="E945" s="7"/>
      <c r="F945" s="7"/>
    </row>
    <row r="946">
      <c r="A946" s="7"/>
      <c r="B946" s="7"/>
      <c r="C946" s="7"/>
      <c r="D946" s="7"/>
      <c r="E946" s="7"/>
      <c r="F946" s="7"/>
    </row>
    <row r="947">
      <c r="A947" s="7"/>
      <c r="B947" s="7"/>
      <c r="C947" s="7"/>
      <c r="D947" s="7"/>
      <c r="E947" s="7"/>
      <c r="F947" s="7"/>
    </row>
    <row r="948">
      <c r="A948" s="7"/>
      <c r="B948" s="7"/>
      <c r="C948" s="7"/>
      <c r="D948" s="7"/>
      <c r="E948" s="7"/>
      <c r="F948" s="7"/>
    </row>
    <row r="949">
      <c r="A949" s="7"/>
      <c r="B949" s="7"/>
      <c r="C949" s="7"/>
      <c r="D949" s="7"/>
      <c r="E949" s="7"/>
      <c r="F949" s="7"/>
    </row>
    <row r="950">
      <c r="A950" s="7"/>
      <c r="B950" s="7"/>
      <c r="C950" s="7"/>
      <c r="D950" s="7"/>
      <c r="E950" s="7"/>
      <c r="F950" s="7"/>
    </row>
    <row r="951">
      <c r="A951" s="7"/>
      <c r="B951" s="7"/>
      <c r="C951" s="7"/>
      <c r="D951" s="7"/>
      <c r="E951" s="7"/>
      <c r="F951" s="7"/>
    </row>
    <row r="952">
      <c r="A952" s="7"/>
      <c r="B952" s="7"/>
      <c r="C952" s="7"/>
      <c r="D952" s="7"/>
      <c r="E952" s="7"/>
      <c r="F952" s="7"/>
    </row>
    <row r="953">
      <c r="A953" s="7"/>
      <c r="B953" s="7"/>
      <c r="C953" s="7"/>
      <c r="D953" s="7"/>
      <c r="E953" s="7"/>
      <c r="F953" s="7"/>
    </row>
    <row r="954">
      <c r="A954" s="7"/>
      <c r="B954" s="7"/>
      <c r="C954" s="7"/>
      <c r="D954" s="7"/>
      <c r="E954" s="7"/>
      <c r="F954" s="7"/>
    </row>
    <row r="955">
      <c r="A955" s="7"/>
      <c r="B955" s="7"/>
      <c r="C955" s="7"/>
      <c r="D955" s="7"/>
      <c r="E955" s="7"/>
      <c r="F955" s="7"/>
    </row>
    <row r="956">
      <c r="A956" s="7"/>
      <c r="B956" s="7"/>
      <c r="C956" s="7"/>
      <c r="D956" s="7"/>
      <c r="E956" s="7"/>
      <c r="F956" s="7"/>
    </row>
    <row r="957">
      <c r="A957" s="7"/>
      <c r="B957" s="7"/>
      <c r="C957" s="7"/>
      <c r="D957" s="7"/>
      <c r="E957" s="7"/>
      <c r="F957" s="7"/>
    </row>
    <row r="958">
      <c r="A958" s="7"/>
      <c r="B958" s="7"/>
      <c r="C958" s="7"/>
      <c r="D958" s="7"/>
      <c r="E958" s="7"/>
      <c r="F958" s="7"/>
    </row>
    <row r="959">
      <c r="A959" s="7"/>
      <c r="B959" s="7"/>
      <c r="C959" s="7"/>
      <c r="D959" s="7"/>
      <c r="E959" s="7"/>
      <c r="F959" s="7"/>
    </row>
    <row r="960">
      <c r="A960" s="7"/>
      <c r="B960" s="7"/>
      <c r="C960" s="7"/>
      <c r="D960" s="7"/>
      <c r="E960" s="7"/>
      <c r="F960" s="7"/>
    </row>
    <row r="961">
      <c r="A961" s="7"/>
      <c r="B961" s="7"/>
      <c r="C961" s="7"/>
      <c r="D961" s="7"/>
      <c r="E961" s="7"/>
      <c r="F961" s="7"/>
    </row>
    <row r="962">
      <c r="A962" s="7"/>
      <c r="B962" s="7"/>
      <c r="C962" s="7"/>
      <c r="D962" s="7"/>
      <c r="E962" s="7"/>
      <c r="F962" s="7"/>
    </row>
    <row r="963">
      <c r="A963" s="7"/>
      <c r="B963" s="7"/>
      <c r="C963" s="7"/>
      <c r="D963" s="7"/>
      <c r="E963" s="7"/>
      <c r="F963" s="7"/>
    </row>
    <row r="964">
      <c r="A964" s="7"/>
      <c r="B964" s="7"/>
      <c r="C964" s="7"/>
      <c r="D964" s="7"/>
      <c r="E964" s="7"/>
      <c r="F964" s="7"/>
    </row>
    <row r="965">
      <c r="A965" s="7"/>
      <c r="B965" s="7"/>
      <c r="C965" s="7"/>
      <c r="D965" s="7"/>
      <c r="E965" s="7"/>
      <c r="F965" s="7"/>
    </row>
    <row r="966">
      <c r="A966" s="7"/>
      <c r="B966" s="7"/>
      <c r="C966" s="7"/>
      <c r="D966" s="7"/>
      <c r="E966" s="7"/>
      <c r="F966" s="7"/>
    </row>
    <row r="967">
      <c r="A967" s="7"/>
      <c r="B967" s="7"/>
      <c r="C967" s="7"/>
      <c r="D967" s="7"/>
      <c r="E967" s="7"/>
      <c r="F967" s="7"/>
    </row>
    <row r="968">
      <c r="A968" s="7"/>
      <c r="B968" s="7"/>
      <c r="C968" s="7"/>
      <c r="D968" s="7"/>
      <c r="E968" s="7"/>
      <c r="F968" s="7"/>
    </row>
    <row r="969">
      <c r="A969" s="7"/>
      <c r="B969" s="7"/>
      <c r="C969" s="7"/>
      <c r="D969" s="7"/>
      <c r="E969" s="7"/>
      <c r="F969" s="7"/>
    </row>
    <row r="970">
      <c r="A970" s="7"/>
      <c r="B970" s="7"/>
      <c r="C970" s="7"/>
      <c r="D970" s="7"/>
      <c r="E970" s="7"/>
      <c r="F970" s="7"/>
    </row>
    <row r="971">
      <c r="A971" s="7"/>
      <c r="B971" s="7"/>
      <c r="C971" s="7"/>
      <c r="D971" s="7"/>
      <c r="E971" s="7"/>
      <c r="F971" s="7"/>
    </row>
    <row r="972">
      <c r="A972" s="7"/>
      <c r="B972" s="7"/>
      <c r="C972" s="7"/>
      <c r="D972" s="7"/>
      <c r="E972" s="7"/>
      <c r="F972" s="7"/>
    </row>
    <row r="973">
      <c r="A973" s="7"/>
      <c r="B973" s="7"/>
      <c r="C973" s="7"/>
      <c r="D973" s="7"/>
      <c r="E973" s="7"/>
      <c r="F973" s="7"/>
    </row>
    <row r="974">
      <c r="A974" s="7"/>
      <c r="B974" s="7"/>
      <c r="C974" s="7"/>
      <c r="D974" s="7"/>
      <c r="E974" s="7"/>
      <c r="F974" s="7"/>
    </row>
    <row r="975">
      <c r="A975" s="7"/>
      <c r="B975" s="7"/>
      <c r="C975" s="7"/>
      <c r="D975" s="7"/>
      <c r="E975" s="7"/>
      <c r="F975" s="7"/>
    </row>
    <row r="976">
      <c r="A976" s="7"/>
      <c r="B976" s="7"/>
      <c r="C976" s="7"/>
      <c r="D976" s="7"/>
      <c r="E976" s="7"/>
      <c r="F976" s="7"/>
    </row>
    <row r="977">
      <c r="A977" s="7"/>
      <c r="B977" s="7"/>
      <c r="C977" s="7"/>
      <c r="D977" s="7"/>
      <c r="E977" s="7"/>
      <c r="F977" s="7"/>
    </row>
    <row r="978">
      <c r="A978" s="7"/>
      <c r="B978" s="7"/>
      <c r="C978" s="7"/>
      <c r="D978" s="7"/>
      <c r="E978" s="7"/>
      <c r="F978" s="7"/>
    </row>
    <row r="979">
      <c r="A979" s="7"/>
      <c r="B979" s="7"/>
      <c r="C979" s="7"/>
      <c r="D979" s="7"/>
      <c r="E979" s="7"/>
      <c r="F979" s="7"/>
    </row>
    <row r="980">
      <c r="A980" s="7"/>
      <c r="B980" s="7"/>
      <c r="C980" s="7"/>
      <c r="D980" s="7"/>
      <c r="E980" s="7"/>
      <c r="F980" s="7"/>
    </row>
    <row r="981">
      <c r="A981" s="7"/>
      <c r="B981" s="7"/>
      <c r="C981" s="7"/>
      <c r="D981" s="7"/>
      <c r="E981" s="7"/>
      <c r="F981" s="7"/>
    </row>
    <row r="982">
      <c r="A982" s="7"/>
      <c r="B982" s="7"/>
      <c r="C982" s="7"/>
      <c r="D982" s="7"/>
      <c r="E982" s="7"/>
      <c r="F982" s="7"/>
    </row>
    <row r="983">
      <c r="A983" s="7"/>
      <c r="B983" s="7"/>
      <c r="C983" s="7"/>
      <c r="D983" s="7"/>
      <c r="E983" s="7"/>
      <c r="F983" s="7"/>
    </row>
    <row r="984">
      <c r="A984" s="7"/>
      <c r="B984" s="7"/>
      <c r="C984" s="7"/>
      <c r="D984" s="7"/>
      <c r="E984" s="7"/>
      <c r="F984" s="7"/>
    </row>
    <row r="985">
      <c r="A985" s="7"/>
      <c r="B985" s="7"/>
      <c r="C985" s="7"/>
      <c r="D985" s="7"/>
      <c r="E985" s="7"/>
      <c r="F985" s="7"/>
    </row>
    <row r="986">
      <c r="A986" s="7"/>
      <c r="B986" s="7"/>
      <c r="C986" s="7"/>
      <c r="D986" s="7"/>
      <c r="E986" s="7"/>
      <c r="F986" s="7"/>
    </row>
    <row r="987">
      <c r="A987" s="7"/>
      <c r="B987" s="7"/>
      <c r="C987" s="7"/>
      <c r="D987" s="7"/>
      <c r="E987" s="7"/>
      <c r="F987" s="7"/>
    </row>
    <row r="988">
      <c r="A988" s="7"/>
      <c r="B988" s="7"/>
      <c r="C988" s="7"/>
      <c r="D988" s="7"/>
      <c r="E988" s="7"/>
      <c r="F988" s="7"/>
    </row>
    <row r="989">
      <c r="A989" s="7"/>
      <c r="B989" s="7"/>
      <c r="C989" s="7"/>
      <c r="D989" s="7"/>
      <c r="E989" s="7"/>
      <c r="F989" s="7"/>
    </row>
    <row r="990">
      <c r="A990" s="7"/>
      <c r="B990" s="7"/>
      <c r="C990" s="7"/>
      <c r="D990" s="7"/>
      <c r="E990" s="7"/>
      <c r="F990" s="7"/>
    </row>
    <row r="991">
      <c r="A991" s="7"/>
      <c r="B991" s="7"/>
      <c r="C991" s="7"/>
      <c r="D991" s="7"/>
      <c r="E991" s="7"/>
      <c r="F991" s="7"/>
    </row>
    <row r="992">
      <c r="A992" s="7"/>
      <c r="B992" s="7"/>
      <c r="C992" s="7"/>
      <c r="D992" s="7"/>
      <c r="E992" s="7"/>
      <c r="F992" s="7"/>
    </row>
    <row r="993">
      <c r="A993" s="7"/>
      <c r="B993" s="7"/>
      <c r="C993" s="7"/>
      <c r="D993" s="7"/>
      <c r="E993" s="7"/>
      <c r="F993" s="7"/>
    </row>
    <row r="994">
      <c r="A994" s="7"/>
      <c r="B994" s="7"/>
      <c r="C994" s="7"/>
      <c r="D994" s="7"/>
      <c r="E994" s="7"/>
      <c r="F994" s="7"/>
    </row>
    <row r="995">
      <c r="A995" s="7"/>
      <c r="B995" s="7"/>
      <c r="C995" s="7"/>
      <c r="D995" s="7"/>
      <c r="E995" s="7"/>
      <c r="F995" s="7"/>
    </row>
    <row r="996">
      <c r="A996" s="7"/>
      <c r="B996" s="7"/>
      <c r="C996" s="7"/>
      <c r="D996" s="7"/>
      <c r="E996" s="7"/>
      <c r="F996" s="7"/>
    </row>
    <row r="997">
      <c r="A997" s="7"/>
      <c r="B997" s="7"/>
      <c r="C997" s="7"/>
      <c r="D997" s="7"/>
      <c r="E997" s="7"/>
      <c r="F997" s="7"/>
    </row>
    <row r="998">
      <c r="A998" s="7"/>
      <c r="B998" s="7"/>
      <c r="C998" s="7"/>
      <c r="D998" s="7"/>
      <c r="E998" s="7"/>
      <c r="F998" s="7"/>
    </row>
    <row r="999">
      <c r="A999" s="7"/>
      <c r="B999" s="7"/>
      <c r="C999" s="7"/>
      <c r="D999" s="7"/>
      <c r="E999" s="7"/>
      <c r="F999" s="7"/>
    </row>
    <row r="1000">
      <c r="A1000" s="7"/>
      <c r="B1000" s="7"/>
      <c r="C1000" s="7"/>
      <c r="D1000" s="7"/>
      <c r="E1000" s="7"/>
      <c r="F1000" s="7"/>
    </row>
    <row r="1001">
      <c r="A1001" s="7"/>
      <c r="B1001" s="7"/>
      <c r="C1001" s="7"/>
      <c r="D1001" s="7"/>
      <c r="E1001" s="7"/>
      <c r="F1001" s="7"/>
    </row>
    <row r="1002">
      <c r="A1002" s="7"/>
      <c r="B1002" s="7"/>
      <c r="C1002" s="7"/>
      <c r="D1002" s="7"/>
      <c r="E1002" s="7"/>
      <c r="F1002" s="7"/>
    </row>
    <row r="1003">
      <c r="A1003" s="7"/>
      <c r="B1003" s="7"/>
      <c r="C1003" s="7"/>
      <c r="D1003" s="7"/>
      <c r="E1003" s="7"/>
      <c r="F1003" s="7"/>
    </row>
    <row r="1004">
      <c r="A1004" s="7"/>
      <c r="B1004" s="7"/>
      <c r="C1004" s="7"/>
      <c r="D1004" s="7"/>
      <c r="E1004" s="7"/>
      <c r="F1004" s="7"/>
    </row>
    <row r="1005">
      <c r="A1005" s="7"/>
      <c r="B1005" s="7"/>
      <c r="C1005" s="7"/>
      <c r="D1005" s="7"/>
      <c r="E1005" s="7"/>
      <c r="F1005" s="7"/>
    </row>
    <row r="1006">
      <c r="A1006" s="7"/>
      <c r="B1006" s="7"/>
      <c r="C1006" s="7"/>
      <c r="D1006" s="7"/>
      <c r="E1006" s="7"/>
      <c r="F1006" s="7"/>
    </row>
    <row r="1007">
      <c r="A1007" s="7"/>
      <c r="B1007" s="7"/>
      <c r="C1007" s="7"/>
      <c r="D1007" s="7"/>
      <c r="E1007" s="7"/>
      <c r="F1007" s="7"/>
    </row>
    <row r="1008">
      <c r="A1008" s="7"/>
      <c r="B1008" s="7"/>
      <c r="C1008" s="7"/>
      <c r="D1008" s="7"/>
      <c r="E1008" s="7"/>
      <c r="F1008" s="7"/>
    </row>
    <row r="1009">
      <c r="A1009" s="7"/>
      <c r="B1009" s="7"/>
      <c r="C1009" s="7"/>
      <c r="D1009" s="7"/>
      <c r="E1009" s="7"/>
      <c r="F1009" s="7"/>
    </row>
    <row r="1010">
      <c r="A1010" s="7"/>
      <c r="B1010" s="7"/>
      <c r="C1010" s="7"/>
      <c r="D1010" s="7"/>
      <c r="E1010" s="7"/>
      <c r="F1010" s="7"/>
    </row>
    <row r="1011">
      <c r="A1011" s="7"/>
      <c r="B1011" s="7"/>
      <c r="C1011" s="7"/>
      <c r="D1011" s="7"/>
      <c r="E1011" s="7"/>
      <c r="F1011" s="7"/>
    </row>
    <row r="1012">
      <c r="A1012" s="7"/>
      <c r="B1012" s="7"/>
      <c r="C1012" s="7"/>
      <c r="D1012" s="7"/>
      <c r="E1012" s="7"/>
      <c r="F1012" s="7"/>
    </row>
    <row r="1013">
      <c r="A1013" s="7"/>
      <c r="B1013" s="7"/>
      <c r="C1013" s="7"/>
      <c r="D1013" s="7"/>
      <c r="E1013" s="7"/>
      <c r="F1013" s="7"/>
    </row>
    <row r="1014">
      <c r="A1014" s="7"/>
      <c r="B1014" s="7"/>
      <c r="C1014" s="7"/>
      <c r="D1014" s="7"/>
      <c r="E1014" s="7"/>
      <c r="F1014" s="7"/>
    </row>
    <row r="1015">
      <c r="A1015" s="7"/>
      <c r="B1015" s="7"/>
      <c r="C1015" s="7"/>
      <c r="D1015" s="7"/>
      <c r="E1015" s="7"/>
      <c r="F1015" s="7"/>
    </row>
    <row r="1016">
      <c r="A1016" s="7"/>
      <c r="B1016" s="7"/>
      <c r="C1016" s="7"/>
      <c r="D1016" s="7"/>
      <c r="E1016" s="7"/>
      <c r="F1016" s="7"/>
    </row>
    <row r="1017">
      <c r="A1017" s="7"/>
      <c r="B1017" s="7"/>
      <c r="C1017" s="7"/>
      <c r="D1017" s="7"/>
      <c r="E1017" s="7"/>
      <c r="F1017" s="7"/>
    </row>
    <row r="1018">
      <c r="A1018" s="7"/>
      <c r="B1018" s="7"/>
      <c r="C1018" s="7"/>
      <c r="D1018" s="7"/>
      <c r="E1018" s="7"/>
      <c r="F1018" s="7"/>
    </row>
    <row r="1019">
      <c r="A1019" s="7"/>
      <c r="B1019" s="7"/>
      <c r="C1019" s="7"/>
      <c r="D1019" s="7"/>
      <c r="E1019" s="7"/>
      <c r="F1019" s="7"/>
    </row>
    <row r="1020">
      <c r="A1020" s="7"/>
      <c r="B1020" s="7"/>
      <c r="C1020" s="7"/>
      <c r="D1020" s="7"/>
      <c r="E1020" s="7"/>
      <c r="F1020" s="7"/>
    </row>
    <row r="1021">
      <c r="A1021" s="7"/>
      <c r="B1021" s="7"/>
      <c r="C1021" s="7"/>
      <c r="D1021" s="7"/>
      <c r="E1021" s="7"/>
      <c r="F1021" s="7"/>
    </row>
    <row r="1022">
      <c r="A1022" s="7"/>
      <c r="B1022" s="7"/>
      <c r="C1022" s="7"/>
      <c r="D1022" s="7"/>
      <c r="E1022" s="7"/>
      <c r="F1022" s="7"/>
    </row>
    <row r="1023">
      <c r="A1023" s="7"/>
      <c r="B1023" s="7"/>
      <c r="C1023" s="7"/>
      <c r="D1023" s="7"/>
      <c r="E1023" s="7"/>
      <c r="F1023" s="7"/>
    </row>
    <row r="1024">
      <c r="A1024" s="7"/>
      <c r="B1024" s="7"/>
      <c r="C1024" s="7"/>
      <c r="D1024" s="7"/>
      <c r="E1024" s="7"/>
      <c r="F1024" s="7"/>
    </row>
    <row r="1025">
      <c r="A1025" s="7"/>
      <c r="B1025" s="7"/>
      <c r="C1025" s="7"/>
      <c r="D1025" s="7"/>
      <c r="E1025" s="7"/>
      <c r="F1025" s="7"/>
    </row>
    <row r="1026">
      <c r="A1026" s="7"/>
      <c r="B1026" s="7"/>
      <c r="C1026" s="7"/>
      <c r="D1026" s="7"/>
      <c r="E1026" s="7"/>
      <c r="F1026" s="7"/>
    </row>
    <row r="1027">
      <c r="A1027" s="7"/>
      <c r="B1027" s="7"/>
      <c r="C1027" s="7"/>
      <c r="D1027" s="7"/>
      <c r="E1027" s="7"/>
      <c r="F1027" s="7"/>
    </row>
    <row r="1028">
      <c r="A1028" s="7"/>
      <c r="B1028" s="7"/>
      <c r="C1028" s="7"/>
      <c r="D1028" s="7"/>
      <c r="E1028" s="7"/>
      <c r="F1028" s="7"/>
    </row>
    <row r="1029">
      <c r="A1029" s="7"/>
      <c r="B1029" s="7"/>
      <c r="C1029" s="7"/>
      <c r="D1029" s="7"/>
      <c r="E1029" s="7"/>
      <c r="F1029" s="7"/>
    </row>
    <row r="1030">
      <c r="A1030" s="7"/>
      <c r="B1030" s="7"/>
      <c r="C1030" s="7"/>
      <c r="D1030" s="7"/>
      <c r="E1030" s="7"/>
      <c r="F1030" s="7"/>
    </row>
    <row r="1031">
      <c r="A1031" s="7"/>
      <c r="B1031" s="7"/>
      <c r="C1031" s="7"/>
      <c r="D1031" s="7"/>
      <c r="E1031" s="7"/>
      <c r="F1031" s="7"/>
    </row>
    <row r="1032">
      <c r="A1032" s="7"/>
      <c r="B1032" s="7"/>
      <c r="C1032" s="7"/>
      <c r="D1032" s="7"/>
      <c r="E1032" s="7"/>
      <c r="F1032" s="7"/>
    </row>
    <row r="1033">
      <c r="A1033" s="7"/>
      <c r="B1033" s="7"/>
      <c r="C1033" s="7"/>
      <c r="D1033" s="7"/>
      <c r="E1033" s="7"/>
      <c r="F1033" s="7"/>
    </row>
    <row r="1034">
      <c r="A1034" s="7"/>
      <c r="B1034" s="7"/>
      <c r="C1034" s="7"/>
      <c r="D1034" s="7"/>
      <c r="E1034" s="7"/>
      <c r="F1034" s="7"/>
    </row>
    <row r="1035">
      <c r="A1035" s="7"/>
      <c r="B1035" s="7"/>
      <c r="C1035" s="7"/>
      <c r="D1035" s="7"/>
      <c r="E1035" s="7"/>
      <c r="F1035" s="7"/>
    </row>
    <row r="1036">
      <c r="A1036" s="7"/>
      <c r="B1036" s="7"/>
      <c r="C1036" s="7"/>
      <c r="D1036" s="7"/>
      <c r="E1036" s="7"/>
      <c r="F1036" s="7"/>
    </row>
    <row r="1037">
      <c r="A1037" s="7"/>
      <c r="B1037" s="7"/>
      <c r="C1037" s="7"/>
      <c r="D1037" s="7"/>
      <c r="E1037" s="7"/>
      <c r="F1037" s="7"/>
    </row>
    <row r="1038">
      <c r="A1038" s="7"/>
      <c r="B1038" s="7"/>
      <c r="C1038" s="7"/>
      <c r="D1038" s="7"/>
      <c r="E1038" s="7"/>
      <c r="F1038" s="7"/>
    </row>
    <row r="1039">
      <c r="A1039" s="7"/>
      <c r="B1039" s="7"/>
      <c r="C1039" s="7"/>
      <c r="D1039" s="7"/>
      <c r="E1039" s="7"/>
      <c r="F1039" s="7"/>
    </row>
    <row r="1040">
      <c r="A1040" s="7"/>
      <c r="B1040" s="7"/>
      <c r="C1040" s="7"/>
      <c r="D1040" s="7"/>
      <c r="E1040" s="7"/>
      <c r="F1040" s="7"/>
    </row>
    <row r="1041">
      <c r="A1041" s="7"/>
      <c r="B1041" s="7"/>
      <c r="C1041" s="7"/>
      <c r="D1041" s="7"/>
      <c r="E1041" s="7"/>
      <c r="F1041" s="7"/>
    </row>
    <row r="1042">
      <c r="A1042" s="7"/>
      <c r="B1042" s="7"/>
      <c r="C1042" s="7"/>
      <c r="D1042" s="7"/>
      <c r="E1042" s="7"/>
      <c r="F1042" s="7"/>
    </row>
    <row r="1043">
      <c r="A1043" s="7"/>
      <c r="B1043" s="7"/>
      <c r="C1043" s="7"/>
      <c r="D1043" s="7"/>
      <c r="E1043" s="7"/>
      <c r="F1043" s="7"/>
    </row>
    <row r="1044">
      <c r="A1044" s="7"/>
      <c r="B1044" s="7"/>
      <c r="C1044" s="7"/>
      <c r="D1044" s="7"/>
      <c r="E1044" s="7"/>
      <c r="F1044" s="7"/>
    </row>
    <row r="1045">
      <c r="A1045" s="7"/>
      <c r="B1045" s="7"/>
      <c r="C1045" s="7"/>
      <c r="D1045" s="7"/>
      <c r="E1045" s="7"/>
      <c r="F1045" s="7"/>
    </row>
    <row r="1046">
      <c r="A1046" s="7"/>
      <c r="B1046" s="7"/>
      <c r="C1046" s="7"/>
      <c r="D1046" s="7"/>
      <c r="E1046" s="7"/>
      <c r="F1046" s="7"/>
    </row>
    <row r="1047">
      <c r="A1047" s="7"/>
      <c r="B1047" s="7"/>
      <c r="C1047" s="7"/>
      <c r="D1047" s="7"/>
      <c r="E1047" s="7"/>
      <c r="F1047" s="7"/>
    </row>
    <row r="1048">
      <c r="A1048" s="7"/>
      <c r="B1048" s="7"/>
      <c r="C1048" s="7"/>
      <c r="D1048" s="7"/>
      <c r="E1048" s="7"/>
      <c r="F1048" s="7"/>
    </row>
    <row r="1049">
      <c r="A1049" s="7"/>
      <c r="B1049" s="7"/>
      <c r="C1049" s="7"/>
      <c r="D1049" s="7"/>
      <c r="E1049" s="7"/>
      <c r="F1049" s="7"/>
    </row>
    <row r="1050">
      <c r="A1050" s="7"/>
      <c r="B1050" s="7"/>
      <c r="C1050" s="7"/>
      <c r="D1050" s="7"/>
      <c r="E1050" s="7"/>
      <c r="F1050" s="7"/>
    </row>
    <row r="1051">
      <c r="A1051" s="7"/>
      <c r="B1051" s="7"/>
      <c r="C1051" s="7"/>
      <c r="D1051" s="7"/>
      <c r="E1051" s="7"/>
      <c r="F1051" s="7"/>
    </row>
    <row r="1052">
      <c r="A1052" s="7"/>
      <c r="B1052" s="7"/>
      <c r="C1052" s="7"/>
      <c r="D1052" s="7"/>
      <c r="E1052" s="7"/>
      <c r="F1052" s="7"/>
    </row>
    <row r="1053">
      <c r="A1053" s="7"/>
      <c r="B1053" s="7"/>
      <c r="C1053" s="7"/>
      <c r="D1053" s="7"/>
      <c r="E1053" s="7"/>
      <c r="F1053" s="7"/>
    </row>
    <row r="1054">
      <c r="A1054" s="7"/>
      <c r="B1054" s="7"/>
      <c r="C1054" s="7"/>
      <c r="D1054" s="7"/>
      <c r="E1054" s="7"/>
      <c r="F1054" s="7"/>
    </row>
    <row r="1055">
      <c r="A1055" s="7"/>
      <c r="B1055" s="7"/>
      <c r="C1055" s="7"/>
      <c r="D1055" s="7"/>
      <c r="E1055" s="7"/>
      <c r="F1055" s="7"/>
    </row>
    <row r="1056">
      <c r="A1056" s="7"/>
      <c r="B1056" s="7"/>
      <c r="C1056" s="7"/>
      <c r="D1056" s="7"/>
      <c r="E1056" s="7"/>
      <c r="F1056" s="7"/>
    </row>
    <row r="1057">
      <c r="A1057" s="7"/>
      <c r="B1057" s="7"/>
      <c r="C1057" s="7"/>
      <c r="D1057" s="7"/>
      <c r="E1057" s="7"/>
      <c r="F1057" s="7"/>
    </row>
    <row r="1058">
      <c r="A1058" s="7"/>
      <c r="B1058" s="7"/>
      <c r="C1058" s="7"/>
      <c r="D1058" s="7"/>
      <c r="E1058" s="7"/>
      <c r="F1058" s="7"/>
    </row>
    <row r="1059">
      <c r="A1059" s="7"/>
      <c r="B1059" s="7"/>
      <c r="C1059" s="7"/>
      <c r="D1059" s="7"/>
      <c r="E1059" s="7"/>
      <c r="F1059" s="7"/>
    </row>
    <row r="1060">
      <c r="A1060" s="7"/>
      <c r="B1060" s="7"/>
      <c r="C1060" s="7"/>
      <c r="D1060" s="7"/>
      <c r="E1060" s="7"/>
      <c r="F1060" s="7"/>
    </row>
    <row r="1061">
      <c r="A1061" s="7"/>
      <c r="B1061" s="7"/>
      <c r="C1061" s="7"/>
      <c r="D1061" s="7"/>
      <c r="E1061" s="7"/>
      <c r="F1061" s="7"/>
    </row>
    <row r="1062">
      <c r="A1062" s="7"/>
      <c r="B1062" s="7"/>
      <c r="C1062" s="7"/>
      <c r="D1062" s="7"/>
      <c r="E1062" s="7"/>
      <c r="F1062" s="7"/>
    </row>
    <row r="1063">
      <c r="A1063" s="7"/>
      <c r="B1063" s="7"/>
      <c r="C1063" s="7"/>
      <c r="D1063" s="7"/>
      <c r="E1063" s="7"/>
      <c r="F1063" s="7"/>
    </row>
    <row r="1064">
      <c r="A1064" s="7"/>
      <c r="B1064" s="7"/>
      <c r="C1064" s="7"/>
      <c r="D1064" s="7"/>
      <c r="E1064" s="7"/>
      <c r="F1064" s="7"/>
    </row>
    <row r="1065">
      <c r="A1065" s="7"/>
      <c r="B1065" s="7"/>
      <c r="C1065" s="7"/>
      <c r="D1065" s="7"/>
      <c r="E1065" s="7"/>
      <c r="F1065" s="7"/>
    </row>
    <row r="1066">
      <c r="A1066" s="7"/>
      <c r="B1066" s="7"/>
      <c r="C1066" s="7"/>
      <c r="D1066" s="7"/>
      <c r="E1066" s="7"/>
      <c r="F1066" s="7"/>
    </row>
    <row r="1067">
      <c r="A1067" s="7"/>
      <c r="B1067" s="7"/>
      <c r="C1067" s="7"/>
      <c r="D1067" s="7"/>
      <c r="E1067" s="7"/>
      <c r="F1067" s="7"/>
    </row>
    <row r="1068">
      <c r="A1068" s="7"/>
      <c r="B1068" s="7"/>
      <c r="C1068" s="7"/>
      <c r="D1068" s="7"/>
      <c r="E1068" s="7"/>
      <c r="F1068" s="7"/>
    </row>
    <row r="1069">
      <c r="A1069" s="7"/>
      <c r="B1069" s="7"/>
      <c r="C1069" s="7"/>
      <c r="D1069" s="7"/>
      <c r="E1069" s="7"/>
      <c r="F1069" s="7"/>
    </row>
    <row r="1070">
      <c r="A1070" s="7"/>
      <c r="B1070" s="7"/>
      <c r="C1070" s="7"/>
      <c r="D1070" s="7"/>
      <c r="E1070" s="7"/>
      <c r="F1070" s="7"/>
    </row>
    <row r="1071">
      <c r="A1071" s="7"/>
      <c r="B1071" s="7"/>
      <c r="C1071" s="7"/>
      <c r="D1071" s="7"/>
      <c r="E1071" s="7"/>
      <c r="F1071" s="7"/>
    </row>
    <row r="1072">
      <c r="A1072" s="7"/>
      <c r="B1072" s="7"/>
      <c r="C1072" s="7"/>
      <c r="D1072" s="7"/>
      <c r="E1072" s="7"/>
      <c r="F1072" s="7"/>
    </row>
    <row r="1073">
      <c r="A1073" s="7"/>
      <c r="B1073" s="7"/>
      <c r="C1073" s="7"/>
      <c r="D1073" s="7"/>
      <c r="E1073" s="7"/>
      <c r="F1073" s="7"/>
    </row>
    <row r="1074">
      <c r="A1074" s="7"/>
      <c r="B1074" s="7"/>
      <c r="C1074" s="7"/>
      <c r="D1074" s="7"/>
      <c r="E1074" s="7"/>
      <c r="F1074" s="7"/>
    </row>
    <row r="1075">
      <c r="A1075" s="7"/>
      <c r="B1075" s="7"/>
      <c r="C1075" s="7"/>
      <c r="D1075" s="7"/>
      <c r="E1075" s="7"/>
      <c r="F1075" s="7"/>
    </row>
    <row r="1076">
      <c r="A1076" s="7"/>
      <c r="B1076" s="7"/>
      <c r="C1076" s="7"/>
      <c r="D1076" s="7"/>
      <c r="E1076" s="7"/>
      <c r="F1076" s="7"/>
    </row>
    <row r="1077">
      <c r="A1077" s="7"/>
      <c r="B1077" s="7"/>
      <c r="C1077" s="7"/>
      <c r="D1077" s="7"/>
      <c r="E1077" s="7"/>
      <c r="F1077" s="7"/>
    </row>
    <row r="1078">
      <c r="A1078" s="7"/>
      <c r="B1078" s="7"/>
      <c r="C1078" s="7"/>
      <c r="D1078" s="7"/>
      <c r="E1078" s="7"/>
      <c r="F1078" s="7"/>
    </row>
    <row r="1079">
      <c r="A1079" s="7"/>
      <c r="B1079" s="7"/>
      <c r="C1079" s="7"/>
      <c r="D1079" s="7"/>
      <c r="E1079" s="7"/>
      <c r="F1079" s="7"/>
    </row>
    <row r="1080">
      <c r="A1080" s="7"/>
      <c r="B1080" s="7"/>
      <c r="C1080" s="7"/>
      <c r="D1080" s="7"/>
      <c r="E1080" s="7"/>
      <c r="F1080" s="7"/>
    </row>
    <row r="1081">
      <c r="A1081" s="7"/>
      <c r="B1081" s="7"/>
      <c r="C1081" s="7"/>
      <c r="D1081" s="7"/>
      <c r="E1081" s="7"/>
      <c r="F1081" s="7"/>
    </row>
    <row r="1082">
      <c r="A1082" s="7"/>
      <c r="B1082" s="7"/>
      <c r="C1082" s="7"/>
      <c r="D1082" s="7"/>
      <c r="E1082" s="7"/>
      <c r="F1082" s="7"/>
    </row>
    <row r="1083">
      <c r="A1083" s="7"/>
      <c r="B1083" s="7"/>
      <c r="C1083" s="7"/>
      <c r="D1083" s="7"/>
      <c r="E1083" s="7"/>
      <c r="F1083" s="7"/>
    </row>
    <row r="1084">
      <c r="A1084" s="7"/>
      <c r="B1084" s="7"/>
      <c r="C1084" s="7"/>
      <c r="D1084" s="7"/>
      <c r="E1084" s="7"/>
      <c r="F1084" s="7"/>
    </row>
    <row r="1085">
      <c r="A1085" s="7"/>
      <c r="B1085" s="7"/>
      <c r="C1085" s="7"/>
      <c r="D1085" s="7"/>
      <c r="E1085" s="7"/>
      <c r="F1085" s="7"/>
    </row>
    <row r="1086">
      <c r="A1086" s="7"/>
      <c r="B1086" s="7"/>
      <c r="C1086" s="7"/>
      <c r="D1086" s="7"/>
      <c r="E1086" s="7"/>
      <c r="F1086" s="7"/>
    </row>
    <row r="1087">
      <c r="A1087" s="7"/>
      <c r="B1087" s="7"/>
      <c r="C1087" s="7"/>
      <c r="D1087" s="7"/>
      <c r="E1087" s="7"/>
      <c r="F1087" s="7"/>
    </row>
    <row r="1088">
      <c r="A1088" s="7"/>
      <c r="B1088" s="7"/>
      <c r="C1088" s="7"/>
      <c r="D1088" s="7"/>
      <c r="E1088" s="7"/>
      <c r="F1088" s="7"/>
    </row>
    <row r="1089">
      <c r="A1089" s="7"/>
      <c r="B1089" s="7"/>
      <c r="C1089" s="7"/>
      <c r="D1089" s="7"/>
      <c r="E1089" s="7"/>
      <c r="F1089" s="7"/>
    </row>
    <row r="1090">
      <c r="A1090" s="7"/>
      <c r="B1090" s="7"/>
      <c r="C1090" s="7"/>
      <c r="D1090" s="7"/>
      <c r="E1090" s="7"/>
      <c r="F1090" s="7"/>
    </row>
    <row r="1091">
      <c r="A1091" s="7"/>
      <c r="B1091" s="7"/>
      <c r="C1091" s="7"/>
      <c r="D1091" s="7"/>
      <c r="E1091" s="7"/>
      <c r="F1091" s="7"/>
    </row>
    <row r="1092">
      <c r="A1092" s="7"/>
      <c r="B1092" s="7"/>
      <c r="C1092" s="7"/>
      <c r="D1092" s="7"/>
      <c r="E1092" s="7"/>
      <c r="F1092" s="7"/>
    </row>
    <row r="1093">
      <c r="A1093" s="7"/>
      <c r="B1093" s="7"/>
      <c r="C1093" s="7"/>
      <c r="D1093" s="7"/>
      <c r="E1093" s="7"/>
      <c r="F1093" s="7"/>
    </row>
    <row r="1094">
      <c r="A1094" s="7"/>
      <c r="B1094" s="7"/>
      <c r="C1094" s="7"/>
      <c r="D1094" s="7"/>
      <c r="E1094" s="7"/>
      <c r="F1094" s="7"/>
    </row>
    <row r="1095">
      <c r="A1095" s="7"/>
      <c r="B1095" s="7"/>
      <c r="C1095" s="7"/>
      <c r="D1095" s="7"/>
      <c r="E1095" s="7"/>
      <c r="F1095" s="7"/>
    </row>
    <row r="1096">
      <c r="A1096" s="7"/>
      <c r="B1096" s="7"/>
      <c r="C1096" s="7"/>
      <c r="D1096" s="7"/>
      <c r="E1096" s="7"/>
      <c r="F1096" s="7"/>
    </row>
    <row r="1097">
      <c r="A1097" s="7"/>
      <c r="B1097" s="7"/>
      <c r="C1097" s="7"/>
      <c r="D1097" s="7"/>
      <c r="E1097" s="7"/>
      <c r="F1097" s="7"/>
    </row>
    <row r="1098">
      <c r="A1098" s="7"/>
      <c r="B1098" s="7"/>
      <c r="C1098" s="7"/>
      <c r="D1098" s="7"/>
      <c r="E1098" s="7"/>
      <c r="F1098" s="7"/>
    </row>
    <row r="1099">
      <c r="A1099" s="7"/>
      <c r="B1099" s="7"/>
      <c r="C1099" s="7"/>
      <c r="D1099" s="7"/>
      <c r="E1099" s="7"/>
      <c r="F1099" s="7"/>
    </row>
    <row r="1100">
      <c r="A1100" s="7"/>
      <c r="B1100" s="7"/>
      <c r="C1100" s="7"/>
      <c r="D1100" s="7"/>
      <c r="E1100" s="7"/>
      <c r="F1100" s="7"/>
    </row>
    <row r="1101">
      <c r="A1101" s="7"/>
      <c r="B1101" s="7"/>
      <c r="C1101" s="7"/>
      <c r="D1101" s="7"/>
      <c r="E1101" s="7"/>
      <c r="F1101" s="7"/>
    </row>
    <row r="1102">
      <c r="A1102" s="7"/>
      <c r="B1102" s="7"/>
      <c r="C1102" s="7"/>
      <c r="D1102" s="7"/>
      <c r="E1102" s="7"/>
      <c r="F1102" s="7"/>
    </row>
    <row r="1103">
      <c r="A1103" s="7"/>
      <c r="B1103" s="7"/>
      <c r="C1103" s="7"/>
      <c r="D1103" s="7"/>
      <c r="E1103" s="7"/>
      <c r="F1103" s="7"/>
    </row>
    <row r="1104">
      <c r="A1104" s="7"/>
      <c r="B1104" s="7"/>
      <c r="C1104" s="7"/>
      <c r="D1104" s="7"/>
      <c r="E1104" s="7"/>
      <c r="F1104" s="7"/>
    </row>
    <row r="1105">
      <c r="A1105" s="7"/>
      <c r="B1105" s="7"/>
      <c r="C1105" s="7"/>
      <c r="D1105" s="7"/>
      <c r="E1105" s="7"/>
      <c r="F1105" s="7"/>
    </row>
    <row r="1106">
      <c r="A1106" s="7"/>
      <c r="B1106" s="7"/>
      <c r="C1106" s="7"/>
      <c r="D1106" s="7"/>
      <c r="E1106" s="7"/>
      <c r="F1106" s="7"/>
    </row>
    <row r="1107">
      <c r="A1107" s="7"/>
      <c r="B1107" s="7"/>
      <c r="C1107" s="7"/>
      <c r="D1107" s="7"/>
      <c r="E1107" s="7"/>
      <c r="F1107" s="7"/>
    </row>
    <row r="1108">
      <c r="A1108" s="7"/>
      <c r="B1108" s="7"/>
      <c r="C1108" s="7"/>
      <c r="D1108" s="7"/>
      <c r="E1108" s="7"/>
      <c r="F1108" s="7"/>
    </row>
    <row r="1109">
      <c r="A1109" s="7"/>
      <c r="B1109" s="7"/>
      <c r="C1109" s="7"/>
      <c r="D1109" s="7"/>
      <c r="E1109" s="7"/>
      <c r="F1109" s="7"/>
    </row>
    <row r="1110">
      <c r="A1110" s="7"/>
      <c r="B1110" s="7"/>
      <c r="C1110" s="7"/>
      <c r="D1110" s="7"/>
      <c r="E1110" s="7"/>
      <c r="F1110" s="7"/>
    </row>
    <row r="1111">
      <c r="A1111" s="7"/>
      <c r="B1111" s="7"/>
      <c r="C1111" s="7"/>
      <c r="D1111" s="7"/>
      <c r="E1111" s="7"/>
      <c r="F1111" s="7"/>
    </row>
    <row r="1112">
      <c r="A1112" s="7"/>
      <c r="B1112" s="7"/>
      <c r="C1112" s="7"/>
      <c r="D1112" s="7"/>
      <c r="E1112" s="7"/>
      <c r="F1112" s="7"/>
    </row>
    <row r="1113">
      <c r="A1113" s="7"/>
      <c r="B1113" s="7"/>
      <c r="C1113" s="7"/>
      <c r="D1113" s="7"/>
      <c r="E1113" s="7"/>
      <c r="F1113" s="7"/>
    </row>
    <row r="1114">
      <c r="A1114" s="7"/>
      <c r="B1114" s="7"/>
      <c r="C1114" s="7"/>
      <c r="D1114" s="7"/>
      <c r="E1114" s="7"/>
      <c r="F1114" s="7"/>
    </row>
    <row r="1115">
      <c r="A1115" s="7"/>
      <c r="B1115" s="7"/>
      <c r="C1115" s="7"/>
      <c r="D1115" s="7"/>
      <c r="E1115" s="7"/>
      <c r="F1115" s="7"/>
    </row>
    <row r="1116">
      <c r="A1116" s="7"/>
      <c r="B1116" s="7"/>
      <c r="C1116" s="7"/>
      <c r="D1116" s="7"/>
      <c r="E1116" s="7"/>
      <c r="F1116" s="7"/>
    </row>
    <row r="1117">
      <c r="A1117" s="7"/>
      <c r="B1117" s="7"/>
      <c r="C1117" s="7"/>
      <c r="D1117" s="7"/>
      <c r="E1117" s="7"/>
      <c r="F1117" s="7"/>
    </row>
    <row r="1118">
      <c r="A1118" s="7"/>
      <c r="B1118" s="7"/>
      <c r="C1118" s="7"/>
      <c r="D1118" s="7"/>
      <c r="E1118" s="7"/>
      <c r="F1118" s="7"/>
    </row>
    <row r="1119">
      <c r="A1119" s="7"/>
      <c r="B1119" s="7"/>
      <c r="C1119" s="7"/>
      <c r="D1119" s="7"/>
      <c r="E1119" s="7"/>
      <c r="F1119" s="7"/>
    </row>
    <row r="1120">
      <c r="A1120" s="7"/>
      <c r="B1120" s="7"/>
      <c r="C1120" s="7"/>
      <c r="D1120" s="7"/>
      <c r="E1120" s="7"/>
      <c r="F1120" s="7"/>
    </row>
    <row r="1121">
      <c r="A1121" s="7"/>
      <c r="B1121" s="7"/>
      <c r="C1121" s="7"/>
      <c r="D1121" s="7"/>
      <c r="E1121" s="7"/>
      <c r="F1121" s="7"/>
    </row>
    <row r="1122">
      <c r="A1122" s="7"/>
      <c r="B1122" s="7"/>
      <c r="C1122" s="7"/>
      <c r="D1122" s="7"/>
      <c r="E1122" s="7"/>
      <c r="F1122" s="7"/>
    </row>
    <row r="1123">
      <c r="A1123" s="7"/>
      <c r="B1123" s="7"/>
      <c r="C1123" s="7"/>
      <c r="D1123" s="7"/>
      <c r="E1123" s="7"/>
      <c r="F1123" s="7"/>
    </row>
    <row r="1124">
      <c r="A1124" s="7"/>
      <c r="B1124" s="7"/>
      <c r="C1124" s="7"/>
      <c r="D1124" s="7"/>
      <c r="E1124" s="7"/>
      <c r="F1124" s="7"/>
    </row>
    <row r="1125">
      <c r="A1125" s="7"/>
      <c r="B1125" s="7"/>
      <c r="C1125" s="7"/>
      <c r="D1125" s="7"/>
      <c r="E1125" s="7"/>
      <c r="F1125" s="7"/>
    </row>
    <row r="1126">
      <c r="A1126" s="7"/>
      <c r="B1126" s="7"/>
      <c r="C1126" s="7"/>
      <c r="D1126" s="7"/>
      <c r="E1126" s="7"/>
      <c r="F1126" s="7"/>
    </row>
    <row r="1127">
      <c r="A1127" s="7"/>
      <c r="B1127" s="7"/>
      <c r="C1127" s="7"/>
      <c r="D1127" s="7"/>
      <c r="E1127" s="7"/>
      <c r="F1127" s="7"/>
    </row>
    <row r="1128">
      <c r="A1128" s="7"/>
      <c r="B1128" s="7"/>
      <c r="C1128" s="7"/>
      <c r="D1128" s="7"/>
      <c r="E1128" s="7"/>
      <c r="F1128" s="7"/>
    </row>
    <row r="1129">
      <c r="A1129" s="7"/>
      <c r="B1129" s="7"/>
      <c r="C1129" s="7"/>
      <c r="D1129" s="7"/>
      <c r="E1129" s="7"/>
      <c r="F1129" s="7"/>
    </row>
    <row r="1130">
      <c r="A1130" s="7"/>
      <c r="B1130" s="7"/>
      <c r="C1130" s="7"/>
      <c r="D1130" s="7"/>
      <c r="E1130" s="7"/>
      <c r="F1130" s="7"/>
    </row>
    <row r="1131">
      <c r="A1131" s="7"/>
      <c r="B1131" s="7"/>
      <c r="C1131" s="7"/>
      <c r="D1131" s="7"/>
      <c r="E1131" s="7"/>
      <c r="F1131" s="7"/>
    </row>
    <row r="1132">
      <c r="A1132" s="7"/>
      <c r="B1132" s="7"/>
      <c r="C1132" s="7"/>
      <c r="D1132" s="7"/>
      <c r="E1132" s="7"/>
      <c r="F1132" s="7"/>
    </row>
    <row r="1133">
      <c r="A1133" s="7"/>
      <c r="B1133" s="7"/>
      <c r="C1133" s="7"/>
      <c r="D1133" s="7"/>
      <c r="E1133" s="7"/>
      <c r="F1133" s="7"/>
    </row>
    <row r="1134">
      <c r="A1134" s="7"/>
      <c r="B1134" s="7"/>
      <c r="C1134" s="7"/>
      <c r="D1134" s="7"/>
      <c r="E1134" s="7"/>
      <c r="F1134" s="7"/>
    </row>
    <row r="1135">
      <c r="A1135" s="7"/>
      <c r="B1135" s="7"/>
      <c r="C1135" s="7"/>
      <c r="D1135" s="7"/>
      <c r="E1135" s="7"/>
      <c r="F1135" s="7"/>
    </row>
    <row r="1136">
      <c r="A1136" s="7"/>
      <c r="B1136" s="7"/>
      <c r="C1136" s="7"/>
      <c r="D1136" s="7"/>
      <c r="E1136" s="7"/>
      <c r="F1136" s="7"/>
    </row>
    <row r="1137">
      <c r="A1137" s="7"/>
      <c r="B1137" s="7"/>
      <c r="C1137" s="7"/>
      <c r="D1137" s="7"/>
      <c r="E1137" s="7"/>
      <c r="F1137" s="7"/>
    </row>
    <row r="1138">
      <c r="A1138" s="7"/>
      <c r="B1138" s="7"/>
      <c r="C1138" s="7"/>
      <c r="D1138" s="7"/>
      <c r="E1138" s="7"/>
      <c r="F1138" s="7"/>
    </row>
    <row r="1139">
      <c r="A1139" s="7"/>
      <c r="B1139" s="7"/>
      <c r="C1139" s="7"/>
      <c r="D1139" s="7"/>
      <c r="E1139" s="7"/>
      <c r="F1139" s="7"/>
    </row>
    <row r="1140">
      <c r="A1140" s="7"/>
      <c r="B1140" s="7"/>
      <c r="C1140" s="7"/>
      <c r="D1140" s="7"/>
      <c r="E1140" s="7"/>
      <c r="F1140" s="7"/>
    </row>
    <row r="1141">
      <c r="A1141" s="7"/>
      <c r="B1141" s="7"/>
      <c r="C1141" s="7"/>
      <c r="D1141" s="7"/>
      <c r="E1141" s="7"/>
      <c r="F1141" s="7"/>
    </row>
    <row r="1142">
      <c r="A1142" s="7"/>
      <c r="B1142" s="7"/>
      <c r="C1142" s="7"/>
      <c r="D1142" s="7"/>
      <c r="E1142" s="7"/>
      <c r="F1142" s="7"/>
    </row>
    <row r="1143">
      <c r="A1143" s="7"/>
      <c r="B1143" s="7"/>
      <c r="C1143" s="7"/>
      <c r="D1143" s="7"/>
      <c r="E1143" s="7"/>
      <c r="F1143" s="7"/>
    </row>
    <row r="1144">
      <c r="A1144" s="7"/>
      <c r="B1144" s="7"/>
      <c r="C1144" s="7"/>
      <c r="D1144" s="7"/>
      <c r="E1144" s="7"/>
      <c r="F1144" s="7"/>
    </row>
    <row r="1145">
      <c r="A1145" s="7"/>
      <c r="B1145" s="7"/>
      <c r="C1145" s="7"/>
      <c r="D1145" s="7"/>
      <c r="E1145" s="7"/>
      <c r="F1145" s="7"/>
    </row>
    <row r="1146">
      <c r="A1146" s="7"/>
      <c r="B1146" s="7"/>
      <c r="C1146" s="7"/>
      <c r="D1146" s="7"/>
      <c r="E1146" s="7"/>
      <c r="F1146" s="7"/>
    </row>
    <row r="1147">
      <c r="A1147" s="7"/>
      <c r="B1147" s="7"/>
      <c r="C1147" s="7"/>
      <c r="D1147" s="7"/>
      <c r="E1147" s="7"/>
      <c r="F1147" s="7"/>
    </row>
    <row r="1148">
      <c r="A1148" s="7"/>
      <c r="B1148" s="7"/>
      <c r="C1148" s="7"/>
      <c r="D1148" s="7"/>
      <c r="E1148" s="7"/>
      <c r="F1148" s="7"/>
    </row>
    <row r="1149">
      <c r="A1149" s="7"/>
      <c r="B1149" s="7"/>
      <c r="C1149" s="7"/>
      <c r="D1149" s="7"/>
      <c r="E1149" s="7"/>
      <c r="F1149" s="7"/>
    </row>
    <row r="1150">
      <c r="A1150" s="7"/>
      <c r="B1150" s="7"/>
      <c r="C1150" s="7"/>
      <c r="D1150" s="7"/>
      <c r="E1150" s="7"/>
      <c r="F1150" s="7"/>
    </row>
    <row r="1151">
      <c r="A1151" s="7"/>
      <c r="B1151" s="7"/>
      <c r="C1151" s="7"/>
      <c r="D1151" s="7"/>
      <c r="E1151" s="7"/>
      <c r="F1151" s="7"/>
    </row>
    <row r="1152">
      <c r="A1152" s="7"/>
      <c r="B1152" s="7"/>
      <c r="C1152" s="7"/>
      <c r="D1152" s="7"/>
      <c r="E1152" s="7"/>
      <c r="F1152" s="7"/>
    </row>
    <row r="1153">
      <c r="A1153" s="7"/>
      <c r="B1153" s="7"/>
      <c r="C1153" s="7"/>
      <c r="D1153" s="7"/>
      <c r="E1153" s="7"/>
      <c r="F1153" s="7"/>
    </row>
    <row r="1154">
      <c r="A1154" s="7"/>
      <c r="B1154" s="7"/>
      <c r="C1154" s="7"/>
      <c r="D1154" s="7"/>
      <c r="E1154" s="7"/>
      <c r="F1154" s="7"/>
    </row>
    <row r="1155">
      <c r="A1155" s="7"/>
      <c r="B1155" s="7"/>
      <c r="C1155" s="7"/>
      <c r="D1155" s="7"/>
      <c r="E1155" s="7"/>
      <c r="F1155" s="7"/>
    </row>
    <row r="1156">
      <c r="A1156" s="7"/>
      <c r="B1156" s="7"/>
      <c r="C1156" s="7"/>
      <c r="D1156" s="7"/>
      <c r="E1156" s="7"/>
      <c r="F1156" s="7"/>
    </row>
    <row r="1157">
      <c r="A1157" s="7"/>
      <c r="B1157" s="7"/>
      <c r="C1157" s="7"/>
      <c r="D1157" s="7"/>
      <c r="E1157" s="7"/>
      <c r="F1157" s="7"/>
    </row>
    <row r="1158">
      <c r="A1158" s="7"/>
      <c r="B1158" s="7"/>
      <c r="C1158" s="7"/>
      <c r="D1158" s="7"/>
      <c r="E1158" s="7"/>
      <c r="F1158" s="7"/>
    </row>
    <row r="1159">
      <c r="A1159" s="7"/>
      <c r="B1159" s="7"/>
      <c r="C1159" s="7"/>
      <c r="D1159" s="7"/>
      <c r="E1159" s="7"/>
      <c r="F1159" s="7"/>
    </row>
    <row r="1160">
      <c r="A1160" s="7"/>
      <c r="B1160" s="7"/>
      <c r="C1160" s="7"/>
      <c r="D1160" s="7"/>
      <c r="E1160" s="7"/>
      <c r="F1160" s="7"/>
    </row>
    <row r="1161">
      <c r="A1161" s="7"/>
      <c r="B1161" s="7"/>
      <c r="C1161" s="7"/>
      <c r="D1161" s="7"/>
      <c r="E1161" s="7"/>
      <c r="F1161" s="7"/>
    </row>
    <row r="1162">
      <c r="A1162" s="7"/>
      <c r="B1162" s="7"/>
      <c r="C1162" s="7"/>
      <c r="D1162" s="7"/>
      <c r="E1162" s="7"/>
      <c r="F1162" s="7"/>
    </row>
    <row r="1163">
      <c r="A1163" s="7"/>
      <c r="B1163" s="7"/>
      <c r="C1163" s="7"/>
      <c r="D1163" s="7"/>
      <c r="E1163" s="7"/>
      <c r="F1163" s="7"/>
    </row>
    <row r="1164">
      <c r="A1164" s="7"/>
      <c r="B1164" s="7"/>
      <c r="C1164" s="7"/>
      <c r="D1164" s="7"/>
      <c r="E1164" s="7"/>
      <c r="F1164" s="7"/>
    </row>
    <row r="1165">
      <c r="A1165" s="7"/>
      <c r="B1165" s="7"/>
      <c r="C1165" s="7"/>
      <c r="D1165" s="7"/>
      <c r="E1165" s="7"/>
      <c r="F1165" s="7"/>
    </row>
    <row r="1166">
      <c r="A1166" s="7"/>
      <c r="B1166" s="7"/>
      <c r="C1166" s="7"/>
      <c r="D1166" s="7"/>
      <c r="E1166" s="7"/>
      <c r="F1166" s="7"/>
    </row>
    <row r="1167">
      <c r="A1167" s="7"/>
      <c r="B1167" s="7"/>
      <c r="C1167" s="7"/>
      <c r="D1167" s="7"/>
      <c r="E1167" s="7"/>
      <c r="F1167" s="7"/>
    </row>
    <row r="1168">
      <c r="A1168" s="7"/>
      <c r="B1168" s="7"/>
      <c r="C1168" s="7"/>
      <c r="D1168" s="7"/>
      <c r="E1168" s="7"/>
      <c r="F1168" s="7"/>
    </row>
    <row r="1169">
      <c r="A1169" s="7"/>
      <c r="B1169" s="7"/>
      <c r="C1169" s="7"/>
      <c r="D1169" s="7"/>
      <c r="E1169" s="7"/>
      <c r="F1169" s="7"/>
    </row>
    <row r="1170">
      <c r="A1170" s="7"/>
      <c r="B1170" s="7"/>
      <c r="C1170" s="7"/>
      <c r="D1170" s="7"/>
      <c r="E1170" s="7"/>
      <c r="F1170" s="7"/>
    </row>
    <row r="1171">
      <c r="A1171" s="7"/>
      <c r="B1171" s="7"/>
      <c r="C1171" s="7"/>
      <c r="D1171" s="7"/>
      <c r="E1171" s="7"/>
      <c r="F1171" s="7"/>
    </row>
    <row r="1172">
      <c r="A1172" s="7"/>
      <c r="B1172" s="7"/>
      <c r="C1172" s="7"/>
      <c r="D1172" s="7"/>
      <c r="E1172" s="7"/>
      <c r="F1172" s="7"/>
    </row>
  </sheetData>
  <mergeCells count="214">
    <mergeCell ref="C309:C310"/>
    <mergeCell ref="C311:C317"/>
    <mergeCell ref="D311:D317"/>
    <mergeCell ref="C319:C320"/>
    <mergeCell ref="D319:D320"/>
    <mergeCell ref="C324:C328"/>
    <mergeCell ref="D324:D328"/>
    <mergeCell ref="C329:C335"/>
    <mergeCell ref="D329:D335"/>
    <mergeCell ref="C337:C341"/>
    <mergeCell ref="D337:D341"/>
    <mergeCell ref="C342:C345"/>
    <mergeCell ref="D342:D345"/>
    <mergeCell ref="D346:D349"/>
    <mergeCell ref="C501:C502"/>
    <mergeCell ref="C503:C505"/>
    <mergeCell ref="D503:D505"/>
    <mergeCell ref="C489:C490"/>
    <mergeCell ref="C491:C492"/>
    <mergeCell ref="C493:C497"/>
    <mergeCell ref="D493:D497"/>
    <mergeCell ref="C499:C500"/>
    <mergeCell ref="D499:D500"/>
    <mergeCell ref="D501:D502"/>
    <mergeCell ref="C481:C485"/>
    <mergeCell ref="C476:C477"/>
    <mergeCell ref="A454:A472"/>
    <mergeCell ref="A476:A477"/>
    <mergeCell ref="C449:C453"/>
    <mergeCell ref="D449:D453"/>
    <mergeCell ref="C454:C472"/>
    <mergeCell ref="D454:D472"/>
    <mergeCell ref="D481:D485"/>
    <mergeCell ref="D489:D490"/>
    <mergeCell ref="D491:D492"/>
    <mergeCell ref="D476:D477"/>
    <mergeCell ref="C138:C140"/>
    <mergeCell ref="D138:D140"/>
    <mergeCell ref="C141:C143"/>
    <mergeCell ref="D141:D143"/>
    <mergeCell ref="C145:C146"/>
    <mergeCell ref="D145:D146"/>
    <mergeCell ref="D147:D150"/>
    <mergeCell ref="C147:C150"/>
    <mergeCell ref="C151:C152"/>
    <mergeCell ref="C155:C156"/>
    <mergeCell ref="C157:C159"/>
    <mergeCell ref="C162:C164"/>
    <mergeCell ref="C167:C169"/>
    <mergeCell ref="C171:C172"/>
    <mergeCell ref="A30:A48"/>
    <mergeCell ref="D151:D152"/>
    <mergeCell ref="D155:D156"/>
    <mergeCell ref="D157:D159"/>
    <mergeCell ref="D162:D164"/>
    <mergeCell ref="D167:D169"/>
    <mergeCell ref="D171:D172"/>
    <mergeCell ref="D175:D178"/>
    <mergeCell ref="C175:C178"/>
    <mergeCell ref="C179:C180"/>
    <mergeCell ref="C181:C187"/>
    <mergeCell ref="C189:C190"/>
    <mergeCell ref="C194:C198"/>
    <mergeCell ref="C199:C205"/>
    <mergeCell ref="C207:C211"/>
    <mergeCell ref="C212:C215"/>
    <mergeCell ref="C216:C219"/>
    <mergeCell ref="C220:C221"/>
    <mergeCell ref="C224:C225"/>
    <mergeCell ref="C226:C227"/>
    <mergeCell ref="C233:C235"/>
    <mergeCell ref="C237:C241"/>
    <mergeCell ref="C246:C248"/>
    <mergeCell ref="C250:C252"/>
    <mergeCell ref="C255:C256"/>
    <mergeCell ref="C261:C265"/>
    <mergeCell ref="C266:C267"/>
    <mergeCell ref="C268:C269"/>
    <mergeCell ref="C272:C273"/>
    <mergeCell ref="C423:C424"/>
    <mergeCell ref="C436:C437"/>
    <mergeCell ref="D436:D437"/>
    <mergeCell ref="C441:C445"/>
    <mergeCell ref="D441:D445"/>
    <mergeCell ref="C447:C448"/>
    <mergeCell ref="D447:D448"/>
    <mergeCell ref="C3:C4"/>
    <mergeCell ref="D3:D4"/>
    <mergeCell ref="C5:C6"/>
    <mergeCell ref="C7:C12"/>
    <mergeCell ref="D7:D10"/>
    <mergeCell ref="C13:C20"/>
    <mergeCell ref="D13:D20"/>
    <mergeCell ref="C21:C23"/>
    <mergeCell ref="D21:D23"/>
    <mergeCell ref="C24:C29"/>
    <mergeCell ref="D24:D29"/>
    <mergeCell ref="C30:C41"/>
    <mergeCell ref="D30:D41"/>
    <mergeCell ref="D42:D44"/>
    <mergeCell ref="C42:C44"/>
    <mergeCell ref="C45:C48"/>
    <mergeCell ref="D45:D48"/>
    <mergeCell ref="C49:C51"/>
    <mergeCell ref="D49:D51"/>
    <mergeCell ref="D53:D59"/>
    <mergeCell ref="C54:C59"/>
    <mergeCell ref="C60:C61"/>
    <mergeCell ref="D60:D61"/>
    <mergeCell ref="C62:C66"/>
    <mergeCell ref="D62:D66"/>
    <mergeCell ref="C67:C68"/>
    <mergeCell ref="D67:D68"/>
    <mergeCell ref="D69:D72"/>
    <mergeCell ref="C69:C72"/>
    <mergeCell ref="C77:C81"/>
    <mergeCell ref="D77:D81"/>
    <mergeCell ref="C86:C88"/>
    <mergeCell ref="D86:D88"/>
    <mergeCell ref="C90:C92"/>
    <mergeCell ref="D90:D92"/>
    <mergeCell ref="C95:C96"/>
    <mergeCell ref="D95:D96"/>
    <mergeCell ref="C103:C113"/>
    <mergeCell ref="D103:D113"/>
    <mergeCell ref="C115:C116"/>
    <mergeCell ref="D115:D116"/>
    <mergeCell ref="D118:D119"/>
    <mergeCell ref="C118:C119"/>
    <mergeCell ref="C124:C126"/>
    <mergeCell ref="D124:D126"/>
    <mergeCell ref="C127:C128"/>
    <mergeCell ref="D127:D128"/>
    <mergeCell ref="C130:C132"/>
    <mergeCell ref="D130:D132"/>
    <mergeCell ref="D179:D180"/>
    <mergeCell ref="D181:D187"/>
    <mergeCell ref="D189:D190"/>
    <mergeCell ref="D194:D198"/>
    <mergeCell ref="D199:D205"/>
    <mergeCell ref="D207:D211"/>
    <mergeCell ref="D212:D215"/>
    <mergeCell ref="D216:D219"/>
    <mergeCell ref="D220:D221"/>
    <mergeCell ref="D224:D225"/>
    <mergeCell ref="D227:D228"/>
    <mergeCell ref="D233:D235"/>
    <mergeCell ref="D237:D241"/>
    <mergeCell ref="D246:D248"/>
    <mergeCell ref="D280:D287"/>
    <mergeCell ref="D288:D290"/>
    <mergeCell ref="D250:D252"/>
    <mergeCell ref="D255:D256"/>
    <mergeCell ref="D261:D265"/>
    <mergeCell ref="D266:D267"/>
    <mergeCell ref="D268:D269"/>
    <mergeCell ref="D272:D273"/>
    <mergeCell ref="D274:D275"/>
    <mergeCell ref="C274:C275"/>
    <mergeCell ref="C280:C287"/>
    <mergeCell ref="C288:C290"/>
    <mergeCell ref="C291:C292"/>
    <mergeCell ref="D291:D292"/>
    <mergeCell ref="C293:C294"/>
    <mergeCell ref="D293:D294"/>
    <mergeCell ref="C295:C299"/>
    <mergeCell ref="D295:D299"/>
    <mergeCell ref="C302:C304"/>
    <mergeCell ref="D302:D304"/>
    <mergeCell ref="C305:C308"/>
    <mergeCell ref="D305:D308"/>
    <mergeCell ref="D309:D310"/>
    <mergeCell ref="C346:C349"/>
    <mergeCell ref="C351:C355"/>
    <mergeCell ref="D351:D355"/>
    <mergeCell ref="C358:C359"/>
    <mergeCell ref="D358:D359"/>
    <mergeCell ref="C360:C361"/>
    <mergeCell ref="D360:D361"/>
    <mergeCell ref="C362:C363"/>
    <mergeCell ref="D362:D363"/>
    <mergeCell ref="C364:C365"/>
    <mergeCell ref="D364:D365"/>
    <mergeCell ref="C366:C367"/>
    <mergeCell ref="D366:D367"/>
    <mergeCell ref="D368:D369"/>
    <mergeCell ref="C368:C369"/>
    <mergeCell ref="C371:C372"/>
    <mergeCell ref="D371:D372"/>
    <mergeCell ref="C373:C374"/>
    <mergeCell ref="D373:D374"/>
    <mergeCell ref="C376:C381"/>
    <mergeCell ref="D376:D381"/>
    <mergeCell ref="C382:C383"/>
    <mergeCell ref="D382:D383"/>
    <mergeCell ref="C386:C388"/>
    <mergeCell ref="D386:D388"/>
    <mergeCell ref="C389:C390"/>
    <mergeCell ref="D389:D390"/>
    <mergeCell ref="D393:D394"/>
    <mergeCell ref="C393:C394"/>
    <mergeCell ref="C395:C398"/>
    <mergeCell ref="D395:D398"/>
    <mergeCell ref="C405:C407"/>
    <mergeCell ref="D405:D407"/>
    <mergeCell ref="C410:C411"/>
    <mergeCell ref="D410:D411"/>
    <mergeCell ref="C414:C416"/>
    <mergeCell ref="D414:D416"/>
    <mergeCell ref="C417:C419"/>
    <mergeCell ref="D417:D419"/>
    <mergeCell ref="C420:C421"/>
    <mergeCell ref="D420:D421"/>
    <mergeCell ref="D423:D424"/>
  </mergeCells>
  <hyperlinks>
    <hyperlink r:id="rId2" ref="D3"/>
    <hyperlink r:id="rId3" ref="D5"/>
    <hyperlink r:id="rId4" ref="D6"/>
    <hyperlink r:id="rId5" ref="D7"/>
    <hyperlink r:id="rId6" ref="D11"/>
    <hyperlink r:id="rId7" ref="D12"/>
    <hyperlink r:id="rId8" ref="D13"/>
    <hyperlink r:id="rId9" ref="D21"/>
    <hyperlink r:id="rId10" ref="D24"/>
    <hyperlink r:id="rId11" ref="D30"/>
    <hyperlink r:id="rId12" ref="D42"/>
    <hyperlink r:id="rId13" ref="D45"/>
    <hyperlink r:id="rId14" ref="D49"/>
    <hyperlink r:id="rId15" ref="D52"/>
    <hyperlink r:id="rId16" ref="D53"/>
    <hyperlink r:id="rId17" ref="D60"/>
    <hyperlink r:id="rId18" ref="D62"/>
    <hyperlink r:id="rId19" ref="D67"/>
    <hyperlink r:id="rId20" ref="D69"/>
    <hyperlink r:id="rId21" ref="D73"/>
    <hyperlink r:id="rId22" ref="D74"/>
    <hyperlink r:id="rId23" ref="D75"/>
    <hyperlink r:id="rId24" ref="D76"/>
    <hyperlink r:id="rId25" ref="D77"/>
    <hyperlink r:id="rId26" ref="D82"/>
    <hyperlink r:id="rId27" ref="D83"/>
    <hyperlink r:id="rId28" ref="D84"/>
    <hyperlink r:id="rId29" ref="D85"/>
    <hyperlink r:id="rId30" ref="D86"/>
    <hyperlink r:id="rId31" ref="D89"/>
    <hyperlink r:id="rId32" ref="D90"/>
    <hyperlink r:id="rId33" ref="D93"/>
    <hyperlink r:id="rId34" ref="D94"/>
    <hyperlink r:id="rId35" ref="D95"/>
    <hyperlink r:id="rId36" ref="D97"/>
    <hyperlink r:id="rId37" ref="D98"/>
    <hyperlink r:id="rId38" ref="D99"/>
    <hyperlink r:id="rId39" ref="D100"/>
    <hyperlink r:id="rId40" ref="D101"/>
    <hyperlink r:id="rId41" ref="D102"/>
    <hyperlink r:id="rId42" ref="D103"/>
    <hyperlink r:id="rId43" ref="D114"/>
    <hyperlink r:id="rId44" ref="D115"/>
    <hyperlink r:id="rId45" ref="D117"/>
    <hyperlink r:id="rId46" ref="D118"/>
    <hyperlink r:id="rId47" ref="D120"/>
    <hyperlink r:id="rId48" ref="D121"/>
    <hyperlink r:id="rId49" ref="D122"/>
    <hyperlink r:id="rId50" ref="D123"/>
    <hyperlink r:id="rId51" ref="D124"/>
    <hyperlink r:id="rId52" ref="D127"/>
    <hyperlink r:id="rId53" ref="D129"/>
    <hyperlink r:id="rId54" ref="D130"/>
    <hyperlink r:id="rId55" ref="D133"/>
    <hyperlink r:id="rId56" ref="D134"/>
    <hyperlink r:id="rId57" ref="D135"/>
    <hyperlink r:id="rId58" ref="D136"/>
    <hyperlink r:id="rId59" ref="D137"/>
    <hyperlink r:id="rId60" ref="D138"/>
    <hyperlink r:id="rId61" ref="D141"/>
    <hyperlink r:id="rId62" ref="D144"/>
    <hyperlink r:id="rId63" ref="D145"/>
    <hyperlink r:id="rId64" ref="D147"/>
    <hyperlink r:id="rId65" ref="D151"/>
    <hyperlink r:id="rId66" ref="D153"/>
    <hyperlink r:id="rId67" ref="D154"/>
    <hyperlink r:id="rId68" ref="D155"/>
    <hyperlink r:id="rId69" ref="D157"/>
    <hyperlink r:id="rId70" ref="D160"/>
    <hyperlink r:id="rId71" ref="D161"/>
    <hyperlink r:id="rId72" ref="D162"/>
    <hyperlink r:id="rId73" ref="D165"/>
    <hyperlink r:id="rId74" ref="D166"/>
    <hyperlink r:id="rId75" ref="D167"/>
    <hyperlink r:id="rId76" ref="D170"/>
    <hyperlink r:id="rId77" ref="D171"/>
    <hyperlink r:id="rId78" ref="D173"/>
    <hyperlink r:id="rId79" ref="D174"/>
    <hyperlink r:id="rId80" ref="D175"/>
    <hyperlink r:id="rId81" ref="D179"/>
    <hyperlink r:id="rId82" ref="D181"/>
    <hyperlink r:id="rId83" ref="D188"/>
    <hyperlink r:id="rId84" ref="D189"/>
    <hyperlink r:id="rId85" ref="D191"/>
    <hyperlink r:id="rId86" ref="D192"/>
    <hyperlink r:id="rId87" ref="D193"/>
    <hyperlink r:id="rId88" ref="D194"/>
    <hyperlink r:id="rId89" ref="D199"/>
    <hyperlink r:id="rId90" ref="D206"/>
    <hyperlink r:id="rId91" ref="D207"/>
    <hyperlink r:id="rId92" ref="D212"/>
    <hyperlink r:id="rId93" ref="D216"/>
    <hyperlink r:id="rId94" ref="D220"/>
    <hyperlink r:id="rId95" ref="D222"/>
    <hyperlink r:id="rId96" ref="D223"/>
    <hyperlink r:id="rId97" ref="D224"/>
    <hyperlink r:id="rId98" ref="D226"/>
    <hyperlink r:id="rId99" ref="D227"/>
    <hyperlink r:id="rId100" ref="D229"/>
    <hyperlink r:id="rId101" ref="D230"/>
    <hyperlink r:id="rId102" ref="D231"/>
    <hyperlink r:id="rId103" ref="D232"/>
    <hyperlink r:id="rId104" ref="D233"/>
    <hyperlink r:id="rId105" ref="D236"/>
    <hyperlink r:id="rId106" ref="D237"/>
    <hyperlink r:id="rId107" ref="D242"/>
    <hyperlink r:id="rId108" ref="D243"/>
    <hyperlink r:id="rId109" ref="D244"/>
    <hyperlink r:id="rId110" ref="D245"/>
    <hyperlink r:id="rId111" ref="D246"/>
    <hyperlink r:id="rId112" ref="D249"/>
    <hyperlink r:id="rId113" ref="D250"/>
    <hyperlink r:id="rId114" ref="D253"/>
    <hyperlink r:id="rId115" ref="D254"/>
    <hyperlink r:id="rId116" ref="D255"/>
    <hyperlink r:id="rId117" ref="D257"/>
    <hyperlink r:id="rId118" ref="D258"/>
    <hyperlink r:id="rId119" ref="D259"/>
    <hyperlink r:id="rId120" ref="D260"/>
    <hyperlink r:id="rId121" ref="D261"/>
    <hyperlink r:id="rId122" ref="D266"/>
    <hyperlink r:id="rId123" ref="D268"/>
    <hyperlink r:id="rId124" ref="D270"/>
    <hyperlink r:id="rId125" ref="D271"/>
    <hyperlink r:id="rId126" ref="D272"/>
    <hyperlink r:id="rId127" ref="D274"/>
    <hyperlink r:id="rId128" ref="D276"/>
    <hyperlink r:id="rId129" ref="D277"/>
    <hyperlink r:id="rId130" ref="D278"/>
    <hyperlink r:id="rId131" ref="D279"/>
    <hyperlink r:id="rId132" ref="D280"/>
    <hyperlink r:id="rId133" ref="D288"/>
    <hyperlink r:id="rId134" ref="D291"/>
    <hyperlink r:id="rId135" ref="D293"/>
    <hyperlink r:id="rId136" ref="D295"/>
    <hyperlink r:id="rId137" ref="D300"/>
    <hyperlink r:id="rId138" ref="D301"/>
    <hyperlink r:id="rId139" ref="D302"/>
    <hyperlink r:id="rId140" ref="D305"/>
    <hyperlink r:id="rId141" ref="D309"/>
    <hyperlink r:id="rId142" ref="D311"/>
    <hyperlink r:id="rId143" ref="D318"/>
    <hyperlink r:id="rId144" ref="D319"/>
    <hyperlink r:id="rId145" ref="D321"/>
    <hyperlink r:id="rId146" ref="D322"/>
    <hyperlink r:id="rId147" ref="D323"/>
    <hyperlink r:id="rId148" ref="D324"/>
    <hyperlink r:id="rId149" ref="D329"/>
    <hyperlink r:id="rId150" ref="D336"/>
    <hyperlink r:id="rId151" ref="D337"/>
    <hyperlink r:id="rId152" ref="D342"/>
    <hyperlink r:id="rId153" ref="D346"/>
    <hyperlink r:id="rId154" ref="D350"/>
    <hyperlink r:id="rId155" ref="D351"/>
    <hyperlink r:id="rId156" ref="D356"/>
    <hyperlink r:id="rId157" ref="D357"/>
    <hyperlink r:id="rId158" ref="D358"/>
    <hyperlink r:id="rId159" ref="D360"/>
    <hyperlink r:id="rId160" ref="D362"/>
    <hyperlink r:id="rId161" ref="D364"/>
    <hyperlink r:id="rId162" ref="D366"/>
    <hyperlink r:id="rId163" ref="D368"/>
    <hyperlink r:id="rId164" ref="D370"/>
    <hyperlink r:id="rId165" ref="D371"/>
    <hyperlink r:id="rId166" ref="D373"/>
    <hyperlink r:id="rId167" ref="D375"/>
    <hyperlink r:id="rId168" ref="D376"/>
    <hyperlink r:id="rId169" ref="D382"/>
    <hyperlink r:id="rId170" ref="D384"/>
    <hyperlink r:id="rId171" ref="D385"/>
    <hyperlink r:id="rId172" ref="D386"/>
    <hyperlink r:id="rId173" ref="D389"/>
    <hyperlink r:id="rId174" ref="D391"/>
    <hyperlink r:id="rId175" ref="D392"/>
    <hyperlink r:id="rId176" ref="D393"/>
    <hyperlink r:id="rId177" ref="D395"/>
    <hyperlink r:id="rId178" ref="D399"/>
    <hyperlink r:id="rId179" ref="D400"/>
    <hyperlink r:id="rId180" ref="D401"/>
    <hyperlink r:id="rId181" ref="D402"/>
    <hyperlink r:id="rId182" ref="D403"/>
    <hyperlink r:id="rId183" ref="D404"/>
    <hyperlink r:id="rId184" ref="D405"/>
    <hyperlink r:id="rId185" ref="D408"/>
    <hyperlink r:id="rId186" ref="D409"/>
    <hyperlink r:id="rId187" ref="D410"/>
    <hyperlink r:id="rId188" ref="D412"/>
    <hyperlink r:id="rId189" ref="D413"/>
    <hyperlink r:id="rId190" ref="D414"/>
    <hyperlink r:id="rId191" ref="D417"/>
    <hyperlink r:id="rId192" ref="D420"/>
    <hyperlink r:id="rId193" ref="D422"/>
    <hyperlink r:id="rId194" ref="D423"/>
    <hyperlink r:id="rId195" ref="D425"/>
    <hyperlink r:id="rId196" ref="D426"/>
    <hyperlink r:id="rId197" ref="D427"/>
    <hyperlink r:id="rId198" ref="D428"/>
    <hyperlink r:id="rId199" ref="D429"/>
    <hyperlink r:id="rId200" ref="D430"/>
    <hyperlink r:id="rId201" ref="D431"/>
    <hyperlink r:id="rId202" ref="D432"/>
    <hyperlink r:id="rId203" ref="D433"/>
    <hyperlink r:id="rId204" ref="D434"/>
    <hyperlink r:id="rId205" ref="D435"/>
    <hyperlink r:id="rId206" ref="D436"/>
    <hyperlink r:id="rId207" ref="D438"/>
    <hyperlink r:id="rId208" ref="D439"/>
    <hyperlink r:id="rId209" ref="D440"/>
    <hyperlink r:id="rId210" ref="D441"/>
    <hyperlink r:id="rId211" ref="D446"/>
    <hyperlink r:id="rId212" ref="D447"/>
    <hyperlink r:id="rId213" ref="D449"/>
    <hyperlink r:id="rId214" ref="D454"/>
    <hyperlink r:id="rId215" ref="D473"/>
    <hyperlink r:id="rId216" ref="D474"/>
    <hyperlink r:id="rId217" ref="D475"/>
    <hyperlink r:id="rId218" ref="D476"/>
    <hyperlink r:id="rId219" ref="D478"/>
    <hyperlink r:id="rId220" ref="D479"/>
    <hyperlink r:id="rId221" ref="D480"/>
    <hyperlink r:id="rId222" ref="D481"/>
    <hyperlink r:id="rId223" ref="D486"/>
    <hyperlink r:id="rId224" ref="D487"/>
    <hyperlink r:id="rId225" ref="D488"/>
    <hyperlink r:id="rId226" ref="D489"/>
    <hyperlink r:id="rId227" ref="D491"/>
    <hyperlink r:id="rId228" ref="D493"/>
    <hyperlink r:id="rId229" ref="D498"/>
    <hyperlink r:id="rId230" ref="D499"/>
    <hyperlink r:id="rId231" ref="D501"/>
    <hyperlink r:id="rId232" ref="D503"/>
  </hyperlinks>
  <drawing r:id="rId233"/>
  <legacyDrawing r:id="rId23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 customWidth="1" min="2" max="2" width="36.14"/>
    <col customWidth="1" min="3" max="3" width="29.86"/>
    <col customWidth="1" min="4" max="4" width="20.29"/>
  </cols>
  <sheetData>
    <row r="1">
      <c r="A1" s="51" t="s">
        <v>1208</v>
      </c>
      <c r="B1" s="5" t="s">
        <v>6</v>
      </c>
      <c r="C1" s="5" t="s">
        <v>7</v>
      </c>
      <c r="D1" s="5" t="s">
        <v>8</v>
      </c>
    </row>
    <row r="2">
      <c r="A2" s="52" t="str">
        <f>IFERROR(__xludf.DUMMYFUNCTION("JOIN(""-"",""app"",SPLIT(LOWER( C2),"" ""))"),"app-viewed-the-file")</f>
        <v>app-viewed-the-file</v>
      </c>
      <c r="C2" s="53" t="s">
        <v>1209</v>
      </c>
      <c r="D2" s="54" t="s">
        <v>1210</v>
      </c>
    </row>
    <row r="3">
      <c r="A3" s="52" t="str">
        <f>IFERROR(__xludf.DUMMYFUNCTION("JOIN(""-"",""app"",SPLIT(LOWER( C3),"" ""))"),"app-shared-a-file")</f>
        <v>app-shared-a-file</v>
      </c>
      <c r="C3" s="53" t="s">
        <v>1211</v>
      </c>
      <c r="D3" s="54" t="s">
        <v>1212</v>
      </c>
    </row>
    <row r="4">
      <c r="A4" s="52" t="str">
        <f>IFERROR(__xludf.DUMMYFUNCTION("JOIN(""-"",""app"",SPLIT(LOWER( C4),"" ""))"),"app-downloaded-shared-file")</f>
        <v>app-downloaded-shared-file</v>
      </c>
      <c r="C4" s="53" t="s">
        <v>1213</v>
      </c>
      <c r="D4" s="54" t="s">
        <v>1214</v>
      </c>
    </row>
    <row r="5">
      <c r="A5" s="52" t="str">
        <f>IFERROR(__xludf.DUMMYFUNCTION("JOIN(""-"",""app"",SPLIT(LOWER( C5),"" ""))"),"app-updated-the-file")</f>
        <v>app-updated-the-file</v>
      </c>
      <c r="C5" s="53" t="s">
        <v>1215</v>
      </c>
      <c r="D5" s="54" t="s">
        <v>1216</v>
      </c>
    </row>
    <row r="6">
      <c r="A6" s="52" t="str">
        <f>IFERROR(__xludf.DUMMYFUNCTION("JOIN(""-"",""app"",SPLIT(LOWER( C6),"" ""))"),"app-created-a-new-file")</f>
        <v>app-created-a-new-file</v>
      </c>
      <c r="C6" s="53" t="s">
        <v>1217</v>
      </c>
      <c r="D6" s="54" t="s">
        <v>1218</v>
      </c>
    </row>
    <row r="7">
      <c r="A7" s="52" t="str">
        <f>IFERROR(__xludf.DUMMYFUNCTION("JOIN(""-"",""app"",SPLIT(LOWER( C7),"" ""))"),"app-created-a-folder")</f>
        <v>app-created-a-folder</v>
      </c>
      <c r="C7" s="53" t="s">
        <v>1219</v>
      </c>
      <c r="D7" s="54" t="s">
        <v>1220</v>
      </c>
    </row>
    <row r="8">
      <c r="A8" s="52" t="str">
        <f>IFERROR(__xludf.DUMMYFUNCTION("JOIN(""-"",""app"",SPLIT(LOWER( C8),"" ""))"),"app-updated-the-folder")</f>
        <v>app-updated-the-folder</v>
      </c>
      <c r="C8" s="53" t="s">
        <v>1221</v>
      </c>
      <c r="D8" s="54" t="s">
        <v>1222</v>
      </c>
    </row>
    <row r="9">
      <c r="A9" s="52" t="str">
        <f>IFERROR(__xludf.DUMMYFUNCTION("JOIN(""-"",""app"",SPLIT(LOWER( C9),"" ""))"),"app-deleted-the-folder")</f>
        <v>app-deleted-the-folder</v>
      </c>
      <c r="C9" s="53" t="s">
        <v>1223</v>
      </c>
      <c r="D9" s="54" t="s">
        <v>1224</v>
      </c>
    </row>
    <row r="10">
      <c r="A10" s="52" t="str">
        <f>IFERROR(__xludf.DUMMYFUNCTION("JOIN(""-"",""app"",SPLIT(LOWER( C10),"" ""))"),"app-deleted-a-child-folder")</f>
        <v>app-deleted-a-child-folder</v>
      </c>
      <c r="C10" s="53" t="s">
        <v>1225</v>
      </c>
      <c r="D10" s="54" t="s">
        <v>1226</v>
      </c>
    </row>
    <row r="11">
      <c r="A11" s="52" t="str">
        <f>IFERROR(__xludf.DUMMYFUNCTION("JOIN(""-"",""app"",SPLIT(LOWER( C11),"" ""))"),"app-uploaded-files")</f>
        <v>app-uploaded-files</v>
      </c>
      <c r="C11" s="53" t="s">
        <v>1227</v>
      </c>
      <c r="D11" s="54" t="s">
        <v>1228</v>
      </c>
    </row>
    <row r="12">
      <c r="A12" s="52" t="str">
        <f>IFERROR(__xludf.DUMMYFUNCTION("JOIN(""-"",""app"",SPLIT(LOWER( C12),"" ""))"),"app-deleted-a-version")</f>
        <v>app-deleted-a-version</v>
      </c>
      <c r="C12" s="53" t="s">
        <v>1229</v>
      </c>
      <c r="D12" s="54" t="s">
        <v>1230</v>
      </c>
    </row>
    <row r="13">
      <c r="A13" s="52" t="str">
        <f>IFERROR(__xludf.DUMMYFUNCTION("JOIN(""-"",""app"",SPLIT(LOWER( C13),"" ""))"),"app-changed-the-default-version-to")</f>
        <v>app-changed-the-default-version-to</v>
      </c>
      <c r="C13" s="53" t="s">
        <v>1231</v>
      </c>
      <c r="D13" s="54" t="s">
        <v>1232</v>
      </c>
    </row>
    <row r="14">
      <c r="A14" s="52" t="str">
        <f>IFERROR(__xludf.DUMMYFUNCTION("JOIN(""-"",""app"",SPLIT(LOWER( C14),"" ""))"),"app-moved-the-folder-to")</f>
        <v>app-moved-the-folder-to</v>
      </c>
      <c r="C14" s="53" t="s">
        <v>1233</v>
      </c>
      <c r="D14" s="54" t="s">
        <v>1234</v>
      </c>
    </row>
    <row r="15">
      <c r="A15" s="52" t="str">
        <f>IFERROR(__xludf.DUMMYFUNCTION("JOIN(""-"",""app"",SPLIT(LOWER( C15),"" ""))"),"app-moved-a-folder-here")</f>
        <v>app-moved-a-folder-here</v>
      </c>
      <c r="C15" s="53" t="s">
        <v>1235</v>
      </c>
      <c r="D15" s="54" t="s">
        <v>1236</v>
      </c>
    </row>
    <row r="16">
      <c r="A16" s="52" t="str">
        <f>IFERROR(__xludf.DUMMYFUNCTION("JOIN(""-"",""app"",SPLIT(LOWER( C16),"" ""))"),"app-removed")</f>
        <v>app-removed</v>
      </c>
      <c r="C16" s="53" t="s">
        <v>1237</v>
      </c>
      <c r="D16" s="54" t="s">
        <v>1238</v>
      </c>
    </row>
    <row r="17">
      <c r="A17" s="52" t="str">
        <f>IFERROR(__xludf.DUMMYFUNCTION("JOIN(""-"",""app"",SPLIT(LOWER( C17),"" ""))"),"app-added")</f>
        <v>app-added</v>
      </c>
      <c r="C17" s="53" t="s">
        <v>1239</v>
      </c>
      <c r="D17" s="54" t="s">
        <v>1240</v>
      </c>
    </row>
    <row r="18">
      <c r="A18" s="52" t="str">
        <f>IFERROR(__xludf.DUMMYFUNCTION("JOIN(""-"",""app"",SPLIT(LOWER( C18),"" ""))"),"app-mark-as-active")</f>
        <v>app-mark-as-active</v>
      </c>
      <c r="C18" s="54" t="s">
        <v>1241</v>
      </c>
      <c r="D18" s="54" t="s">
        <v>1242</v>
      </c>
    </row>
    <row r="19">
      <c r="A19" s="52" t="str">
        <f>IFERROR(__xludf.DUMMYFUNCTION("JOIN(""-"",""app"",SPLIT(LOWER( C19),"" ""))"),"app-last-30-days")</f>
        <v>app-last-30-days</v>
      </c>
      <c r="C19" s="54" t="s">
        <v>1243</v>
      </c>
      <c r="D19" s="54" t="s">
        <v>1244</v>
      </c>
    </row>
    <row r="20">
      <c r="A20" s="55" t="str">
        <f>IFERROR(__xludf.DUMMYFUNCTION("JOIN(""-"",""app"",SPLIT(LOWER( C20),"" ""))"),"app-create-a-list-of-tasks-to-keep-track-of-changes-you-could-also-create-templates-for-later")</f>
        <v>app-create-a-list-of-tasks-to-keep-track-of-changes-you-could-also-create-templates-for-later</v>
      </c>
      <c r="C20" s="54" t="s">
        <v>1245</v>
      </c>
      <c r="D20" s="54" t="s">
        <v>704</v>
      </c>
    </row>
    <row r="21">
      <c r="C21" s="46"/>
      <c r="D21" s="46"/>
    </row>
    <row r="22">
      <c r="C22" s="46"/>
      <c r="D22" s="46"/>
    </row>
    <row r="23">
      <c r="C23" s="46"/>
      <c r="D23" s="46"/>
    </row>
    <row r="24">
      <c r="C24" s="46"/>
      <c r="D24" s="46"/>
    </row>
    <row r="25">
      <c r="C25" s="46"/>
      <c r="D25" s="46"/>
    </row>
    <row r="26">
      <c r="C26" s="46"/>
      <c r="D26" s="46"/>
    </row>
    <row r="27">
      <c r="C27" s="46"/>
      <c r="D27" s="46"/>
    </row>
    <row r="28">
      <c r="C28" s="46"/>
      <c r="D28" s="46"/>
    </row>
    <row r="29">
      <c r="C29" s="46"/>
      <c r="D29" s="46"/>
    </row>
    <row r="30">
      <c r="C30" s="46"/>
      <c r="D30" s="46"/>
    </row>
    <row r="31">
      <c r="C31" s="46"/>
      <c r="D31" s="46"/>
    </row>
    <row r="32">
      <c r="C32" s="46"/>
      <c r="D32" s="46"/>
    </row>
    <row r="33">
      <c r="C33" s="46"/>
      <c r="D33" s="46"/>
    </row>
    <row r="34">
      <c r="C34" s="46"/>
      <c r="D34" s="46"/>
    </row>
    <row r="35">
      <c r="C35" s="46"/>
      <c r="D35" s="46"/>
    </row>
    <row r="36">
      <c r="C36" s="46"/>
      <c r="D36" s="46"/>
    </row>
    <row r="37">
      <c r="C37" s="46"/>
      <c r="D37" s="46"/>
    </row>
    <row r="38">
      <c r="C38" s="46"/>
      <c r="D38" s="46"/>
    </row>
    <row r="39">
      <c r="C39" s="46"/>
      <c r="D39" s="46"/>
    </row>
    <row r="40">
      <c r="C40" s="46"/>
      <c r="D40" s="46"/>
    </row>
    <row r="41">
      <c r="C41" s="46"/>
      <c r="D41" s="46"/>
    </row>
    <row r="42">
      <c r="C42" s="46"/>
      <c r="D42" s="46"/>
    </row>
    <row r="43">
      <c r="C43" s="46"/>
      <c r="D43" s="46"/>
    </row>
    <row r="44">
      <c r="C44" s="46"/>
      <c r="D44" s="46"/>
    </row>
    <row r="45">
      <c r="C45" s="46"/>
      <c r="D45" s="46"/>
    </row>
    <row r="46">
      <c r="C46" s="46"/>
      <c r="D46" s="46"/>
    </row>
    <row r="47">
      <c r="C47" s="46"/>
      <c r="D47" s="46"/>
    </row>
    <row r="48">
      <c r="C48" s="46"/>
      <c r="D48" s="46"/>
    </row>
    <row r="49">
      <c r="C49" s="46"/>
      <c r="D49" s="46"/>
    </row>
    <row r="50">
      <c r="C50" s="46"/>
      <c r="D50" s="46"/>
    </row>
    <row r="51">
      <c r="C51" s="46"/>
      <c r="D51" s="46"/>
    </row>
    <row r="52">
      <c r="C52" s="46"/>
      <c r="D52" s="46"/>
    </row>
    <row r="53">
      <c r="C53" s="46"/>
      <c r="D53" s="46"/>
    </row>
    <row r="54">
      <c r="C54" s="46"/>
      <c r="D54" s="46"/>
    </row>
    <row r="55">
      <c r="C55" s="46"/>
      <c r="D55" s="46"/>
    </row>
    <row r="56">
      <c r="C56" s="46"/>
      <c r="D56" s="46"/>
    </row>
    <row r="57">
      <c r="C57" s="46"/>
      <c r="D57" s="46"/>
    </row>
    <row r="58">
      <c r="C58" s="46"/>
      <c r="D58" s="46"/>
    </row>
    <row r="59">
      <c r="C59" s="46"/>
      <c r="D59" s="46"/>
    </row>
    <row r="60">
      <c r="C60" s="46"/>
      <c r="D60" s="46"/>
    </row>
    <row r="61">
      <c r="C61" s="46"/>
      <c r="D61" s="46"/>
    </row>
    <row r="62">
      <c r="C62" s="46"/>
      <c r="D62" s="46"/>
    </row>
    <row r="63">
      <c r="C63" s="46"/>
      <c r="D63" s="46"/>
    </row>
    <row r="64">
      <c r="C64" s="46"/>
      <c r="D64" s="46"/>
    </row>
    <row r="65">
      <c r="C65" s="46"/>
      <c r="D65" s="46"/>
    </row>
    <row r="66">
      <c r="C66" s="46"/>
      <c r="D66" s="46"/>
    </row>
    <row r="67">
      <c r="C67" s="46"/>
      <c r="D67" s="46"/>
    </row>
    <row r="68">
      <c r="C68" s="46"/>
      <c r="D68" s="46"/>
    </row>
    <row r="69">
      <c r="C69" s="46"/>
      <c r="D69" s="46"/>
    </row>
    <row r="70">
      <c r="C70" s="46"/>
      <c r="D70" s="46"/>
    </row>
    <row r="71">
      <c r="C71" s="46"/>
      <c r="D71" s="46"/>
    </row>
    <row r="72">
      <c r="C72" s="46"/>
      <c r="D72" s="46"/>
    </row>
    <row r="73">
      <c r="C73" s="46"/>
      <c r="D73" s="46"/>
    </row>
    <row r="74">
      <c r="C74" s="46"/>
      <c r="D74" s="46"/>
    </row>
    <row r="75">
      <c r="C75" s="46"/>
      <c r="D75" s="46"/>
    </row>
    <row r="76">
      <c r="C76" s="46"/>
      <c r="D76" s="46"/>
    </row>
    <row r="77">
      <c r="C77" s="46"/>
      <c r="D77" s="46"/>
    </row>
    <row r="78">
      <c r="C78" s="46"/>
      <c r="D78" s="46"/>
    </row>
    <row r="79">
      <c r="C79" s="46"/>
      <c r="D79" s="46"/>
    </row>
    <row r="80">
      <c r="C80" s="46"/>
      <c r="D80" s="46"/>
    </row>
    <row r="81">
      <c r="C81" s="46"/>
      <c r="D81" s="46"/>
    </row>
    <row r="82">
      <c r="C82" s="46"/>
      <c r="D82" s="46"/>
    </row>
    <row r="83">
      <c r="C83" s="46"/>
      <c r="D83" s="46"/>
    </row>
    <row r="84">
      <c r="C84" s="46"/>
      <c r="D84" s="46"/>
    </row>
    <row r="85">
      <c r="C85" s="46"/>
      <c r="D85" s="46"/>
    </row>
    <row r="86">
      <c r="C86" s="46"/>
      <c r="D86" s="46"/>
    </row>
    <row r="87">
      <c r="C87" s="46"/>
      <c r="D87" s="46"/>
    </row>
    <row r="88">
      <c r="C88" s="46"/>
      <c r="D88" s="46"/>
    </row>
    <row r="89">
      <c r="C89" s="46"/>
      <c r="D89" s="46"/>
    </row>
    <row r="90">
      <c r="C90" s="46"/>
      <c r="D90" s="46"/>
    </row>
    <row r="91">
      <c r="C91" s="46"/>
      <c r="D91" s="46"/>
    </row>
    <row r="92">
      <c r="C92" s="46"/>
      <c r="D92" s="46"/>
    </row>
    <row r="93">
      <c r="C93" s="46"/>
      <c r="D93" s="46"/>
    </row>
    <row r="94">
      <c r="C94" s="46"/>
      <c r="D94" s="46"/>
    </row>
    <row r="95">
      <c r="C95" s="46"/>
      <c r="D95" s="46"/>
    </row>
    <row r="96">
      <c r="C96" s="46"/>
      <c r="D96" s="46"/>
    </row>
    <row r="97">
      <c r="C97" s="46"/>
      <c r="D97" s="46"/>
    </row>
    <row r="98">
      <c r="C98" s="46"/>
      <c r="D98" s="46"/>
    </row>
    <row r="99">
      <c r="C99" s="46"/>
      <c r="D99" s="46"/>
    </row>
    <row r="100">
      <c r="C100" s="46"/>
      <c r="D100" s="46"/>
    </row>
    <row r="101">
      <c r="C101" s="46"/>
      <c r="D101" s="46"/>
    </row>
    <row r="102">
      <c r="C102" s="46"/>
      <c r="D102" s="46"/>
    </row>
    <row r="103">
      <c r="C103" s="46"/>
      <c r="D103" s="46"/>
    </row>
    <row r="104">
      <c r="C104" s="46"/>
      <c r="D104" s="46"/>
    </row>
    <row r="105">
      <c r="C105" s="46"/>
      <c r="D105" s="46"/>
    </row>
    <row r="106">
      <c r="C106" s="46"/>
      <c r="D106" s="46"/>
    </row>
    <row r="107">
      <c r="C107" s="46"/>
      <c r="D107" s="46"/>
    </row>
    <row r="108">
      <c r="C108" s="46"/>
      <c r="D108" s="46"/>
    </row>
    <row r="109">
      <c r="C109" s="46"/>
      <c r="D109" s="46"/>
    </row>
    <row r="110">
      <c r="C110" s="46"/>
      <c r="D110" s="46"/>
    </row>
    <row r="111">
      <c r="C111" s="46"/>
      <c r="D111" s="46"/>
    </row>
    <row r="112">
      <c r="C112" s="46"/>
      <c r="D112" s="46"/>
    </row>
    <row r="113">
      <c r="C113" s="46"/>
      <c r="D113" s="46"/>
    </row>
    <row r="114">
      <c r="C114" s="46"/>
      <c r="D114" s="46"/>
    </row>
    <row r="115">
      <c r="C115" s="46"/>
      <c r="D115" s="46"/>
    </row>
    <row r="116">
      <c r="C116" s="46"/>
      <c r="D116" s="46"/>
    </row>
    <row r="117">
      <c r="C117" s="46"/>
      <c r="D117" s="46"/>
    </row>
    <row r="118">
      <c r="C118" s="46"/>
      <c r="D118" s="46"/>
    </row>
    <row r="119">
      <c r="C119" s="46"/>
      <c r="D119" s="46"/>
    </row>
    <row r="120">
      <c r="C120" s="46"/>
      <c r="D120" s="46"/>
    </row>
    <row r="121">
      <c r="C121" s="46"/>
      <c r="D121" s="46"/>
    </row>
    <row r="122">
      <c r="C122" s="46"/>
      <c r="D122" s="46"/>
    </row>
    <row r="123">
      <c r="C123" s="46"/>
      <c r="D123" s="46"/>
    </row>
    <row r="124">
      <c r="C124" s="46"/>
      <c r="D124" s="46"/>
    </row>
    <row r="125">
      <c r="C125" s="46"/>
      <c r="D125" s="46"/>
    </row>
    <row r="126">
      <c r="C126" s="46"/>
      <c r="D126" s="46"/>
    </row>
    <row r="127">
      <c r="C127" s="46"/>
      <c r="D127" s="46"/>
    </row>
    <row r="128">
      <c r="C128" s="46"/>
      <c r="D128" s="46"/>
    </row>
    <row r="129">
      <c r="C129" s="46"/>
      <c r="D129" s="46"/>
    </row>
    <row r="130">
      <c r="C130" s="46"/>
      <c r="D130" s="46"/>
    </row>
    <row r="131">
      <c r="C131" s="46"/>
      <c r="D131" s="46"/>
    </row>
    <row r="132">
      <c r="C132" s="46"/>
      <c r="D132" s="46"/>
    </row>
    <row r="133">
      <c r="C133" s="46"/>
      <c r="D133" s="46"/>
    </row>
    <row r="134">
      <c r="C134" s="46"/>
      <c r="D134" s="46"/>
    </row>
    <row r="135">
      <c r="C135" s="46"/>
      <c r="D135" s="46"/>
    </row>
    <row r="136">
      <c r="C136" s="46"/>
      <c r="D136" s="46"/>
    </row>
    <row r="137">
      <c r="C137" s="46"/>
      <c r="D137" s="46"/>
    </row>
    <row r="138">
      <c r="C138" s="46"/>
      <c r="D138" s="46"/>
    </row>
    <row r="139">
      <c r="C139" s="46"/>
      <c r="D139" s="46"/>
    </row>
    <row r="140">
      <c r="C140" s="46"/>
      <c r="D140" s="46"/>
    </row>
    <row r="141">
      <c r="C141" s="46"/>
      <c r="D141" s="46"/>
    </row>
    <row r="142">
      <c r="C142" s="46"/>
      <c r="D142" s="46"/>
    </row>
    <row r="143">
      <c r="C143" s="46"/>
      <c r="D143" s="46"/>
    </row>
    <row r="144">
      <c r="C144" s="46"/>
      <c r="D144" s="46"/>
    </row>
    <row r="145">
      <c r="C145" s="46"/>
      <c r="D145" s="46"/>
    </row>
    <row r="146">
      <c r="C146" s="46"/>
      <c r="D146" s="46"/>
    </row>
    <row r="147">
      <c r="C147" s="46"/>
      <c r="D147" s="46"/>
    </row>
    <row r="148">
      <c r="C148" s="46"/>
      <c r="D148" s="46"/>
    </row>
    <row r="149">
      <c r="C149" s="46"/>
      <c r="D149" s="46"/>
    </row>
    <row r="150">
      <c r="C150" s="46"/>
      <c r="D150" s="46"/>
    </row>
    <row r="151">
      <c r="C151" s="46"/>
      <c r="D151" s="46"/>
    </row>
    <row r="152">
      <c r="C152" s="46"/>
      <c r="D152" s="46"/>
    </row>
    <row r="153">
      <c r="C153" s="46"/>
      <c r="D153" s="46"/>
    </row>
    <row r="154">
      <c r="C154" s="46"/>
      <c r="D154" s="46"/>
    </row>
    <row r="155">
      <c r="C155" s="46"/>
      <c r="D155" s="46"/>
    </row>
    <row r="156">
      <c r="C156" s="46"/>
      <c r="D156" s="46"/>
    </row>
    <row r="157">
      <c r="C157" s="46"/>
      <c r="D157" s="46"/>
    </row>
    <row r="158">
      <c r="C158" s="46"/>
      <c r="D158" s="46"/>
    </row>
    <row r="159">
      <c r="C159" s="46"/>
      <c r="D159" s="46"/>
    </row>
    <row r="160">
      <c r="C160" s="46"/>
      <c r="D160" s="46"/>
    </row>
    <row r="161">
      <c r="C161" s="46"/>
      <c r="D161" s="46"/>
    </row>
    <row r="162">
      <c r="C162" s="46"/>
      <c r="D162" s="46"/>
    </row>
    <row r="163">
      <c r="C163" s="46"/>
      <c r="D163" s="46"/>
    </row>
    <row r="164">
      <c r="C164" s="46"/>
      <c r="D164" s="46"/>
    </row>
    <row r="165">
      <c r="C165" s="46"/>
      <c r="D165" s="46"/>
    </row>
    <row r="166">
      <c r="C166" s="46"/>
      <c r="D166" s="46"/>
    </row>
    <row r="167">
      <c r="C167" s="46"/>
      <c r="D167" s="46"/>
    </row>
    <row r="168">
      <c r="C168" s="46"/>
      <c r="D168" s="46"/>
    </row>
    <row r="169">
      <c r="C169" s="46"/>
      <c r="D169" s="46"/>
    </row>
    <row r="170">
      <c r="C170" s="46"/>
      <c r="D170" s="46"/>
    </row>
    <row r="171">
      <c r="C171" s="46"/>
      <c r="D171" s="46"/>
    </row>
    <row r="172">
      <c r="C172" s="46"/>
      <c r="D172" s="46"/>
    </row>
    <row r="173">
      <c r="C173" s="46"/>
      <c r="D173" s="46"/>
    </row>
    <row r="174">
      <c r="C174" s="46"/>
      <c r="D174" s="46"/>
    </row>
    <row r="175">
      <c r="C175" s="46"/>
      <c r="D175" s="46"/>
    </row>
    <row r="176">
      <c r="C176" s="46"/>
      <c r="D176" s="46"/>
    </row>
    <row r="177">
      <c r="C177" s="46"/>
      <c r="D177" s="46"/>
    </row>
    <row r="178">
      <c r="C178" s="46"/>
      <c r="D178" s="46"/>
    </row>
    <row r="179">
      <c r="C179" s="46"/>
      <c r="D179" s="46"/>
    </row>
    <row r="180">
      <c r="C180" s="46"/>
      <c r="D180" s="46"/>
    </row>
    <row r="181">
      <c r="C181" s="46"/>
      <c r="D181" s="46"/>
    </row>
    <row r="182">
      <c r="C182" s="46"/>
      <c r="D182" s="46"/>
    </row>
    <row r="183">
      <c r="C183" s="46"/>
      <c r="D183" s="46"/>
    </row>
    <row r="184">
      <c r="C184" s="46"/>
      <c r="D184" s="46"/>
    </row>
    <row r="185">
      <c r="C185" s="46"/>
      <c r="D185" s="46"/>
    </row>
    <row r="186">
      <c r="C186" s="46"/>
      <c r="D186" s="46"/>
    </row>
    <row r="187">
      <c r="C187" s="46"/>
      <c r="D187" s="46"/>
    </row>
    <row r="188">
      <c r="C188" s="46"/>
      <c r="D188" s="46"/>
    </row>
    <row r="189">
      <c r="C189" s="46"/>
      <c r="D189" s="46"/>
    </row>
    <row r="190">
      <c r="C190" s="46"/>
      <c r="D190" s="46"/>
    </row>
    <row r="191">
      <c r="C191" s="46"/>
      <c r="D191" s="46"/>
    </row>
    <row r="192">
      <c r="C192" s="46"/>
      <c r="D192" s="46"/>
    </row>
    <row r="193">
      <c r="C193" s="46"/>
      <c r="D193" s="46"/>
    </row>
    <row r="194">
      <c r="C194" s="46"/>
      <c r="D194" s="46"/>
    </row>
    <row r="195">
      <c r="C195" s="46"/>
      <c r="D195" s="46"/>
    </row>
    <row r="196">
      <c r="C196" s="46"/>
      <c r="D196" s="46"/>
    </row>
    <row r="197">
      <c r="C197" s="46"/>
      <c r="D197" s="46"/>
    </row>
    <row r="198">
      <c r="C198" s="46"/>
      <c r="D198" s="46"/>
    </row>
    <row r="199">
      <c r="C199" s="46"/>
      <c r="D199" s="46"/>
    </row>
    <row r="200">
      <c r="C200" s="46"/>
      <c r="D200" s="46"/>
    </row>
    <row r="201">
      <c r="C201" s="46"/>
      <c r="D201" s="46"/>
    </row>
    <row r="202">
      <c r="C202" s="46"/>
      <c r="D202" s="46"/>
    </row>
    <row r="203">
      <c r="C203" s="46"/>
      <c r="D203" s="46"/>
    </row>
    <row r="204">
      <c r="C204" s="46"/>
      <c r="D204" s="46"/>
    </row>
    <row r="205">
      <c r="C205" s="46"/>
      <c r="D205" s="46"/>
    </row>
    <row r="206">
      <c r="C206" s="46"/>
      <c r="D206" s="46"/>
    </row>
    <row r="207">
      <c r="C207" s="46"/>
      <c r="D207" s="46"/>
    </row>
    <row r="208">
      <c r="C208" s="46"/>
      <c r="D208" s="46"/>
    </row>
    <row r="209">
      <c r="C209" s="46"/>
      <c r="D209" s="46"/>
    </row>
    <row r="210">
      <c r="C210" s="46"/>
      <c r="D210" s="46"/>
    </row>
    <row r="211">
      <c r="C211" s="46"/>
      <c r="D211" s="46"/>
    </row>
    <row r="212">
      <c r="C212" s="46"/>
      <c r="D212" s="46"/>
    </row>
    <row r="213">
      <c r="C213" s="46"/>
      <c r="D213" s="46"/>
    </row>
    <row r="214">
      <c r="C214" s="46"/>
      <c r="D214" s="46"/>
    </row>
    <row r="215">
      <c r="C215" s="46"/>
      <c r="D215" s="46"/>
    </row>
    <row r="216">
      <c r="C216" s="46"/>
      <c r="D216" s="46"/>
    </row>
    <row r="217">
      <c r="C217" s="46"/>
      <c r="D217" s="46"/>
    </row>
    <row r="218">
      <c r="C218" s="46"/>
      <c r="D218" s="46"/>
    </row>
    <row r="219">
      <c r="C219" s="46"/>
      <c r="D219" s="46"/>
    </row>
    <row r="220">
      <c r="C220" s="46"/>
      <c r="D220" s="46"/>
    </row>
    <row r="221">
      <c r="C221" s="46"/>
      <c r="D221" s="46"/>
    </row>
    <row r="222">
      <c r="C222" s="46"/>
      <c r="D222" s="46"/>
    </row>
    <row r="223">
      <c r="C223" s="46"/>
      <c r="D223" s="46"/>
    </row>
    <row r="224">
      <c r="C224" s="46"/>
      <c r="D224" s="46"/>
    </row>
    <row r="225">
      <c r="C225" s="46"/>
      <c r="D225" s="46"/>
    </row>
    <row r="226">
      <c r="C226" s="46"/>
      <c r="D226" s="46"/>
    </row>
    <row r="227">
      <c r="C227" s="46"/>
      <c r="D227" s="46"/>
    </row>
    <row r="228">
      <c r="C228" s="46"/>
      <c r="D228" s="46"/>
    </row>
    <row r="229">
      <c r="C229" s="46"/>
      <c r="D229" s="46"/>
    </row>
    <row r="230">
      <c r="C230" s="46"/>
      <c r="D230" s="46"/>
    </row>
    <row r="231">
      <c r="C231" s="46"/>
      <c r="D231" s="46"/>
    </row>
    <row r="232">
      <c r="C232" s="46"/>
      <c r="D232" s="46"/>
    </row>
    <row r="233">
      <c r="C233" s="46"/>
      <c r="D233" s="46"/>
    </row>
    <row r="234">
      <c r="C234" s="46"/>
      <c r="D234" s="46"/>
    </row>
    <row r="235">
      <c r="C235" s="46"/>
      <c r="D235" s="46"/>
    </row>
    <row r="236">
      <c r="C236" s="46"/>
      <c r="D236" s="46"/>
    </row>
    <row r="237">
      <c r="C237" s="46"/>
      <c r="D237" s="46"/>
    </row>
    <row r="238">
      <c r="C238" s="46"/>
      <c r="D238" s="46"/>
    </row>
    <row r="239">
      <c r="C239" s="46"/>
      <c r="D239" s="46"/>
    </row>
    <row r="240">
      <c r="C240" s="46"/>
      <c r="D240" s="46"/>
    </row>
    <row r="241">
      <c r="C241" s="46"/>
      <c r="D241" s="46"/>
    </row>
    <row r="242">
      <c r="C242" s="46"/>
      <c r="D242" s="46"/>
    </row>
    <row r="243">
      <c r="C243" s="46"/>
      <c r="D243" s="46"/>
    </row>
    <row r="244">
      <c r="C244" s="46"/>
      <c r="D244" s="46"/>
    </row>
    <row r="245">
      <c r="C245" s="46"/>
      <c r="D245" s="46"/>
    </row>
    <row r="246">
      <c r="C246" s="46"/>
      <c r="D246" s="46"/>
    </row>
    <row r="247">
      <c r="C247" s="46"/>
      <c r="D247" s="46"/>
    </row>
    <row r="248">
      <c r="C248" s="46"/>
      <c r="D248" s="46"/>
    </row>
    <row r="249">
      <c r="C249" s="46"/>
      <c r="D249" s="46"/>
    </row>
    <row r="250">
      <c r="C250" s="46"/>
      <c r="D250" s="46"/>
    </row>
    <row r="251">
      <c r="C251" s="46"/>
      <c r="D251" s="46"/>
    </row>
    <row r="252">
      <c r="C252" s="46"/>
      <c r="D252" s="46"/>
    </row>
    <row r="253">
      <c r="C253" s="46"/>
      <c r="D253" s="46"/>
    </row>
    <row r="254">
      <c r="C254" s="46"/>
      <c r="D254" s="46"/>
    </row>
    <row r="255">
      <c r="C255" s="46"/>
      <c r="D255" s="46"/>
    </row>
    <row r="256">
      <c r="C256" s="46"/>
      <c r="D256" s="46"/>
    </row>
    <row r="257">
      <c r="C257" s="46"/>
      <c r="D257" s="46"/>
    </row>
    <row r="258">
      <c r="C258" s="46"/>
      <c r="D258" s="46"/>
    </row>
    <row r="259">
      <c r="C259" s="46"/>
      <c r="D259" s="46"/>
    </row>
    <row r="260">
      <c r="C260" s="46"/>
      <c r="D260" s="46"/>
    </row>
    <row r="261">
      <c r="C261" s="46"/>
      <c r="D261" s="46"/>
    </row>
    <row r="262">
      <c r="C262" s="46"/>
      <c r="D262" s="46"/>
    </row>
    <row r="263">
      <c r="C263" s="46"/>
      <c r="D263" s="46"/>
    </row>
    <row r="264">
      <c r="C264" s="46"/>
      <c r="D264" s="46"/>
    </row>
    <row r="265">
      <c r="C265" s="46"/>
      <c r="D265" s="46"/>
    </row>
    <row r="266">
      <c r="C266" s="46"/>
      <c r="D266" s="46"/>
    </row>
    <row r="267">
      <c r="C267" s="46"/>
      <c r="D267" s="46"/>
    </row>
    <row r="268">
      <c r="C268" s="46"/>
      <c r="D268" s="46"/>
    </row>
    <row r="269">
      <c r="C269" s="46"/>
      <c r="D269" s="46"/>
    </row>
    <row r="270">
      <c r="C270" s="46"/>
      <c r="D270" s="46"/>
    </row>
    <row r="271">
      <c r="C271" s="46"/>
      <c r="D271" s="46"/>
    </row>
    <row r="272">
      <c r="C272" s="46"/>
      <c r="D272" s="46"/>
    </row>
    <row r="273">
      <c r="C273" s="46"/>
      <c r="D273" s="46"/>
    </row>
    <row r="274">
      <c r="C274" s="46"/>
      <c r="D274" s="46"/>
    </row>
    <row r="275">
      <c r="C275" s="46"/>
      <c r="D275" s="46"/>
    </row>
    <row r="276">
      <c r="C276" s="46"/>
      <c r="D276" s="46"/>
    </row>
    <row r="277">
      <c r="C277" s="46"/>
      <c r="D277" s="46"/>
    </row>
    <row r="278">
      <c r="C278" s="46"/>
      <c r="D278" s="46"/>
    </row>
    <row r="279">
      <c r="C279" s="46"/>
      <c r="D279" s="46"/>
    </row>
    <row r="280">
      <c r="C280" s="46"/>
      <c r="D280" s="46"/>
    </row>
    <row r="281">
      <c r="C281" s="46"/>
      <c r="D281" s="46"/>
    </row>
    <row r="282">
      <c r="C282" s="46"/>
      <c r="D282" s="46"/>
    </row>
    <row r="283">
      <c r="C283" s="46"/>
      <c r="D283" s="46"/>
    </row>
    <row r="284">
      <c r="C284" s="46"/>
      <c r="D284" s="46"/>
    </row>
    <row r="285">
      <c r="C285" s="46"/>
      <c r="D285" s="46"/>
    </row>
    <row r="286">
      <c r="C286" s="46"/>
      <c r="D286" s="46"/>
    </row>
    <row r="287">
      <c r="C287" s="46"/>
      <c r="D287" s="46"/>
    </row>
    <row r="288">
      <c r="C288" s="46"/>
      <c r="D288" s="46"/>
    </row>
    <row r="289">
      <c r="C289" s="46"/>
      <c r="D289" s="46"/>
    </row>
    <row r="290">
      <c r="C290" s="46"/>
      <c r="D290" s="46"/>
    </row>
    <row r="291">
      <c r="C291" s="46"/>
      <c r="D291" s="46"/>
    </row>
    <row r="292">
      <c r="C292" s="46"/>
      <c r="D292" s="46"/>
    </row>
    <row r="293">
      <c r="C293" s="46"/>
      <c r="D293" s="46"/>
    </row>
    <row r="294">
      <c r="C294" s="46"/>
      <c r="D294" s="46"/>
    </row>
    <row r="295">
      <c r="C295" s="46"/>
      <c r="D295" s="46"/>
    </row>
    <row r="296">
      <c r="C296" s="46"/>
      <c r="D296" s="46"/>
    </row>
    <row r="297">
      <c r="C297" s="46"/>
      <c r="D297" s="46"/>
    </row>
    <row r="298">
      <c r="C298" s="46"/>
      <c r="D298" s="46"/>
    </row>
    <row r="299">
      <c r="C299" s="46"/>
      <c r="D299" s="46"/>
    </row>
    <row r="300">
      <c r="C300" s="46"/>
      <c r="D300" s="46"/>
    </row>
    <row r="301">
      <c r="C301" s="46"/>
      <c r="D301" s="46"/>
    </row>
    <row r="302">
      <c r="C302" s="46"/>
      <c r="D302" s="46"/>
    </row>
    <row r="303">
      <c r="C303" s="46"/>
      <c r="D303" s="46"/>
    </row>
    <row r="304">
      <c r="C304" s="46"/>
      <c r="D304" s="46"/>
    </row>
    <row r="305">
      <c r="C305" s="46"/>
      <c r="D305" s="46"/>
    </row>
    <row r="306">
      <c r="C306" s="46"/>
      <c r="D306" s="46"/>
    </row>
    <row r="307">
      <c r="C307" s="46"/>
      <c r="D307" s="46"/>
    </row>
    <row r="308">
      <c r="C308" s="46"/>
      <c r="D308" s="46"/>
    </row>
    <row r="309">
      <c r="C309" s="46"/>
      <c r="D309" s="46"/>
    </row>
    <row r="310">
      <c r="C310" s="46"/>
      <c r="D310" s="46"/>
    </row>
    <row r="311">
      <c r="C311" s="46"/>
      <c r="D311" s="46"/>
    </row>
    <row r="312">
      <c r="C312" s="46"/>
      <c r="D312" s="46"/>
    </row>
    <row r="313">
      <c r="C313" s="46"/>
      <c r="D313" s="46"/>
    </row>
    <row r="314">
      <c r="C314" s="46"/>
      <c r="D314" s="46"/>
    </row>
    <row r="315">
      <c r="C315" s="46"/>
      <c r="D315" s="46"/>
    </row>
    <row r="316">
      <c r="C316" s="46"/>
      <c r="D316" s="46"/>
    </row>
    <row r="317">
      <c r="C317" s="46"/>
      <c r="D317" s="46"/>
    </row>
    <row r="318">
      <c r="C318" s="46"/>
      <c r="D318" s="46"/>
    </row>
    <row r="319">
      <c r="C319" s="46"/>
      <c r="D319" s="46"/>
    </row>
    <row r="320">
      <c r="C320" s="46"/>
      <c r="D320" s="46"/>
    </row>
    <row r="321">
      <c r="C321" s="46"/>
      <c r="D321" s="46"/>
    </row>
    <row r="322">
      <c r="C322" s="46"/>
      <c r="D322" s="46"/>
    </row>
    <row r="323">
      <c r="C323" s="46"/>
      <c r="D323" s="46"/>
    </row>
    <row r="324">
      <c r="C324" s="46"/>
      <c r="D324" s="46"/>
    </row>
    <row r="325">
      <c r="C325" s="46"/>
      <c r="D325" s="46"/>
    </row>
    <row r="326">
      <c r="C326" s="46"/>
      <c r="D326" s="46"/>
    </row>
    <row r="327">
      <c r="C327" s="46"/>
      <c r="D327" s="46"/>
    </row>
    <row r="328">
      <c r="C328" s="46"/>
      <c r="D328" s="46"/>
    </row>
    <row r="329">
      <c r="C329" s="46"/>
      <c r="D329" s="46"/>
    </row>
    <row r="330">
      <c r="C330" s="46"/>
      <c r="D330" s="46"/>
    </row>
    <row r="331">
      <c r="C331" s="46"/>
      <c r="D331" s="46"/>
    </row>
    <row r="332">
      <c r="C332" s="46"/>
      <c r="D332" s="46"/>
    </row>
    <row r="333">
      <c r="C333" s="46"/>
      <c r="D333" s="46"/>
    </row>
    <row r="334">
      <c r="C334" s="46"/>
      <c r="D334" s="46"/>
    </row>
    <row r="335">
      <c r="C335" s="46"/>
      <c r="D335" s="46"/>
    </row>
    <row r="336">
      <c r="C336" s="46"/>
      <c r="D336" s="46"/>
    </row>
    <row r="337">
      <c r="C337" s="46"/>
      <c r="D337" s="46"/>
    </row>
    <row r="338">
      <c r="C338" s="46"/>
      <c r="D338" s="46"/>
    </row>
    <row r="339">
      <c r="C339" s="46"/>
      <c r="D339" s="46"/>
    </row>
    <row r="340">
      <c r="C340" s="46"/>
      <c r="D340" s="46"/>
    </row>
    <row r="341">
      <c r="C341" s="46"/>
      <c r="D341" s="46"/>
    </row>
    <row r="342">
      <c r="C342" s="46"/>
      <c r="D342" s="46"/>
    </row>
    <row r="343">
      <c r="C343" s="46"/>
      <c r="D343" s="46"/>
    </row>
    <row r="344">
      <c r="C344" s="46"/>
      <c r="D344" s="46"/>
    </row>
    <row r="345">
      <c r="C345" s="46"/>
      <c r="D345" s="46"/>
    </row>
    <row r="346">
      <c r="C346" s="46"/>
      <c r="D346" s="46"/>
    </row>
    <row r="347">
      <c r="C347" s="46"/>
      <c r="D347" s="46"/>
    </row>
    <row r="348">
      <c r="C348" s="46"/>
      <c r="D348" s="46"/>
    </row>
    <row r="349">
      <c r="C349" s="46"/>
      <c r="D349" s="46"/>
    </row>
    <row r="350">
      <c r="C350" s="46"/>
      <c r="D350" s="46"/>
    </row>
    <row r="351">
      <c r="C351" s="46"/>
      <c r="D351" s="46"/>
    </row>
    <row r="352">
      <c r="C352" s="46"/>
      <c r="D352" s="46"/>
    </row>
    <row r="353">
      <c r="C353" s="46"/>
      <c r="D353" s="46"/>
    </row>
    <row r="354">
      <c r="C354" s="46"/>
      <c r="D354" s="46"/>
    </row>
    <row r="355">
      <c r="C355" s="46"/>
      <c r="D355" s="46"/>
    </row>
    <row r="356">
      <c r="C356" s="46"/>
      <c r="D356" s="46"/>
    </row>
    <row r="357">
      <c r="C357" s="46"/>
      <c r="D357" s="46"/>
    </row>
    <row r="358">
      <c r="C358" s="46"/>
      <c r="D358" s="46"/>
    </row>
    <row r="359">
      <c r="C359" s="46"/>
      <c r="D359" s="46"/>
    </row>
    <row r="360">
      <c r="C360" s="46"/>
      <c r="D360" s="46"/>
    </row>
    <row r="361">
      <c r="C361" s="46"/>
      <c r="D361" s="46"/>
    </row>
    <row r="362">
      <c r="C362" s="46"/>
      <c r="D362" s="46"/>
    </row>
    <row r="363">
      <c r="C363" s="46"/>
      <c r="D363" s="46"/>
    </row>
    <row r="364">
      <c r="C364" s="46"/>
      <c r="D364" s="46"/>
    </row>
    <row r="365">
      <c r="C365" s="46"/>
      <c r="D365" s="46"/>
    </row>
    <row r="366">
      <c r="C366" s="46"/>
      <c r="D366" s="46"/>
    </row>
    <row r="367">
      <c r="C367" s="46"/>
      <c r="D367" s="46"/>
    </row>
    <row r="368">
      <c r="C368" s="46"/>
      <c r="D368" s="46"/>
    </row>
    <row r="369">
      <c r="C369" s="46"/>
      <c r="D369" s="46"/>
    </row>
    <row r="370">
      <c r="C370" s="46"/>
      <c r="D370" s="46"/>
    </row>
    <row r="371">
      <c r="C371" s="46"/>
      <c r="D371" s="46"/>
    </row>
    <row r="372">
      <c r="C372" s="46"/>
      <c r="D372" s="46"/>
    </row>
    <row r="373">
      <c r="C373" s="46"/>
      <c r="D373" s="46"/>
    </row>
    <row r="374">
      <c r="C374" s="46"/>
      <c r="D374" s="46"/>
    </row>
    <row r="375">
      <c r="C375" s="46"/>
      <c r="D375" s="46"/>
    </row>
    <row r="376">
      <c r="C376" s="46"/>
      <c r="D376" s="46"/>
    </row>
    <row r="377">
      <c r="C377" s="46"/>
      <c r="D377" s="46"/>
    </row>
    <row r="378">
      <c r="C378" s="46"/>
      <c r="D378" s="46"/>
    </row>
    <row r="379">
      <c r="C379" s="46"/>
      <c r="D379" s="46"/>
    </row>
    <row r="380">
      <c r="C380" s="46"/>
      <c r="D380" s="46"/>
    </row>
    <row r="381">
      <c r="C381" s="46"/>
      <c r="D381" s="46"/>
    </row>
    <row r="382">
      <c r="C382" s="46"/>
      <c r="D382" s="46"/>
    </row>
    <row r="383">
      <c r="C383" s="46"/>
      <c r="D383" s="46"/>
    </row>
    <row r="384">
      <c r="C384" s="46"/>
      <c r="D384" s="46"/>
    </row>
    <row r="385">
      <c r="C385" s="46"/>
      <c r="D385" s="46"/>
    </row>
    <row r="386">
      <c r="C386" s="46"/>
      <c r="D386" s="46"/>
    </row>
    <row r="387">
      <c r="C387" s="46"/>
      <c r="D387" s="46"/>
    </row>
    <row r="388">
      <c r="C388" s="46"/>
      <c r="D388" s="46"/>
    </row>
    <row r="389">
      <c r="C389" s="46"/>
      <c r="D389" s="46"/>
    </row>
    <row r="390">
      <c r="C390" s="46"/>
      <c r="D390" s="46"/>
    </row>
    <row r="391">
      <c r="C391" s="46"/>
      <c r="D391" s="46"/>
    </row>
    <row r="392">
      <c r="C392" s="46"/>
      <c r="D392" s="46"/>
    </row>
    <row r="393">
      <c r="C393" s="46"/>
      <c r="D393" s="46"/>
    </row>
    <row r="394">
      <c r="C394" s="46"/>
      <c r="D394" s="46"/>
    </row>
    <row r="395">
      <c r="C395" s="46"/>
      <c r="D395" s="46"/>
    </row>
    <row r="396">
      <c r="C396" s="46"/>
      <c r="D396" s="46"/>
    </row>
    <row r="397">
      <c r="C397" s="46"/>
      <c r="D397" s="46"/>
    </row>
    <row r="398">
      <c r="C398" s="46"/>
      <c r="D398" s="46"/>
    </row>
    <row r="399">
      <c r="C399" s="46"/>
      <c r="D399" s="46"/>
    </row>
    <row r="400">
      <c r="C400" s="46"/>
      <c r="D400" s="46"/>
    </row>
    <row r="401">
      <c r="C401" s="46"/>
      <c r="D401" s="46"/>
    </row>
    <row r="402">
      <c r="C402" s="46"/>
      <c r="D402" s="46"/>
    </row>
    <row r="403">
      <c r="C403" s="46"/>
      <c r="D403" s="46"/>
    </row>
    <row r="404">
      <c r="C404" s="46"/>
      <c r="D404" s="46"/>
    </row>
    <row r="405">
      <c r="C405" s="46"/>
      <c r="D405" s="46"/>
    </row>
    <row r="406">
      <c r="C406" s="46"/>
      <c r="D406" s="46"/>
    </row>
    <row r="407">
      <c r="C407" s="46"/>
      <c r="D407" s="46"/>
    </row>
    <row r="408">
      <c r="C408" s="46"/>
      <c r="D408" s="46"/>
    </row>
    <row r="409">
      <c r="C409" s="46"/>
      <c r="D409" s="46"/>
    </row>
    <row r="410">
      <c r="C410" s="46"/>
      <c r="D410" s="46"/>
    </row>
    <row r="411">
      <c r="C411" s="46"/>
      <c r="D411" s="46"/>
    </row>
    <row r="412">
      <c r="C412" s="46"/>
      <c r="D412" s="46"/>
    </row>
    <row r="413">
      <c r="C413" s="46"/>
      <c r="D413" s="46"/>
    </row>
    <row r="414">
      <c r="C414" s="46"/>
      <c r="D414" s="46"/>
    </row>
    <row r="415">
      <c r="C415" s="46"/>
      <c r="D415" s="46"/>
    </row>
    <row r="416">
      <c r="C416" s="46"/>
      <c r="D416" s="46"/>
    </row>
    <row r="417">
      <c r="C417" s="46"/>
      <c r="D417" s="46"/>
    </row>
    <row r="418">
      <c r="C418" s="46"/>
      <c r="D418" s="46"/>
    </row>
    <row r="419">
      <c r="C419" s="46"/>
      <c r="D419" s="46"/>
    </row>
    <row r="420">
      <c r="C420" s="46"/>
      <c r="D420" s="46"/>
    </row>
    <row r="421">
      <c r="C421" s="46"/>
      <c r="D421" s="46"/>
    </row>
    <row r="422">
      <c r="C422" s="46"/>
      <c r="D422" s="46"/>
    </row>
    <row r="423">
      <c r="C423" s="46"/>
      <c r="D423" s="46"/>
    </row>
    <row r="424">
      <c r="C424" s="46"/>
      <c r="D424" s="46"/>
    </row>
    <row r="425">
      <c r="C425" s="46"/>
      <c r="D425" s="46"/>
    </row>
    <row r="426">
      <c r="C426" s="46"/>
      <c r="D426" s="46"/>
    </row>
    <row r="427">
      <c r="C427" s="46"/>
      <c r="D427" s="46"/>
    </row>
    <row r="428">
      <c r="C428" s="46"/>
      <c r="D428" s="46"/>
    </row>
    <row r="429">
      <c r="C429" s="46"/>
      <c r="D429" s="46"/>
    </row>
    <row r="430">
      <c r="C430" s="46"/>
      <c r="D430" s="46"/>
    </row>
    <row r="431">
      <c r="C431" s="46"/>
      <c r="D431" s="46"/>
    </row>
    <row r="432">
      <c r="C432" s="46"/>
      <c r="D432" s="46"/>
    </row>
    <row r="433">
      <c r="C433" s="46"/>
      <c r="D433" s="46"/>
    </row>
    <row r="434">
      <c r="C434" s="46"/>
      <c r="D434" s="46"/>
    </row>
    <row r="435">
      <c r="C435" s="46"/>
      <c r="D435" s="46"/>
    </row>
    <row r="436">
      <c r="C436" s="46"/>
      <c r="D436" s="46"/>
    </row>
    <row r="437">
      <c r="C437" s="46"/>
      <c r="D437" s="46"/>
    </row>
    <row r="438">
      <c r="C438" s="46"/>
      <c r="D438" s="46"/>
    </row>
    <row r="439">
      <c r="C439" s="46"/>
      <c r="D439" s="46"/>
    </row>
    <row r="440">
      <c r="C440" s="46"/>
      <c r="D440" s="46"/>
    </row>
    <row r="441">
      <c r="C441" s="46"/>
      <c r="D441" s="46"/>
    </row>
    <row r="442">
      <c r="C442" s="46"/>
      <c r="D442" s="46"/>
    </row>
    <row r="443">
      <c r="C443" s="46"/>
      <c r="D443" s="46"/>
    </row>
    <row r="444">
      <c r="C444" s="46"/>
      <c r="D444" s="46"/>
    </row>
    <row r="445">
      <c r="C445" s="46"/>
      <c r="D445" s="46"/>
    </row>
    <row r="446">
      <c r="C446" s="46"/>
      <c r="D446" s="46"/>
    </row>
    <row r="447">
      <c r="C447" s="46"/>
      <c r="D447" s="46"/>
    </row>
    <row r="448">
      <c r="C448" s="46"/>
      <c r="D448" s="46"/>
    </row>
    <row r="449">
      <c r="C449" s="46"/>
      <c r="D449" s="46"/>
    </row>
    <row r="450">
      <c r="C450" s="46"/>
      <c r="D450" s="46"/>
    </row>
    <row r="451">
      <c r="C451" s="46"/>
      <c r="D451" s="46"/>
    </row>
    <row r="452">
      <c r="C452" s="46"/>
      <c r="D452" s="46"/>
    </row>
    <row r="453">
      <c r="C453" s="46"/>
      <c r="D453" s="46"/>
    </row>
    <row r="454">
      <c r="C454" s="46"/>
      <c r="D454" s="46"/>
    </row>
    <row r="455">
      <c r="C455" s="46"/>
      <c r="D455" s="46"/>
    </row>
    <row r="456">
      <c r="C456" s="46"/>
      <c r="D456" s="46"/>
    </row>
    <row r="457">
      <c r="C457" s="46"/>
      <c r="D457" s="46"/>
    </row>
    <row r="458">
      <c r="C458" s="46"/>
      <c r="D458" s="46"/>
    </row>
    <row r="459">
      <c r="C459" s="46"/>
      <c r="D459" s="46"/>
    </row>
    <row r="460">
      <c r="C460" s="46"/>
      <c r="D460" s="46"/>
    </row>
    <row r="461">
      <c r="C461" s="46"/>
      <c r="D461" s="46"/>
    </row>
    <row r="462">
      <c r="C462" s="46"/>
      <c r="D462" s="46"/>
    </row>
    <row r="463">
      <c r="C463" s="46"/>
      <c r="D463" s="46"/>
    </row>
    <row r="464">
      <c r="C464" s="46"/>
      <c r="D464" s="46"/>
    </row>
    <row r="465">
      <c r="C465" s="46"/>
      <c r="D465" s="46"/>
    </row>
    <row r="466">
      <c r="C466" s="46"/>
      <c r="D466" s="46"/>
    </row>
    <row r="467">
      <c r="C467" s="46"/>
      <c r="D467" s="46"/>
    </row>
    <row r="468">
      <c r="C468" s="46"/>
      <c r="D468" s="46"/>
    </row>
    <row r="469">
      <c r="C469" s="46"/>
      <c r="D469" s="46"/>
    </row>
    <row r="470">
      <c r="C470" s="46"/>
      <c r="D470" s="46"/>
    </row>
    <row r="471">
      <c r="C471" s="46"/>
      <c r="D471" s="46"/>
    </row>
    <row r="472">
      <c r="C472" s="46"/>
      <c r="D472" s="46"/>
    </row>
    <row r="473">
      <c r="C473" s="46"/>
      <c r="D473" s="46"/>
    </row>
    <row r="474">
      <c r="C474" s="46"/>
      <c r="D474" s="46"/>
    </row>
    <row r="475">
      <c r="C475" s="46"/>
      <c r="D475" s="46"/>
    </row>
    <row r="476">
      <c r="C476" s="46"/>
      <c r="D476" s="46"/>
    </row>
    <row r="477">
      <c r="C477" s="46"/>
      <c r="D477" s="46"/>
    </row>
    <row r="478">
      <c r="C478" s="46"/>
      <c r="D478" s="46"/>
    </row>
    <row r="479">
      <c r="C479" s="46"/>
      <c r="D479" s="46"/>
    </row>
    <row r="480">
      <c r="C480" s="46"/>
      <c r="D480" s="46"/>
    </row>
    <row r="481">
      <c r="C481" s="46"/>
      <c r="D481" s="46"/>
    </row>
    <row r="482">
      <c r="C482" s="46"/>
      <c r="D482" s="46"/>
    </row>
    <row r="483">
      <c r="C483" s="46"/>
      <c r="D483" s="46"/>
    </row>
    <row r="484">
      <c r="C484" s="46"/>
      <c r="D484" s="46"/>
    </row>
    <row r="485">
      <c r="C485" s="46"/>
      <c r="D485" s="46"/>
    </row>
    <row r="486">
      <c r="C486" s="46"/>
      <c r="D486" s="46"/>
    </row>
    <row r="487">
      <c r="C487" s="46"/>
      <c r="D487" s="46"/>
    </row>
    <row r="488">
      <c r="C488" s="46"/>
      <c r="D488" s="46"/>
    </row>
    <row r="489">
      <c r="C489" s="46"/>
      <c r="D489" s="46"/>
    </row>
    <row r="490">
      <c r="C490" s="46"/>
      <c r="D490" s="46"/>
    </row>
    <row r="491">
      <c r="C491" s="46"/>
      <c r="D491" s="46"/>
    </row>
    <row r="492">
      <c r="C492" s="46"/>
      <c r="D492" s="46"/>
    </row>
    <row r="493">
      <c r="C493" s="46"/>
      <c r="D493" s="46"/>
    </row>
    <row r="494">
      <c r="C494" s="46"/>
      <c r="D494" s="46"/>
    </row>
    <row r="495">
      <c r="C495" s="46"/>
      <c r="D495" s="46"/>
    </row>
    <row r="496">
      <c r="C496" s="46"/>
      <c r="D496" s="46"/>
    </row>
    <row r="497">
      <c r="C497" s="46"/>
      <c r="D497" s="46"/>
    </row>
    <row r="498">
      <c r="C498" s="46"/>
      <c r="D498" s="46"/>
    </row>
    <row r="499">
      <c r="C499" s="46"/>
      <c r="D499" s="46"/>
    </row>
    <row r="500">
      <c r="C500" s="46"/>
      <c r="D500" s="46"/>
    </row>
    <row r="501">
      <c r="C501" s="46"/>
      <c r="D501" s="46"/>
    </row>
    <row r="502">
      <c r="C502" s="46"/>
      <c r="D502" s="46"/>
    </row>
    <row r="503">
      <c r="C503" s="46"/>
      <c r="D503" s="46"/>
    </row>
    <row r="504">
      <c r="C504" s="46"/>
      <c r="D504" s="46"/>
    </row>
    <row r="505">
      <c r="C505" s="46"/>
      <c r="D505" s="46"/>
    </row>
    <row r="506">
      <c r="C506" s="46"/>
      <c r="D506" s="46"/>
    </row>
    <row r="507">
      <c r="C507" s="46"/>
      <c r="D507" s="46"/>
    </row>
    <row r="508">
      <c r="C508" s="46"/>
      <c r="D508" s="46"/>
    </row>
    <row r="509">
      <c r="C509" s="46"/>
      <c r="D509" s="46"/>
    </row>
    <row r="510">
      <c r="C510" s="46"/>
      <c r="D510" s="46"/>
    </row>
    <row r="511">
      <c r="C511" s="46"/>
      <c r="D511" s="46"/>
    </row>
    <row r="512">
      <c r="C512" s="46"/>
      <c r="D512" s="46"/>
    </row>
    <row r="513">
      <c r="C513" s="46"/>
      <c r="D513" s="46"/>
    </row>
    <row r="514">
      <c r="C514" s="46"/>
      <c r="D514" s="46"/>
    </row>
    <row r="515">
      <c r="C515" s="46"/>
      <c r="D515" s="46"/>
    </row>
    <row r="516">
      <c r="C516" s="46"/>
      <c r="D516" s="46"/>
    </row>
    <row r="517">
      <c r="C517" s="46"/>
      <c r="D517" s="46"/>
    </row>
    <row r="518">
      <c r="C518" s="46"/>
      <c r="D518" s="46"/>
    </row>
    <row r="519">
      <c r="C519" s="46"/>
      <c r="D519" s="46"/>
    </row>
    <row r="520">
      <c r="C520" s="46"/>
      <c r="D520" s="46"/>
    </row>
    <row r="521">
      <c r="C521" s="46"/>
      <c r="D521" s="46"/>
    </row>
    <row r="522">
      <c r="C522" s="46"/>
      <c r="D522" s="46"/>
    </row>
    <row r="523">
      <c r="C523" s="46"/>
      <c r="D523" s="46"/>
    </row>
    <row r="524">
      <c r="C524" s="46"/>
      <c r="D524" s="46"/>
    </row>
    <row r="525">
      <c r="C525" s="46"/>
      <c r="D525" s="46"/>
    </row>
    <row r="526">
      <c r="C526" s="46"/>
      <c r="D526" s="46"/>
    </row>
    <row r="527">
      <c r="C527" s="46"/>
      <c r="D527" s="46"/>
    </row>
    <row r="528">
      <c r="C528" s="46"/>
      <c r="D528" s="46"/>
    </row>
    <row r="529">
      <c r="C529" s="46"/>
      <c r="D529" s="46"/>
    </row>
    <row r="530">
      <c r="C530" s="46"/>
      <c r="D530" s="46"/>
    </row>
    <row r="531">
      <c r="C531" s="46"/>
      <c r="D531" s="46"/>
    </row>
    <row r="532">
      <c r="C532" s="46"/>
      <c r="D532" s="46"/>
    </row>
    <row r="533">
      <c r="C533" s="46"/>
      <c r="D533" s="46"/>
    </row>
    <row r="534">
      <c r="C534" s="46"/>
      <c r="D534" s="46"/>
    </row>
    <row r="535">
      <c r="C535" s="46"/>
      <c r="D535" s="46"/>
    </row>
    <row r="536">
      <c r="C536" s="46"/>
      <c r="D536" s="46"/>
    </row>
    <row r="537">
      <c r="C537" s="46"/>
      <c r="D537" s="46"/>
    </row>
    <row r="538">
      <c r="C538" s="46"/>
      <c r="D538" s="46"/>
    </row>
    <row r="539">
      <c r="C539" s="46"/>
      <c r="D539" s="46"/>
    </row>
    <row r="540">
      <c r="C540" s="46"/>
      <c r="D540" s="46"/>
    </row>
    <row r="541">
      <c r="C541" s="46"/>
      <c r="D541" s="46"/>
    </row>
    <row r="542">
      <c r="C542" s="46"/>
      <c r="D542" s="46"/>
    </row>
    <row r="543">
      <c r="C543" s="46"/>
      <c r="D543" s="46"/>
    </row>
    <row r="544">
      <c r="C544" s="46"/>
      <c r="D544" s="46"/>
    </row>
    <row r="545">
      <c r="C545" s="46"/>
      <c r="D545" s="46"/>
    </row>
    <row r="546">
      <c r="C546" s="46"/>
      <c r="D546" s="46"/>
    </row>
    <row r="547">
      <c r="C547" s="46"/>
      <c r="D547" s="46"/>
    </row>
    <row r="548">
      <c r="C548" s="46"/>
      <c r="D548" s="46"/>
    </row>
    <row r="549">
      <c r="C549" s="46"/>
      <c r="D549" s="46"/>
    </row>
    <row r="550">
      <c r="C550" s="46"/>
      <c r="D550" s="46"/>
    </row>
    <row r="551">
      <c r="C551" s="46"/>
      <c r="D551" s="46"/>
    </row>
    <row r="552">
      <c r="C552" s="46"/>
      <c r="D552" s="46"/>
    </row>
    <row r="553">
      <c r="C553" s="46"/>
      <c r="D553" s="46"/>
    </row>
    <row r="554">
      <c r="C554" s="46"/>
      <c r="D554" s="46"/>
    </row>
    <row r="555">
      <c r="C555" s="46"/>
      <c r="D555" s="46"/>
    </row>
    <row r="556">
      <c r="C556" s="46"/>
      <c r="D556" s="46"/>
    </row>
    <row r="557">
      <c r="C557" s="46"/>
      <c r="D557" s="46"/>
    </row>
    <row r="558">
      <c r="C558" s="46"/>
      <c r="D558" s="46"/>
    </row>
    <row r="559">
      <c r="C559" s="46"/>
      <c r="D559" s="46"/>
    </row>
    <row r="560">
      <c r="C560" s="46"/>
      <c r="D560" s="46"/>
    </row>
    <row r="561">
      <c r="C561" s="46"/>
      <c r="D561" s="46"/>
    </row>
    <row r="562">
      <c r="C562" s="46"/>
      <c r="D562" s="46"/>
    </row>
    <row r="563">
      <c r="C563" s="46"/>
      <c r="D563" s="46"/>
    </row>
    <row r="564">
      <c r="C564" s="46"/>
      <c r="D564" s="46"/>
    </row>
    <row r="565">
      <c r="C565" s="46"/>
      <c r="D565" s="46"/>
    </row>
    <row r="566">
      <c r="C566" s="46"/>
      <c r="D566" s="46"/>
    </row>
    <row r="567">
      <c r="C567" s="46"/>
      <c r="D567" s="46"/>
    </row>
    <row r="568">
      <c r="C568" s="46"/>
      <c r="D568" s="46"/>
    </row>
    <row r="569">
      <c r="C569" s="46"/>
      <c r="D569" s="46"/>
    </row>
    <row r="570">
      <c r="C570" s="46"/>
      <c r="D570" s="46"/>
    </row>
    <row r="571">
      <c r="C571" s="46"/>
      <c r="D571" s="46"/>
    </row>
    <row r="572">
      <c r="C572" s="46"/>
      <c r="D572" s="46"/>
    </row>
    <row r="573">
      <c r="C573" s="46"/>
      <c r="D573" s="46"/>
    </row>
    <row r="574">
      <c r="C574" s="46"/>
      <c r="D574" s="46"/>
    </row>
    <row r="575">
      <c r="C575" s="46"/>
      <c r="D575" s="46"/>
    </row>
    <row r="576">
      <c r="C576" s="46"/>
      <c r="D576" s="46"/>
    </row>
    <row r="577">
      <c r="C577" s="46"/>
      <c r="D577" s="46"/>
    </row>
    <row r="578">
      <c r="C578" s="46"/>
      <c r="D578" s="46"/>
    </row>
    <row r="579">
      <c r="C579" s="46"/>
      <c r="D579" s="46"/>
    </row>
    <row r="580">
      <c r="C580" s="46"/>
      <c r="D580" s="46"/>
    </row>
    <row r="581">
      <c r="C581" s="46"/>
      <c r="D581" s="46"/>
    </row>
    <row r="582">
      <c r="C582" s="46"/>
      <c r="D582" s="46"/>
    </row>
    <row r="583">
      <c r="C583" s="46"/>
      <c r="D583" s="46"/>
    </row>
    <row r="584">
      <c r="C584" s="46"/>
      <c r="D584" s="46"/>
    </row>
    <row r="585">
      <c r="C585" s="46"/>
      <c r="D585" s="46"/>
    </row>
    <row r="586">
      <c r="C586" s="46"/>
      <c r="D586" s="46"/>
    </row>
    <row r="587">
      <c r="C587" s="46"/>
      <c r="D587" s="46"/>
    </row>
    <row r="588">
      <c r="C588" s="46"/>
      <c r="D588" s="46"/>
    </row>
    <row r="589">
      <c r="C589" s="46"/>
      <c r="D589" s="46"/>
    </row>
    <row r="590">
      <c r="C590" s="46"/>
      <c r="D590" s="46"/>
    </row>
    <row r="591">
      <c r="C591" s="46"/>
      <c r="D591" s="46"/>
    </row>
    <row r="592">
      <c r="C592" s="46"/>
      <c r="D592" s="46"/>
    </row>
    <row r="593">
      <c r="C593" s="46"/>
      <c r="D593" s="46"/>
    </row>
    <row r="594">
      <c r="C594" s="46"/>
      <c r="D594" s="46"/>
    </row>
    <row r="595">
      <c r="C595" s="46"/>
      <c r="D595" s="46"/>
    </row>
    <row r="596">
      <c r="C596" s="46"/>
      <c r="D596" s="46"/>
    </row>
    <row r="597">
      <c r="C597" s="46"/>
      <c r="D597" s="46"/>
    </row>
    <row r="598">
      <c r="C598" s="46"/>
      <c r="D598" s="46"/>
    </row>
    <row r="599">
      <c r="C599" s="46"/>
      <c r="D599" s="46"/>
    </row>
    <row r="600">
      <c r="C600" s="46"/>
      <c r="D600" s="46"/>
    </row>
    <row r="601">
      <c r="C601" s="46"/>
      <c r="D601" s="46"/>
    </row>
    <row r="602">
      <c r="C602" s="46"/>
      <c r="D602" s="46"/>
    </row>
    <row r="603">
      <c r="C603" s="46"/>
      <c r="D603" s="46"/>
    </row>
    <row r="604">
      <c r="C604" s="46"/>
      <c r="D604" s="46"/>
    </row>
    <row r="605">
      <c r="C605" s="46"/>
      <c r="D605" s="46"/>
    </row>
    <row r="606">
      <c r="C606" s="46"/>
      <c r="D606" s="46"/>
    </row>
    <row r="607">
      <c r="C607" s="46"/>
      <c r="D607" s="46"/>
    </row>
    <row r="608">
      <c r="C608" s="46"/>
      <c r="D608" s="46"/>
    </row>
    <row r="609">
      <c r="C609" s="46"/>
      <c r="D609" s="46"/>
    </row>
    <row r="610">
      <c r="C610" s="46"/>
      <c r="D610" s="46"/>
    </row>
    <row r="611">
      <c r="C611" s="46"/>
      <c r="D611" s="46"/>
    </row>
    <row r="612">
      <c r="C612" s="46"/>
      <c r="D612" s="46"/>
    </row>
    <row r="613">
      <c r="C613" s="46"/>
      <c r="D613" s="46"/>
    </row>
    <row r="614">
      <c r="C614" s="46"/>
      <c r="D614" s="46"/>
    </row>
    <row r="615">
      <c r="C615" s="46"/>
      <c r="D615" s="46"/>
    </row>
    <row r="616">
      <c r="C616" s="46"/>
      <c r="D616" s="46"/>
    </row>
    <row r="617">
      <c r="C617" s="46"/>
      <c r="D617" s="46"/>
    </row>
    <row r="618">
      <c r="C618" s="46"/>
      <c r="D618" s="46"/>
    </row>
    <row r="619">
      <c r="C619" s="46"/>
      <c r="D619" s="46"/>
    </row>
    <row r="620">
      <c r="C620" s="46"/>
      <c r="D620" s="46"/>
    </row>
    <row r="621">
      <c r="C621" s="46"/>
      <c r="D621" s="46"/>
    </row>
    <row r="622">
      <c r="C622" s="46"/>
      <c r="D622" s="46"/>
    </row>
    <row r="623">
      <c r="C623" s="46"/>
      <c r="D623" s="46"/>
    </row>
    <row r="624">
      <c r="C624" s="46"/>
      <c r="D624" s="46"/>
    </row>
    <row r="625">
      <c r="C625" s="46"/>
      <c r="D625" s="46"/>
    </row>
    <row r="626">
      <c r="C626" s="46"/>
      <c r="D626" s="46"/>
    </row>
    <row r="627">
      <c r="C627" s="46"/>
      <c r="D627" s="46"/>
    </row>
    <row r="628">
      <c r="C628" s="46"/>
      <c r="D628" s="46"/>
    </row>
    <row r="629">
      <c r="C629" s="46"/>
      <c r="D629" s="46"/>
    </row>
    <row r="630">
      <c r="C630" s="46"/>
      <c r="D630" s="46"/>
    </row>
    <row r="631">
      <c r="C631" s="46"/>
      <c r="D631" s="46"/>
    </row>
    <row r="632">
      <c r="C632" s="46"/>
      <c r="D632" s="46"/>
    </row>
    <row r="633">
      <c r="C633" s="46"/>
      <c r="D633" s="46"/>
    </row>
    <row r="634">
      <c r="C634" s="46"/>
      <c r="D634" s="46"/>
    </row>
    <row r="635">
      <c r="C635" s="46"/>
      <c r="D635" s="46"/>
    </row>
    <row r="636">
      <c r="C636" s="46"/>
      <c r="D636" s="46"/>
    </row>
    <row r="637">
      <c r="C637" s="46"/>
      <c r="D637" s="46"/>
    </row>
    <row r="638">
      <c r="C638" s="46"/>
      <c r="D638" s="46"/>
    </row>
    <row r="639">
      <c r="C639" s="46"/>
      <c r="D639" s="46"/>
    </row>
    <row r="640">
      <c r="C640" s="46"/>
      <c r="D640" s="46"/>
    </row>
    <row r="641">
      <c r="C641" s="46"/>
      <c r="D641" s="46"/>
    </row>
    <row r="642">
      <c r="C642" s="46"/>
      <c r="D642" s="46"/>
    </row>
    <row r="643">
      <c r="C643" s="46"/>
      <c r="D643" s="46"/>
    </row>
    <row r="644">
      <c r="C644" s="46"/>
      <c r="D644" s="46"/>
    </row>
    <row r="645">
      <c r="C645" s="46"/>
      <c r="D645" s="46"/>
    </row>
    <row r="646">
      <c r="C646" s="46"/>
      <c r="D646" s="46"/>
    </row>
    <row r="647">
      <c r="C647" s="46"/>
      <c r="D647" s="46"/>
    </row>
    <row r="648">
      <c r="C648" s="46"/>
      <c r="D648" s="46"/>
    </row>
    <row r="649">
      <c r="C649" s="46"/>
      <c r="D649" s="46"/>
    </row>
    <row r="650">
      <c r="C650" s="46"/>
      <c r="D650" s="46"/>
    </row>
    <row r="651">
      <c r="C651" s="46"/>
      <c r="D651" s="46"/>
    </row>
    <row r="652">
      <c r="C652" s="46"/>
      <c r="D652" s="46"/>
    </row>
    <row r="653">
      <c r="C653" s="46"/>
      <c r="D653" s="46"/>
    </row>
    <row r="654">
      <c r="C654" s="46"/>
      <c r="D654" s="46"/>
    </row>
    <row r="655">
      <c r="C655" s="46"/>
      <c r="D655" s="46"/>
    </row>
    <row r="656">
      <c r="C656" s="46"/>
      <c r="D656" s="46"/>
    </row>
    <row r="657">
      <c r="C657" s="46"/>
      <c r="D657" s="46"/>
    </row>
    <row r="658">
      <c r="C658" s="46"/>
      <c r="D658" s="46"/>
    </row>
    <row r="659">
      <c r="C659" s="46"/>
      <c r="D659" s="46"/>
    </row>
    <row r="660">
      <c r="C660" s="46"/>
      <c r="D660" s="46"/>
    </row>
    <row r="661">
      <c r="C661" s="46"/>
      <c r="D661" s="46"/>
    </row>
    <row r="662">
      <c r="C662" s="46"/>
      <c r="D662" s="46"/>
    </row>
    <row r="663">
      <c r="C663" s="46"/>
      <c r="D663" s="46"/>
    </row>
    <row r="664">
      <c r="C664" s="46"/>
      <c r="D664" s="46"/>
    </row>
    <row r="665">
      <c r="C665" s="46"/>
      <c r="D665" s="46"/>
    </row>
    <row r="666">
      <c r="C666" s="46"/>
      <c r="D666" s="46"/>
    </row>
    <row r="667">
      <c r="C667" s="46"/>
      <c r="D667" s="46"/>
    </row>
    <row r="668">
      <c r="C668" s="46"/>
      <c r="D668" s="46"/>
    </row>
    <row r="669">
      <c r="C669" s="46"/>
      <c r="D669" s="46"/>
    </row>
    <row r="670">
      <c r="C670" s="46"/>
      <c r="D670" s="46"/>
    </row>
    <row r="671">
      <c r="C671" s="46"/>
      <c r="D671" s="46"/>
    </row>
    <row r="672">
      <c r="C672" s="46"/>
      <c r="D672" s="46"/>
    </row>
    <row r="673">
      <c r="C673" s="46"/>
      <c r="D673" s="46"/>
    </row>
    <row r="674">
      <c r="C674" s="46"/>
      <c r="D674" s="46"/>
    </row>
    <row r="675">
      <c r="C675" s="46"/>
      <c r="D675" s="46"/>
    </row>
    <row r="676">
      <c r="C676" s="46"/>
      <c r="D676" s="46"/>
    </row>
    <row r="677">
      <c r="C677" s="46"/>
      <c r="D677" s="46"/>
    </row>
    <row r="678">
      <c r="C678" s="46"/>
      <c r="D678" s="46"/>
    </row>
    <row r="679">
      <c r="C679" s="46"/>
      <c r="D679" s="46"/>
    </row>
    <row r="680">
      <c r="C680" s="46"/>
      <c r="D680" s="46"/>
    </row>
    <row r="681">
      <c r="C681" s="46"/>
      <c r="D681" s="46"/>
    </row>
    <row r="682">
      <c r="C682" s="46"/>
      <c r="D682" s="46"/>
    </row>
    <row r="683">
      <c r="C683" s="46"/>
      <c r="D683" s="46"/>
    </row>
    <row r="684">
      <c r="C684" s="46"/>
      <c r="D684" s="46"/>
    </row>
    <row r="685">
      <c r="C685" s="46"/>
      <c r="D685" s="46"/>
    </row>
    <row r="686">
      <c r="C686" s="46"/>
      <c r="D686" s="46"/>
    </row>
    <row r="687">
      <c r="C687" s="46"/>
      <c r="D687" s="46"/>
    </row>
    <row r="688">
      <c r="C688" s="46"/>
      <c r="D688" s="46"/>
    </row>
    <row r="689">
      <c r="C689" s="46"/>
      <c r="D689" s="46"/>
    </row>
    <row r="690">
      <c r="C690" s="46"/>
      <c r="D690" s="46"/>
    </row>
    <row r="691">
      <c r="C691" s="46"/>
      <c r="D691" s="46"/>
    </row>
    <row r="692">
      <c r="C692" s="46"/>
      <c r="D692" s="46"/>
    </row>
    <row r="693">
      <c r="C693" s="46"/>
      <c r="D693" s="46"/>
    </row>
    <row r="694">
      <c r="C694" s="46"/>
      <c r="D694" s="46"/>
    </row>
    <row r="695">
      <c r="C695" s="46"/>
      <c r="D695" s="46"/>
    </row>
    <row r="696">
      <c r="C696" s="46"/>
      <c r="D696" s="46"/>
    </row>
    <row r="697">
      <c r="C697" s="46"/>
      <c r="D697" s="46"/>
    </row>
    <row r="698">
      <c r="C698" s="46"/>
      <c r="D698" s="46"/>
    </row>
    <row r="699">
      <c r="C699" s="46"/>
      <c r="D699" s="46"/>
    </row>
    <row r="700">
      <c r="C700" s="46"/>
      <c r="D700" s="46"/>
    </row>
    <row r="701">
      <c r="C701" s="46"/>
      <c r="D701" s="46"/>
    </row>
    <row r="702">
      <c r="C702" s="46"/>
      <c r="D702" s="46"/>
    </row>
    <row r="703">
      <c r="C703" s="46"/>
      <c r="D703" s="46"/>
    </row>
    <row r="704">
      <c r="C704" s="46"/>
      <c r="D704" s="46"/>
    </row>
    <row r="705">
      <c r="C705" s="46"/>
      <c r="D705" s="46"/>
    </row>
    <row r="706">
      <c r="C706" s="46"/>
      <c r="D706" s="46"/>
    </row>
    <row r="707">
      <c r="C707" s="46"/>
      <c r="D707" s="46"/>
    </row>
    <row r="708">
      <c r="C708" s="46"/>
      <c r="D708" s="46"/>
    </row>
    <row r="709">
      <c r="C709" s="46"/>
      <c r="D709" s="46"/>
    </row>
    <row r="710">
      <c r="C710" s="46"/>
      <c r="D710" s="46"/>
    </row>
    <row r="711">
      <c r="C711" s="46"/>
      <c r="D711" s="46"/>
    </row>
    <row r="712">
      <c r="C712" s="46"/>
      <c r="D712" s="46"/>
    </row>
    <row r="713">
      <c r="C713" s="46"/>
      <c r="D713" s="46"/>
    </row>
    <row r="714">
      <c r="C714" s="46"/>
      <c r="D714" s="46"/>
    </row>
    <row r="715">
      <c r="C715" s="46"/>
      <c r="D715" s="46"/>
    </row>
    <row r="716">
      <c r="C716" s="46"/>
      <c r="D716" s="46"/>
    </row>
    <row r="717">
      <c r="C717" s="46"/>
      <c r="D717" s="46"/>
    </row>
    <row r="718">
      <c r="C718" s="46"/>
      <c r="D718" s="46"/>
    </row>
    <row r="719">
      <c r="C719" s="46"/>
      <c r="D719" s="46"/>
    </row>
    <row r="720">
      <c r="C720" s="46"/>
      <c r="D720" s="46"/>
    </row>
    <row r="721">
      <c r="C721" s="46"/>
      <c r="D721" s="46"/>
    </row>
    <row r="722">
      <c r="C722" s="46"/>
      <c r="D722" s="46"/>
    </row>
    <row r="723">
      <c r="C723" s="46"/>
      <c r="D723" s="46"/>
    </row>
    <row r="724">
      <c r="C724" s="46"/>
      <c r="D724" s="46"/>
    </row>
    <row r="725">
      <c r="C725" s="46"/>
      <c r="D725" s="46"/>
    </row>
    <row r="726">
      <c r="C726" s="46"/>
      <c r="D726" s="46"/>
    </row>
    <row r="727">
      <c r="C727" s="46"/>
      <c r="D727" s="46"/>
    </row>
    <row r="728">
      <c r="C728" s="46"/>
      <c r="D728" s="46"/>
    </row>
    <row r="729">
      <c r="C729" s="46"/>
      <c r="D729" s="46"/>
    </row>
    <row r="730">
      <c r="C730" s="46"/>
      <c r="D730" s="46"/>
    </row>
    <row r="731">
      <c r="C731" s="46"/>
      <c r="D731" s="46"/>
    </row>
    <row r="732">
      <c r="C732" s="46"/>
      <c r="D732" s="46"/>
    </row>
    <row r="733">
      <c r="C733" s="46"/>
      <c r="D733" s="46"/>
    </row>
    <row r="734">
      <c r="C734" s="46"/>
      <c r="D734" s="46"/>
    </row>
    <row r="735">
      <c r="C735" s="46"/>
      <c r="D735" s="46"/>
    </row>
    <row r="736">
      <c r="C736" s="46"/>
      <c r="D736" s="46"/>
    </row>
    <row r="737">
      <c r="C737" s="46"/>
      <c r="D737" s="46"/>
    </row>
    <row r="738">
      <c r="C738" s="46"/>
      <c r="D738" s="46"/>
    </row>
    <row r="739">
      <c r="C739" s="46"/>
      <c r="D739" s="46"/>
    </row>
    <row r="740">
      <c r="C740" s="46"/>
      <c r="D740" s="46"/>
    </row>
    <row r="741">
      <c r="C741" s="46"/>
      <c r="D741" s="46"/>
    </row>
    <row r="742">
      <c r="C742" s="46"/>
      <c r="D742" s="46"/>
    </row>
    <row r="743">
      <c r="C743" s="46"/>
      <c r="D743" s="46"/>
    </row>
    <row r="744">
      <c r="C744" s="46"/>
      <c r="D744" s="46"/>
    </row>
    <row r="745">
      <c r="C745" s="46"/>
      <c r="D745" s="46"/>
    </row>
    <row r="746">
      <c r="C746" s="46"/>
      <c r="D746" s="46"/>
    </row>
    <row r="747">
      <c r="C747" s="46"/>
      <c r="D747" s="46"/>
    </row>
    <row r="748">
      <c r="C748" s="46"/>
      <c r="D748" s="46"/>
    </row>
    <row r="749">
      <c r="C749" s="46"/>
      <c r="D749" s="46"/>
    </row>
    <row r="750">
      <c r="C750" s="46"/>
      <c r="D750" s="46"/>
    </row>
    <row r="751">
      <c r="C751" s="46"/>
      <c r="D751" s="46"/>
    </row>
    <row r="752">
      <c r="C752" s="46"/>
      <c r="D752" s="46"/>
    </row>
    <row r="753">
      <c r="C753" s="46"/>
      <c r="D753" s="46"/>
    </row>
    <row r="754">
      <c r="C754" s="46"/>
      <c r="D754" s="46"/>
    </row>
    <row r="755">
      <c r="C755" s="46"/>
      <c r="D755" s="46"/>
    </row>
    <row r="756">
      <c r="C756" s="46"/>
      <c r="D756" s="46"/>
    </row>
    <row r="757">
      <c r="C757" s="46"/>
      <c r="D757" s="46"/>
    </row>
    <row r="758">
      <c r="C758" s="46"/>
      <c r="D758" s="46"/>
    </row>
    <row r="759">
      <c r="C759" s="46"/>
      <c r="D759" s="46"/>
    </row>
    <row r="760">
      <c r="C760" s="46"/>
      <c r="D760" s="46"/>
    </row>
    <row r="761">
      <c r="C761" s="46"/>
      <c r="D761" s="46"/>
    </row>
    <row r="762">
      <c r="C762" s="46"/>
      <c r="D762" s="46"/>
    </row>
    <row r="763">
      <c r="C763" s="46"/>
      <c r="D763" s="46"/>
    </row>
    <row r="764">
      <c r="C764" s="46"/>
      <c r="D764" s="46"/>
    </row>
    <row r="765">
      <c r="C765" s="46"/>
      <c r="D765" s="46"/>
    </row>
    <row r="766">
      <c r="C766" s="46"/>
      <c r="D766" s="46"/>
    </row>
    <row r="767">
      <c r="C767" s="46"/>
      <c r="D767" s="46"/>
    </row>
    <row r="768">
      <c r="C768" s="46"/>
      <c r="D768" s="46"/>
    </row>
    <row r="769">
      <c r="C769" s="46"/>
      <c r="D769" s="46"/>
    </row>
    <row r="770">
      <c r="C770" s="46"/>
      <c r="D770" s="46"/>
    </row>
    <row r="771">
      <c r="C771" s="46"/>
      <c r="D771" s="46"/>
    </row>
    <row r="772">
      <c r="C772" s="46"/>
      <c r="D772" s="46"/>
    </row>
    <row r="773">
      <c r="C773" s="46"/>
      <c r="D773" s="46"/>
    </row>
    <row r="774">
      <c r="C774" s="46"/>
      <c r="D774" s="46"/>
    </row>
    <row r="775">
      <c r="C775" s="46"/>
      <c r="D775" s="46"/>
    </row>
    <row r="776">
      <c r="C776" s="46"/>
      <c r="D776" s="46"/>
    </row>
    <row r="777">
      <c r="C777" s="46"/>
      <c r="D777" s="46"/>
    </row>
    <row r="778">
      <c r="C778" s="46"/>
      <c r="D778" s="46"/>
    </row>
    <row r="779">
      <c r="C779" s="46"/>
      <c r="D779" s="46"/>
    </row>
    <row r="780">
      <c r="C780" s="46"/>
      <c r="D780" s="46"/>
    </row>
    <row r="781">
      <c r="C781" s="46"/>
      <c r="D781" s="46"/>
    </row>
    <row r="782">
      <c r="C782" s="46"/>
      <c r="D782" s="46"/>
    </row>
    <row r="783">
      <c r="C783" s="46"/>
      <c r="D783" s="46"/>
    </row>
    <row r="784">
      <c r="C784" s="46"/>
      <c r="D784" s="46"/>
    </row>
    <row r="785">
      <c r="C785" s="46"/>
      <c r="D785" s="46"/>
    </row>
    <row r="786">
      <c r="C786" s="46"/>
      <c r="D786" s="46"/>
    </row>
    <row r="787">
      <c r="C787" s="46"/>
      <c r="D787" s="46"/>
    </row>
    <row r="788">
      <c r="C788" s="46"/>
      <c r="D788" s="46"/>
    </row>
    <row r="789">
      <c r="C789" s="46"/>
      <c r="D789" s="46"/>
    </row>
    <row r="790">
      <c r="C790" s="46"/>
      <c r="D790" s="46"/>
    </row>
    <row r="791">
      <c r="C791" s="46"/>
      <c r="D791" s="46"/>
    </row>
    <row r="792">
      <c r="C792" s="46"/>
      <c r="D792" s="46"/>
    </row>
    <row r="793">
      <c r="C793" s="46"/>
      <c r="D793" s="46"/>
    </row>
    <row r="794">
      <c r="C794" s="46"/>
      <c r="D794" s="46"/>
    </row>
    <row r="795">
      <c r="C795" s="46"/>
      <c r="D795" s="46"/>
    </row>
    <row r="796">
      <c r="C796" s="46"/>
      <c r="D796" s="46"/>
    </row>
    <row r="797">
      <c r="C797" s="46"/>
      <c r="D797" s="46"/>
    </row>
    <row r="798">
      <c r="C798" s="46"/>
      <c r="D798" s="46"/>
    </row>
    <row r="799">
      <c r="C799" s="46"/>
      <c r="D799" s="46"/>
    </row>
    <row r="800">
      <c r="C800" s="46"/>
      <c r="D800" s="46"/>
    </row>
    <row r="801">
      <c r="C801" s="46"/>
      <c r="D801" s="46"/>
    </row>
    <row r="802">
      <c r="C802" s="46"/>
      <c r="D802" s="46"/>
    </row>
    <row r="803">
      <c r="C803" s="46"/>
      <c r="D803" s="46"/>
    </row>
    <row r="804">
      <c r="C804" s="46"/>
      <c r="D804" s="46"/>
    </row>
    <row r="805">
      <c r="C805" s="46"/>
      <c r="D805" s="46"/>
    </row>
    <row r="806">
      <c r="C806" s="46"/>
      <c r="D806" s="46"/>
    </row>
    <row r="807">
      <c r="C807" s="46"/>
      <c r="D807" s="46"/>
    </row>
    <row r="808">
      <c r="C808" s="46"/>
      <c r="D808" s="46"/>
    </row>
    <row r="809">
      <c r="C809" s="46"/>
      <c r="D809" s="46"/>
    </row>
    <row r="810">
      <c r="C810" s="46"/>
      <c r="D810" s="46"/>
    </row>
    <row r="811">
      <c r="C811" s="46"/>
      <c r="D811" s="46"/>
    </row>
    <row r="812">
      <c r="C812" s="46"/>
      <c r="D812" s="46"/>
    </row>
    <row r="813">
      <c r="C813" s="46"/>
      <c r="D813" s="46"/>
    </row>
    <row r="814">
      <c r="C814" s="46"/>
      <c r="D814" s="46"/>
    </row>
    <row r="815">
      <c r="C815" s="46"/>
      <c r="D815" s="46"/>
    </row>
    <row r="816">
      <c r="C816" s="46"/>
      <c r="D816" s="46"/>
    </row>
    <row r="817">
      <c r="C817" s="46"/>
      <c r="D817" s="46"/>
    </row>
    <row r="818">
      <c r="C818" s="46"/>
      <c r="D818" s="46"/>
    </row>
    <row r="819">
      <c r="C819" s="46"/>
      <c r="D819" s="46"/>
    </row>
    <row r="820">
      <c r="C820" s="46"/>
      <c r="D820" s="46"/>
    </row>
    <row r="821">
      <c r="C821" s="46"/>
      <c r="D821" s="46"/>
    </row>
    <row r="822">
      <c r="C822" s="46"/>
      <c r="D822" s="46"/>
    </row>
    <row r="823">
      <c r="C823" s="46"/>
      <c r="D823" s="46"/>
    </row>
    <row r="824">
      <c r="C824" s="46"/>
      <c r="D824" s="46"/>
    </row>
    <row r="825">
      <c r="C825" s="46"/>
      <c r="D825" s="46"/>
    </row>
    <row r="826">
      <c r="C826" s="46"/>
      <c r="D826" s="46"/>
    </row>
    <row r="827">
      <c r="C827" s="46"/>
      <c r="D827" s="46"/>
    </row>
    <row r="828">
      <c r="C828" s="46"/>
      <c r="D828" s="46"/>
    </row>
    <row r="829">
      <c r="C829" s="46"/>
      <c r="D829" s="46"/>
    </row>
    <row r="830">
      <c r="C830" s="46"/>
      <c r="D830" s="46"/>
    </row>
    <row r="831">
      <c r="C831" s="46"/>
      <c r="D831" s="46"/>
    </row>
    <row r="832">
      <c r="C832" s="46"/>
      <c r="D832" s="46"/>
    </row>
    <row r="833">
      <c r="C833" s="46"/>
      <c r="D833" s="46"/>
    </row>
    <row r="834">
      <c r="C834" s="46"/>
      <c r="D834" s="46"/>
    </row>
    <row r="835">
      <c r="C835" s="46"/>
      <c r="D835" s="46"/>
    </row>
    <row r="836">
      <c r="C836" s="46"/>
      <c r="D836" s="46"/>
    </row>
    <row r="837">
      <c r="C837" s="46"/>
      <c r="D837" s="46"/>
    </row>
    <row r="838">
      <c r="C838" s="46"/>
      <c r="D838" s="46"/>
    </row>
    <row r="839">
      <c r="C839" s="46"/>
      <c r="D839" s="46"/>
    </row>
    <row r="840">
      <c r="C840" s="46"/>
      <c r="D840" s="46"/>
    </row>
    <row r="841">
      <c r="C841" s="46"/>
      <c r="D841" s="46"/>
    </row>
    <row r="842">
      <c r="C842" s="46"/>
      <c r="D842" s="46"/>
    </row>
    <row r="843">
      <c r="C843" s="46"/>
      <c r="D843" s="46"/>
    </row>
    <row r="844">
      <c r="C844" s="46"/>
      <c r="D844" s="46"/>
    </row>
    <row r="845">
      <c r="C845" s="46"/>
      <c r="D845" s="46"/>
    </row>
    <row r="846">
      <c r="C846" s="46"/>
      <c r="D846" s="46"/>
    </row>
    <row r="847">
      <c r="C847" s="46"/>
      <c r="D847" s="46"/>
    </row>
    <row r="848">
      <c r="C848" s="46"/>
      <c r="D848" s="46"/>
    </row>
    <row r="849">
      <c r="C849" s="46"/>
      <c r="D849" s="46"/>
    </row>
    <row r="850">
      <c r="C850" s="46"/>
      <c r="D850" s="46"/>
    </row>
    <row r="851">
      <c r="C851" s="46"/>
      <c r="D851" s="46"/>
    </row>
    <row r="852">
      <c r="C852" s="46"/>
      <c r="D852" s="46"/>
    </row>
    <row r="853">
      <c r="C853" s="46"/>
      <c r="D853" s="46"/>
    </row>
    <row r="854">
      <c r="C854" s="46"/>
      <c r="D854" s="46"/>
    </row>
    <row r="855">
      <c r="C855" s="46"/>
      <c r="D855" s="46"/>
    </row>
    <row r="856">
      <c r="C856" s="46"/>
      <c r="D856" s="46"/>
    </row>
    <row r="857">
      <c r="C857" s="46"/>
      <c r="D857" s="46"/>
    </row>
    <row r="858">
      <c r="C858" s="46"/>
      <c r="D858" s="46"/>
    </row>
    <row r="859">
      <c r="C859" s="46"/>
      <c r="D859" s="46"/>
    </row>
    <row r="860">
      <c r="C860" s="46"/>
      <c r="D860" s="46"/>
    </row>
    <row r="861">
      <c r="C861" s="46"/>
      <c r="D861" s="46"/>
    </row>
    <row r="862">
      <c r="C862" s="46"/>
      <c r="D862" s="46"/>
    </row>
    <row r="863">
      <c r="C863" s="46"/>
      <c r="D863" s="46"/>
    </row>
    <row r="864">
      <c r="C864" s="46"/>
      <c r="D864" s="46"/>
    </row>
    <row r="865">
      <c r="C865" s="46"/>
      <c r="D865" s="46"/>
    </row>
    <row r="866">
      <c r="C866" s="46"/>
      <c r="D866" s="46"/>
    </row>
    <row r="867">
      <c r="C867" s="46"/>
      <c r="D867" s="46"/>
    </row>
    <row r="868">
      <c r="C868" s="46"/>
      <c r="D868" s="46"/>
    </row>
    <row r="869">
      <c r="C869" s="46"/>
      <c r="D869" s="46"/>
    </row>
    <row r="870">
      <c r="C870" s="46"/>
      <c r="D870" s="46"/>
    </row>
    <row r="871">
      <c r="C871" s="46"/>
      <c r="D871" s="46"/>
    </row>
    <row r="872">
      <c r="C872" s="46"/>
      <c r="D872" s="46"/>
    </row>
    <row r="873">
      <c r="C873" s="46"/>
      <c r="D873" s="46"/>
    </row>
    <row r="874">
      <c r="C874" s="46"/>
      <c r="D874" s="46"/>
    </row>
    <row r="875">
      <c r="C875" s="46"/>
      <c r="D875" s="46"/>
    </row>
    <row r="876">
      <c r="C876" s="46"/>
      <c r="D876" s="46"/>
    </row>
    <row r="877">
      <c r="C877" s="46"/>
      <c r="D877" s="46"/>
    </row>
    <row r="878">
      <c r="C878" s="46"/>
      <c r="D878" s="46"/>
    </row>
    <row r="879">
      <c r="C879" s="46"/>
      <c r="D879" s="46"/>
    </row>
    <row r="880">
      <c r="C880" s="46"/>
      <c r="D880" s="46"/>
    </row>
    <row r="881">
      <c r="C881" s="46"/>
      <c r="D881" s="46"/>
    </row>
    <row r="882">
      <c r="C882" s="46"/>
      <c r="D882" s="46"/>
    </row>
    <row r="883">
      <c r="C883" s="46"/>
      <c r="D883" s="46"/>
    </row>
    <row r="884">
      <c r="C884" s="46"/>
      <c r="D884" s="46"/>
    </row>
    <row r="885">
      <c r="C885" s="46"/>
      <c r="D885" s="46"/>
    </row>
    <row r="886">
      <c r="C886" s="46"/>
      <c r="D886" s="46"/>
    </row>
    <row r="887">
      <c r="C887" s="46"/>
      <c r="D887" s="46"/>
    </row>
    <row r="888">
      <c r="C888" s="46"/>
      <c r="D888" s="46"/>
    </row>
    <row r="889">
      <c r="C889" s="46"/>
      <c r="D889" s="46"/>
    </row>
    <row r="890">
      <c r="C890" s="46"/>
      <c r="D890" s="46"/>
    </row>
    <row r="891">
      <c r="C891" s="46"/>
      <c r="D891" s="46"/>
    </row>
    <row r="892">
      <c r="C892" s="46"/>
      <c r="D892" s="46"/>
    </row>
    <row r="893">
      <c r="C893" s="46"/>
      <c r="D893" s="46"/>
    </row>
    <row r="894">
      <c r="C894" s="46"/>
      <c r="D894" s="46"/>
    </row>
    <row r="895">
      <c r="C895" s="46"/>
      <c r="D895" s="46"/>
    </row>
    <row r="896">
      <c r="C896" s="46"/>
      <c r="D896" s="46"/>
    </row>
    <row r="897">
      <c r="C897" s="46"/>
      <c r="D897" s="46"/>
    </row>
    <row r="898">
      <c r="C898" s="46"/>
      <c r="D898" s="46"/>
    </row>
    <row r="899">
      <c r="C899" s="46"/>
      <c r="D899" s="46"/>
    </row>
    <row r="900">
      <c r="C900" s="46"/>
      <c r="D900" s="46"/>
    </row>
    <row r="901">
      <c r="C901" s="46"/>
      <c r="D901" s="46"/>
    </row>
    <row r="902">
      <c r="C902" s="46"/>
      <c r="D902" s="46"/>
    </row>
    <row r="903">
      <c r="C903" s="46"/>
      <c r="D903" s="46"/>
    </row>
    <row r="904">
      <c r="C904" s="46"/>
      <c r="D904" s="46"/>
    </row>
    <row r="905">
      <c r="C905" s="46"/>
      <c r="D905" s="46"/>
    </row>
    <row r="906">
      <c r="C906" s="46"/>
      <c r="D906" s="46"/>
    </row>
    <row r="907">
      <c r="C907" s="46"/>
      <c r="D907" s="46"/>
    </row>
    <row r="908">
      <c r="C908" s="46"/>
      <c r="D908" s="46"/>
    </row>
    <row r="909">
      <c r="C909" s="46"/>
      <c r="D909" s="46"/>
    </row>
    <row r="910">
      <c r="C910" s="46"/>
      <c r="D910" s="46"/>
    </row>
    <row r="911">
      <c r="C911" s="46"/>
      <c r="D911" s="46"/>
    </row>
    <row r="912">
      <c r="C912" s="46"/>
      <c r="D912" s="46"/>
    </row>
    <row r="913">
      <c r="C913" s="46"/>
      <c r="D913" s="46"/>
    </row>
    <row r="914">
      <c r="C914" s="46"/>
      <c r="D914" s="46"/>
    </row>
    <row r="915">
      <c r="C915" s="46"/>
      <c r="D915" s="46"/>
    </row>
    <row r="916">
      <c r="C916" s="46"/>
      <c r="D916" s="46"/>
    </row>
    <row r="917">
      <c r="C917" s="46"/>
      <c r="D917" s="46"/>
    </row>
    <row r="918">
      <c r="C918" s="46"/>
      <c r="D918" s="46"/>
    </row>
    <row r="919">
      <c r="C919" s="46"/>
      <c r="D919" s="46"/>
    </row>
    <row r="920">
      <c r="C920" s="46"/>
      <c r="D920" s="46"/>
    </row>
    <row r="921">
      <c r="C921" s="46"/>
      <c r="D921" s="46"/>
    </row>
    <row r="922">
      <c r="C922" s="46"/>
      <c r="D922" s="46"/>
    </row>
    <row r="923">
      <c r="C923" s="46"/>
      <c r="D923" s="46"/>
    </row>
    <row r="924">
      <c r="C924" s="46"/>
      <c r="D924" s="46"/>
    </row>
    <row r="925">
      <c r="C925" s="46"/>
      <c r="D925" s="46"/>
    </row>
    <row r="926">
      <c r="C926" s="46"/>
      <c r="D926" s="46"/>
    </row>
    <row r="927">
      <c r="C927" s="46"/>
      <c r="D927" s="46"/>
    </row>
    <row r="928">
      <c r="C928" s="46"/>
      <c r="D928" s="46"/>
    </row>
    <row r="929">
      <c r="C929" s="46"/>
      <c r="D929" s="46"/>
    </row>
    <row r="930">
      <c r="C930" s="46"/>
      <c r="D930" s="46"/>
    </row>
    <row r="931">
      <c r="C931" s="46"/>
      <c r="D931" s="46"/>
    </row>
    <row r="932">
      <c r="C932" s="46"/>
      <c r="D932" s="46"/>
    </row>
    <row r="933">
      <c r="C933" s="46"/>
      <c r="D933" s="46"/>
    </row>
    <row r="934">
      <c r="C934" s="46"/>
      <c r="D934" s="46"/>
    </row>
    <row r="935">
      <c r="C935" s="46"/>
      <c r="D935" s="46"/>
    </row>
    <row r="936">
      <c r="C936" s="46"/>
      <c r="D936" s="46"/>
    </row>
    <row r="937">
      <c r="C937" s="46"/>
      <c r="D937" s="46"/>
    </row>
    <row r="938">
      <c r="C938" s="46"/>
      <c r="D938" s="46"/>
    </row>
    <row r="939">
      <c r="C939" s="46"/>
      <c r="D939" s="46"/>
    </row>
    <row r="940">
      <c r="C940" s="46"/>
      <c r="D940" s="46"/>
    </row>
    <row r="941">
      <c r="C941" s="46"/>
      <c r="D941" s="46"/>
    </row>
    <row r="942">
      <c r="C942" s="46"/>
      <c r="D942" s="46"/>
    </row>
    <row r="943">
      <c r="C943" s="46"/>
      <c r="D943" s="46"/>
    </row>
    <row r="944">
      <c r="C944" s="46"/>
      <c r="D944" s="46"/>
    </row>
    <row r="945">
      <c r="C945" s="46"/>
      <c r="D945" s="46"/>
    </row>
    <row r="946">
      <c r="C946" s="46"/>
      <c r="D946" s="46"/>
    </row>
    <row r="947">
      <c r="C947" s="46"/>
      <c r="D947" s="46"/>
    </row>
    <row r="948">
      <c r="C948" s="46"/>
      <c r="D948" s="46"/>
    </row>
    <row r="949">
      <c r="C949" s="46"/>
      <c r="D949" s="46"/>
    </row>
    <row r="950">
      <c r="C950" s="46"/>
      <c r="D950" s="46"/>
    </row>
    <row r="951">
      <c r="C951" s="46"/>
      <c r="D951" s="46"/>
    </row>
    <row r="952">
      <c r="C952" s="46"/>
      <c r="D952" s="46"/>
    </row>
    <row r="953">
      <c r="C953" s="46"/>
      <c r="D953" s="46"/>
    </row>
    <row r="954">
      <c r="C954" s="46"/>
      <c r="D954" s="46"/>
    </row>
    <row r="955">
      <c r="C955" s="46"/>
      <c r="D955" s="46"/>
    </row>
    <row r="956">
      <c r="C956" s="46"/>
      <c r="D956" s="46"/>
    </row>
    <row r="957">
      <c r="C957" s="46"/>
      <c r="D957" s="46"/>
    </row>
    <row r="958">
      <c r="C958" s="46"/>
      <c r="D958" s="46"/>
    </row>
    <row r="959">
      <c r="C959" s="46"/>
      <c r="D959" s="46"/>
    </row>
    <row r="960">
      <c r="C960" s="46"/>
      <c r="D960" s="46"/>
    </row>
    <row r="961">
      <c r="C961" s="46"/>
      <c r="D961" s="46"/>
    </row>
    <row r="962">
      <c r="C962" s="46"/>
      <c r="D962" s="46"/>
    </row>
    <row r="963">
      <c r="C963" s="46"/>
      <c r="D963" s="46"/>
    </row>
    <row r="964">
      <c r="C964" s="46"/>
      <c r="D964" s="46"/>
    </row>
    <row r="965">
      <c r="C965" s="46"/>
      <c r="D965" s="46"/>
    </row>
    <row r="966">
      <c r="C966" s="46"/>
      <c r="D966" s="46"/>
    </row>
    <row r="967">
      <c r="C967" s="46"/>
      <c r="D967" s="46"/>
    </row>
    <row r="968">
      <c r="C968" s="46"/>
      <c r="D968" s="46"/>
    </row>
    <row r="969">
      <c r="C969" s="46"/>
      <c r="D969" s="46"/>
    </row>
    <row r="970">
      <c r="C970" s="46"/>
      <c r="D970" s="46"/>
    </row>
    <row r="971">
      <c r="C971" s="46"/>
      <c r="D971" s="46"/>
    </row>
    <row r="972">
      <c r="C972" s="46"/>
      <c r="D972" s="46"/>
    </row>
    <row r="973">
      <c r="C973" s="46"/>
      <c r="D973" s="46"/>
    </row>
    <row r="974">
      <c r="C974" s="46"/>
      <c r="D974" s="46"/>
    </row>
    <row r="975">
      <c r="C975" s="46"/>
      <c r="D975" s="46"/>
    </row>
    <row r="976">
      <c r="C976" s="46"/>
      <c r="D976" s="46"/>
    </row>
    <row r="977">
      <c r="C977" s="46"/>
      <c r="D977" s="46"/>
    </row>
    <row r="978">
      <c r="C978" s="46"/>
      <c r="D978" s="46"/>
    </row>
    <row r="979">
      <c r="C979" s="46"/>
      <c r="D979" s="46"/>
    </row>
    <row r="980">
      <c r="C980" s="46"/>
      <c r="D980" s="46"/>
    </row>
    <row r="981">
      <c r="C981" s="46"/>
      <c r="D981" s="46"/>
    </row>
    <row r="982">
      <c r="C982" s="46"/>
      <c r="D982" s="46"/>
    </row>
    <row r="983">
      <c r="C983" s="46"/>
      <c r="D983" s="46"/>
    </row>
    <row r="984">
      <c r="C984" s="46"/>
      <c r="D984" s="46"/>
    </row>
    <row r="985">
      <c r="C985" s="46"/>
      <c r="D985" s="46"/>
    </row>
    <row r="986">
      <c r="C986" s="46"/>
      <c r="D986" s="46"/>
    </row>
    <row r="987">
      <c r="C987" s="46"/>
      <c r="D987" s="46"/>
    </row>
    <row r="988">
      <c r="C988" s="46"/>
      <c r="D988" s="46"/>
    </row>
    <row r="989">
      <c r="C989" s="46"/>
      <c r="D989" s="46"/>
    </row>
    <row r="990">
      <c r="C990" s="46"/>
      <c r="D990" s="46"/>
    </row>
    <row r="991">
      <c r="C991" s="46"/>
      <c r="D991" s="46"/>
    </row>
    <row r="992">
      <c r="C992" s="46"/>
      <c r="D992" s="46"/>
    </row>
    <row r="993">
      <c r="C993" s="46"/>
      <c r="D993" s="46"/>
    </row>
    <row r="994">
      <c r="C994" s="46"/>
      <c r="D994" s="46"/>
    </row>
    <row r="995">
      <c r="C995" s="46"/>
      <c r="D995" s="46"/>
    </row>
    <row r="996">
      <c r="C996" s="46"/>
      <c r="D996" s="46"/>
    </row>
    <row r="997">
      <c r="C997" s="46"/>
      <c r="D997" s="46"/>
    </row>
    <row r="998">
      <c r="C998" s="46"/>
      <c r="D998" s="46"/>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29"/>
    <col customWidth="1" min="2" max="3" width="41.86"/>
    <col customWidth="1" min="4" max="4" width="47.71"/>
  </cols>
  <sheetData>
    <row r="1">
      <c r="A1" s="56" t="s">
        <v>3</v>
      </c>
      <c r="B1" s="57" t="s">
        <v>6</v>
      </c>
      <c r="C1" s="5" t="s">
        <v>7</v>
      </c>
      <c r="D1" s="5" t="s">
        <v>8</v>
      </c>
    </row>
    <row r="2">
      <c r="A2" s="58" t="s">
        <v>1246</v>
      </c>
      <c r="B2" s="58"/>
      <c r="C2" s="58" t="s">
        <v>1247</v>
      </c>
      <c r="D2" s="58" t="s">
        <v>1248</v>
      </c>
    </row>
    <row r="3">
      <c r="A3" s="58" t="s">
        <v>1249</v>
      </c>
      <c r="B3" s="58"/>
      <c r="C3" s="58" t="s">
        <v>1250</v>
      </c>
      <c r="D3" s="58" t="s">
        <v>1251</v>
      </c>
    </row>
    <row r="4">
      <c r="A4" s="58" t="s">
        <v>1252</v>
      </c>
      <c r="B4" s="58"/>
      <c r="C4" s="58" t="s">
        <v>1253</v>
      </c>
      <c r="D4" s="58" t="s">
        <v>1254</v>
      </c>
    </row>
    <row r="5">
      <c r="A5" s="58" t="s">
        <v>1255</v>
      </c>
      <c r="B5" s="58"/>
      <c r="C5" s="58" t="s">
        <v>1256</v>
      </c>
      <c r="D5" s="58" t="s">
        <v>1257</v>
      </c>
    </row>
    <row r="6">
      <c r="A6" s="58" t="s">
        <v>1258</v>
      </c>
      <c r="B6" s="58"/>
      <c r="C6" s="58" t="s">
        <v>1259</v>
      </c>
      <c r="D6" s="58" t="s">
        <v>1260</v>
      </c>
    </row>
    <row r="7">
      <c r="A7" s="58" t="s">
        <v>1261</v>
      </c>
      <c r="B7" s="58"/>
      <c r="C7" s="58" t="s">
        <v>1262</v>
      </c>
      <c r="D7" s="58" t="s">
        <v>1263</v>
      </c>
    </row>
    <row r="8">
      <c r="A8" s="58" t="s">
        <v>1264</v>
      </c>
      <c r="B8" s="58"/>
      <c r="C8" s="58" t="s">
        <v>1265</v>
      </c>
      <c r="D8" s="58" t="s">
        <v>1266</v>
      </c>
    </row>
    <row r="9">
      <c r="A9" s="58" t="s">
        <v>1267</v>
      </c>
      <c r="B9" s="58"/>
      <c r="C9" s="58" t="s">
        <v>1268</v>
      </c>
      <c r="D9" s="58" t="s">
        <v>400</v>
      </c>
    </row>
    <row r="10">
      <c r="A10" s="58" t="s">
        <v>1269</v>
      </c>
      <c r="B10" s="58"/>
      <c r="C10" s="58" t="s">
        <v>1270</v>
      </c>
      <c r="D10" s="58" t="s">
        <v>1271</v>
      </c>
    </row>
    <row r="11">
      <c r="A11" s="58" t="s">
        <v>1272</v>
      </c>
      <c r="B11" s="58"/>
      <c r="C11" s="58" t="s">
        <v>1273</v>
      </c>
      <c r="D11" s="58" t="s">
        <v>1274</v>
      </c>
    </row>
    <row r="12">
      <c r="A12" s="58" t="s">
        <v>1275</v>
      </c>
      <c r="B12" s="58"/>
      <c r="C12" s="58" t="s">
        <v>1276</v>
      </c>
      <c r="D12" s="58" t="s">
        <v>1277</v>
      </c>
    </row>
    <row r="13">
      <c r="A13" s="58" t="s">
        <v>1278</v>
      </c>
      <c r="B13" s="58"/>
      <c r="C13" s="58" t="s">
        <v>1279</v>
      </c>
      <c r="D13" s="58" t="s">
        <v>1280</v>
      </c>
    </row>
    <row r="14">
      <c r="A14" s="58" t="s">
        <v>1281</v>
      </c>
      <c r="B14" s="58"/>
      <c r="C14" s="58" t="s">
        <v>1282</v>
      </c>
      <c r="D14" s="58" t="s">
        <v>952</v>
      </c>
    </row>
    <row r="15">
      <c r="A15" s="58" t="s">
        <v>1283</v>
      </c>
      <c r="B15" s="58"/>
      <c r="C15" s="58" t="s">
        <v>1284</v>
      </c>
      <c r="D15" s="58" t="s">
        <v>1285</v>
      </c>
    </row>
    <row r="16">
      <c r="A16" s="58" t="s">
        <v>1286</v>
      </c>
      <c r="B16" s="58"/>
      <c r="C16" s="58" t="s">
        <v>1287</v>
      </c>
      <c r="D16" s="58" t="s">
        <v>1288</v>
      </c>
    </row>
    <row r="17">
      <c r="A17" s="58" t="s">
        <v>1289</v>
      </c>
      <c r="B17" s="58"/>
      <c r="C17" s="58" t="s">
        <v>1290</v>
      </c>
      <c r="D17" s="58" t="s">
        <v>1291</v>
      </c>
    </row>
    <row r="18">
      <c r="A18" s="58" t="s">
        <v>1292</v>
      </c>
      <c r="B18" s="58"/>
      <c r="C18" s="58" t="s">
        <v>1293</v>
      </c>
      <c r="D18" s="58" t="s">
        <v>1294</v>
      </c>
    </row>
    <row r="19">
      <c r="A19" s="58" t="s">
        <v>1295</v>
      </c>
      <c r="B19" s="58"/>
      <c r="C19" s="58" t="s">
        <v>1296</v>
      </c>
      <c r="D19" s="58" t="s">
        <v>1297</v>
      </c>
    </row>
    <row r="20">
      <c r="A20" s="58" t="s">
        <v>1298</v>
      </c>
      <c r="B20" s="58"/>
      <c r="C20" s="58" t="s">
        <v>1270</v>
      </c>
      <c r="D20" s="58" t="s">
        <v>1271</v>
      </c>
    </row>
    <row r="21">
      <c r="A21" s="58" t="s">
        <v>1299</v>
      </c>
      <c r="B21" s="58"/>
      <c r="C21" s="58" t="s">
        <v>1300</v>
      </c>
      <c r="D21" s="58" t="s">
        <v>1301</v>
      </c>
    </row>
    <row r="22">
      <c r="A22" s="58" t="s">
        <v>1302</v>
      </c>
      <c r="B22" s="58"/>
      <c r="C22" s="58" t="s">
        <v>1303</v>
      </c>
      <c r="D22" s="58" t="s">
        <v>1128</v>
      </c>
    </row>
    <row r="23">
      <c r="A23" s="58" t="s">
        <v>546</v>
      </c>
      <c r="B23" s="58"/>
      <c r="C23" s="58" t="s">
        <v>1304</v>
      </c>
      <c r="D23" s="58" t="s">
        <v>1305</v>
      </c>
    </row>
    <row r="24">
      <c r="A24" s="58" t="s">
        <v>1306</v>
      </c>
      <c r="B24" s="58"/>
      <c r="C24" s="58" t="s">
        <v>1307</v>
      </c>
      <c r="D24" s="59" t="s">
        <v>1308</v>
      </c>
    </row>
    <row r="25">
      <c r="A25" s="58" t="s">
        <v>1309</v>
      </c>
      <c r="B25" s="58"/>
      <c r="C25" s="58" t="s">
        <v>1310</v>
      </c>
      <c r="D25" s="58" t="s">
        <v>1183</v>
      </c>
    </row>
    <row r="26">
      <c r="A26" s="58" t="s">
        <v>1311</v>
      </c>
      <c r="B26" s="58"/>
      <c r="C26" s="58" t="s">
        <v>1312</v>
      </c>
      <c r="D26" s="58" t="s">
        <v>1313</v>
      </c>
    </row>
    <row r="27">
      <c r="A27" s="58" t="s">
        <v>1314</v>
      </c>
      <c r="B27" s="58"/>
      <c r="C27" s="58" t="s">
        <v>1315</v>
      </c>
      <c r="D27" s="58" t="s">
        <v>1316</v>
      </c>
    </row>
    <row r="28">
      <c r="A28" s="58" t="s">
        <v>1317</v>
      </c>
      <c r="B28" s="58"/>
      <c r="C28" s="58" t="s">
        <v>1318</v>
      </c>
      <c r="D28" s="60" t="s">
        <v>1319</v>
      </c>
    </row>
    <row r="29">
      <c r="A29" s="58" t="s">
        <v>389</v>
      </c>
      <c r="B29" s="58"/>
      <c r="C29" s="58" t="s">
        <v>391</v>
      </c>
      <c r="D29" s="58" t="s">
        <v>16</v>
      </c>
    </row>
    <row r="30">
      <c r="A30" s="58" t="s">
        <v>1320</v>
      </c>
      <c r="B30" s="58"/>
      <c r="C30" s="58" t="s">
        <v>1321</v>
      </c>
      <c r="D30" s="58" t="s">
        <v>1322</v>
      </c>
    </row>
    <row r="31">
      <c r="A31" s="58" t="s">
        <v>1323</v>
      </c>
      <c r="B31" s="58"/>
      <c r="C31" s="58" t="s">
        <v>1324</v>
      </c>
      <c r="D31" s="58" t="s">
        <v>1325</v>
      </c>
    </row>
    <row r="32">
      <c r="A32" s="58" t="s">
        <v>1326</v>
      </c>
      <c r="B32" s="58"/>
      <c r="C32" s="58" t="s">
        <v>1327</v>
      </c>
      <c r="D32" s="61" t="s">
        <v>1328</v>
      </c>
    </row>
    <row r="33">
      <c r="A33" s="58" t="s">
        <v>1329</v>
      </c>
      <c r="B33" s="58"/>
      <c r="C33" s="58" t="s">
        <v>1330</v>
      </c>
      <c r="D33" s="58" t="s">
        <v>1331</v>
      </c>
    </row>
    <row r="34">
      <c r="A34" s="58" t="s">
        <v>1332</v>
      </c>
      <c r="B34" s="58"/>
      <c r="C34" s="58" t="s">
        <v>1333</v>
      </c>
      <c r="D34" s="58" t="s">
        <v>1334</v>
      </c>
    </row>
    <row r="35">
      <c r="A35" s="58" t="s">
        <v>1335</v>
      </c>
      <c r="B35" s="58"/>
      <c r="C35" s="58" t="s">
        <v>1336</v>
      </c>
      <c r="D35" s="58" t="s">
        <v>1337</v>
      </c>
    </row>
    <row r="36">
      <c r="A36" s="58" t="s">
        <v>1338</v>
      </c>
      <c r="B36" s="58"/>
      <c r="C36" s="58" t="s">
        <v>1339</v>
      </c>
      <c r="D36" s="58" t="s">
        <v>1340</v>
      </c>
    </row>
    <row r="37">
      <c r="A37" s="58" t="s">
        <v>1341</v>
      </c>
      <c r="B37" s="58"/>
      <c r="C37" s="58" t="s">
        <v>1342</v>
      </c>
      <c r="D37" s="58" t="s">
        <v>1343</v>
      </c>
    </row>
    <row r="38">
      <c r="A38" s="58" t="s">
        <v>1344</v>
      </c>
      <c r="B38" s="58"/>
      <c r="C38" s="58" t="s">
        <v>1345</v>
      </c>
      <c r="D38" s="58" t="s">
        <v>1346</v>
      </c>
    </row>
    <row r="39">
      <c r="A39" s="58" t="s">
        <v>1347</v>
      </c>
      <c r="B39" s="58"/>
      <c r="C39" s="58" t="s">
        <v>391</v>
      </c>
      <c r="D39" s="58" t="s">
        <v>16</v>
      </c>
    </row>
    <row r="40">
      <c r="A40" s="62"/>
      <c r="B40" s="59"/>
      <c r="C40" s="59" t="s">
        <v>1348</v>
      </c>
      <c r="D40" s="59" t="s">
        <v>1349</v>
      </c>
    </row>
    <row r="41">
      <c r="A41" s="62"/>
      <c r="B41" s="15"/>
      <c r="C41" s="15" t="s">
        <v>1350</v>
      </c>
      <c r="D41" s="59" t="s">
        <v>1351</v>
      </c>
    </row>
    <row r="42">
      <c r="A42" s="62"/>
      <c r="B42" s="15"/>
      <c r="C42" s="15" t="s">
        <v>1352</v>
      </c>
      <c r="D42" s="59" t="s">
        <v>1353</v>
      </c>
    </row>
    <row r="43">
      <c r="A43" s="62"/>
      <c r="B43" s="20" t="s">
        <v>1354</v>
      </c>
      <c r="C43" s="63" t="s">
        <v>142</v>
      </c>
      <c r="D43" s="63" t="s">
        <v>143</v>
      </c>
    </row>
    <row r="44">
      <c r="A44" s="62"/>
      <c r="C44" s="63" t="s">
        <v>144</v>
      </c>
      <c r="D44" s="63" t="s">
        <v>145</v>
      </c>
    </row>
    <row r="45">
      <c r="A45" s="62"/>
      <c r="C45" s="63" t="s">
        <v>146</v>
      </c>
      <c r="D45" s="63" t="s">
        <v>147</v>
      </c>
    </row>
    <row r="46">
      <c r="A46" s="62"/>
      <c r="B46" s="7"/>
      <c r="C46" s="62"/>
      <c r="D46" s="62"/>
    </row>
    <row r="47">
      <c r="A47" s="62"/>
      <c r="B47" s="7"/>
      <c r="C47" s="62"/>
      <c r="D47" s="62"/>
    </row>
    <row r="48">
      <c r="A48" s="62"/>
      <c r="B48" s="7"/>
      <c r="C48" s="62"/>
      <c r="D48" s="62"/>
    </row>
    <row r="49">
      <c r="A49" s="62"/>
      <c r="B49" s="7"/>
      <c r="C49" s="62"/>
      <c r="D49" s="62"/>
    </row>
    <row r="50">
      <c r="A50" s="62"/>
      <c r="B50" s="7"/>
      <c r="C50" s="62"/>
      <c r="D50" s="62"/>
    </row>
    <row r="51">
      <c r="A51" s="62"/>
      <c r="B51" s="7"/>
      <c r="C51" s="62"/>
      <c r="D51" s="62"/>
    </row>
    <row r="52">
      <c r="A52" s="62"/>
      <c r="B52" s="7"/>
      <c r="C52" s="62"/>
      <c r="D52" s="62"/>
    </row>
    <row r="53">
      <c r="A53" s="62"/>
      <c r="B53" s="7"/>
      <c r="C53" s="62"/>
      <c r="D53" s="62"/>
    </row>
    <row r="54">
      <c r="A54" s="62"/>
      <c r="B54" s="7"/>
      <c r="C54" s="62"/>
      <c r="D54" s="62"/>
    </row>
    <row r="55">
      <c r="A55" s="62"/>
      <c r="B55" s="7"/>
      <c r="C55" s="62"/>
      <c r="D55" s="62"/>
    </row>
    <row r="56">
      <c r="A56" s="62"/>
      <c r="B56" s="7"/>
      <c r="C56" s="62"/>
      <c r="D56" s="62"/>
    </row>
    <row r="57">
      <c r="A57" s="62"/>
      <c r="B57" s="7"/>
      <c r="C57" s="62"/>
      <c r="D57" s="62"/>
    </row>
    <row r="58">
      <c r="A58" s="62"/>
      <c r="B58" s="7"/>
      <c r="C58" s="62"/>
      <c r="D58" s="62"/>
    </row>
    <row r="59">
      <c r="A59" s="62"/>
      <c r="B59" s="7"/>
      <c r="C59" s="62"/>
      <c r="D59" s="62"/>
    </row>
    <row r="60">
      <c r="A60" s="62"/>
      <c r="B60" s="7"/>
      <c r="C60" s="62"/>
      <c r="D60" s="62"/>
    </row>
    <row r="61">
      <c r="A61" s="62"/>
      <c r="B61" s="7"/>
      <c r="C61" s="62"/>
      <c r="D61" s="62"/>
    </row>
    <row r="62">
      <c r="A62" s="62"/>
      <c r="B62" s="7"/>
      <c r="C62" s="62"/>
      <c r="D62" s="62"/>
    </row>
    <row r="63">
      <c r="A63" s="62"/>
      <c r="B63" s="7"/>
      <c r="C63" s="62"/>
      <c r="D63" s="62"/>
    </row>
    <row r="64">
      <c r="A64" s="62"/>
      <c r="B64" s="7"/>
      <c r="C64" s="62"/>
      <c r="D64" s="62"/>
    </row>
    <row r="65">
      <c r="A65" s="62"/>
      <c r="B65" s="7"/>
      <c r="C65" s="62"/>
      <c r="D65" s="62"/>
    </row>
    <row r="66">
      <c r="A66" s="62"/>
      <c r="B66" s="7"/>
      <c r="C66" s="62"/>
      <c r="D66" s="62"/>
    </row>
    <row r="67">
      <c r="A67" s="62"/>
      <c r="B67" s="7"/>
      <c r="C67" s="62"/>
      <c r="D67" s="62"/>
    </row>
    <row r="68">
      <c r="A68" s="62"/>
      <c r="B68" s="7"/>
      <c r="C68" s="62"/>
      <c r="D68" s="62"/>
    </row>
    <row r="69">
      <c r="A69" s="62"/>
      <c r="B69" s="7"/>
      <c r="C69" s="62"/>
      <c r="D69" s="62"/>
    </row>
    <row r="70">
      <c r="A70" s="62"/>
      <c r="B70" s="7"/>
      <c r="C70" s="62"/>
      <c r="D70" s="62"/>
    </row>
    <row r="71">
      <c r="A71" s="62"/>
      <c r="B71" s="7"/>
      <c r="C71" s="62"/>
      <c r="D71" s="62"/>
    </row>
    <row r="72">
      <c r="A72" s="62"/>
      <c r="B72" s="7"/>
      <c r="C72" s="62"/>
      <c r="D72" s="62"/>
    </row>
    <row r="73">
      <c r="A73" s="62"/>
      <c r="B73" s="7"/>
      <c r="C73" s="62"/>
      <c r="D73" s="62"/>
    </row>
    <row r="74">
      <c r="A74" s="62"/>
      <c r="B74" s="7"/>
      <c r="C74" s="62"/>
      <c r="D74" s="62"/>
    </row>
    <row r="75">
      <c r="A75" s="62"/>
      <c r="B75" s="7"/>
      <c r="C75" s="62"/>
      <c r="D75" s="62"/>
    </row>
    <row r="76">
      <c r="A76" s="62"/>
      <c r="B76" s="7"/>
      <c r="C76" s="62"/>
      <c r="D76" s="62"/>
    </row>
    <row r="77">
      <c r="A77" s="62"/>
      <c r="B77" s="7"/>
      <c r="C77" s="62"/>
      <c r="D77" s="62"/>
    </row>
    <row r="78">
      <c r="A78" s="62"/>
      <c r="B78" s="7"/>
      <c r="C78" s="62"/>
      <c r="D78" s="62"/>
    </row>
    <row r="79">
      <c r="A79" s="62"/>
      <c r="B79" s="7"/>
      <c r="C79" s="62"/>
      <c r="D79" s="62"/>
    </row>
    <row r="80">
      <c r="A80" s="62"/>
      <c r="B80" s="7"/>
      <c r="C80" s="62"/>
      <c r="D80" s="62"/>
    </row>
    <row r="81">
      <c r="A81" s="62"/>
      <c r="B81" s="7"/>
      <c r="C81" s="62"/>
      <c r="D81" s="62"/>
    </row>
    <row r="82">
      <c r="A82" s="62"/>
      <c r="B82" s="7"/>
      <c r="C82" s="62"/>
      <c r="D82" s="62"/>
    </row>
    <row r="83">
      <c r="A83" s="62"/>
      <c r="B83" s="7"/>
      <c r="C83" s="62"/>
      <c r="D83" s="62"/>
    </row>
    <row r="84">
      <c r="A84" s="62"/>
      <c r="B84" s="7"/>
      <c r="C84" s="62"/>
      <c r="D84" s="62"/>
    </row>
    <row r="85">
      <c r="A85" s="62"/>
      <c r="B85" s="7"/>
      <c r="C85" s="62"/>
      <c r="D85" s="62"/>
    </row>
    <row r="86">
      <c r="A86" s="62"/>
      <c r="B86" s="7"/>
      <c r="C86" s="62"/>
      <c r="D86" s="62"/>
    </row>
    <row r="87">
      <c r="A87" s="62"/>
      <c r="B87" s="7"/>
      <c r="C87" s="62"/>
      <c r="D87" s="62"/>
    </row>
    <row r="88">
      <c r="A88" s="62"/>
      <c r="B88" s="7"/>
      <c r="C88" s="62"/>
      <c r="D88" s="62"/>
    </row>
    <row r="89">
      <c r="A89" s="62"/>
      <c r="B89" s="7"/>
      <c r="C89" s="62"/>
      <c r="D89" s="62"/>
    </row>
    <row r="90">
      <c r="A90" s="62"/>
      <c r="B90" s="7"/>
      <c r="C90" s="62"/>
      <c r="D90" s="62"/>
    </row>
    <row r="91">
      <c r="A91" s="62"/>
      <c r="B91" s="7"/>
      <c r="C91" s="62"/>
      <c r="D91" s="62"/>
    </row>
    <row r="92">
      <c r="A92" s="62"/>
      <c r="B92" s="7"/>
      <c r="C92" s="62"/>
      <c r="D92" s="62"/>
    </row>
    <row r="93">
      <c r="A93" s="62"/>
      <c r="B93" s="7"/>
      <c r="C93" s="62"/>
      <c r="D93" s="62"/>
    </row>
    <row r="94">
      <c r="A94" s="62"/>
      <c r="B94" s="7"/>
      <c r="C94" s="62"/>
      <c r="D94" s="62"/>
    </row>
    <row r="95">
      <c r="A95" s="62"/>
      <c r="B95" s="7"/>
      <c r="C95" s="62"/>
      <c r="D95" s="62"/>
    </row>
    <row r="96">
      <c r="A96" s="62"/>
      <c r="B96" s="7"/>
      <c r="C96" s="62"/>
      <c r="D96" s="62"/>
    </row>
    <row r="97">
      <c r="A97" s="62"/>
      <c r="B97" s="7"/>
      <c r="C97" s="62"/>
      <c r="D97" s="62"/>
    </row>
    <row r="98">
      <c r="A98" s="62"/>
      <c r="B98" s="7"/>
      <c r="C98" s="62"/>
      <c r="D98" s="62"/>
    </row>
    <row r="99">
      <c r="A99" s="62"/>
      <c r="B99" s="7"/>
      <c r="C99" s="62"/>
      <c r="D99" s="62"/>
    </row>
    <row r="100">
      <c r="A100" s="62"/>
      <c r="B100" s="7"/>
      <c r="C100" s="62"/>
      <c r="D100" s="62"/>
    </row>
    <row r="101">
      <c r="A101" s="62"/>
      <c r="B101" s="7"/>
      <c r="C101" s="62"/>
      <c r="D101" s="62"/>
    </row>
    <row r="102">
      <c r="A102" s="62"/>
      <c r="B102" s="7"/>
      <c r="C102" s="62"/>
      <c r="D102" s="62"/>
    </row>
    <row r="103">
      <c r="A103" s="62"/>
      <c r="B103" s="7"/>
      <c r="C103" s="62"/>
      <c r="D103" s="62"/>
    </row>
    <row r="104">
      <c r="A104" s="62"/>
      <c r="B104" s="7"/>
      <c r="C104" s="62"/>
      <c r="D104" s="62"/>
    </row>
    <row r="105">
      <c r="A105" s="62"/>
      <c r="B105" s="7"/>
      <c r="C105" s="62"/>
      <c r="D105" s="62"/>
    </row>
    <row r="106">
      <c r="A106" s="62"/>
      <c r="B106" s="7"/>
      <c r="C106" s="62"/>
      <c r="D106" s="62"/>
    </row>
    <row r="107">
      <c r="A107" s="62"/>
      <c r="B107" s="7"/>
      <c r="C107" s="62"/>
      <c r="D107" s="62"/>
    </row>
    <row r="108">
      <c r="A108" s="62"/>
      <c r="B108" s="7"/>
      <c r="C108" s="62"/>
      <c r="D108" s="62"/>
    </row>
    <row r="109">
      <c r="A109" s="62"/>
      <c r="B109" s="7"/>
      <c r="C109" s="62"/>
      <c r="D109" s="62"/>
    </row>
    <row r="110">
      <c r="A110" s="62"/>
      <c r="B110" s="7"/>
      <c r="C110" s="62"/>
      <c r="D110" s="62"/>
    </row>
    <row r="111">
      <c r="A111" s="62"/>
      <c r="B111" s="7"/>
      <c r="C111" s="62"/>
      <c r="D111" s="62"/>
    </row>
    <row r="112">
      <c r="A112" s="62"/>
      <c r="B112" s="7"/>
      <c r="C112" s="62"/>
      <c r="D112" s="62"/>
    </row>
    <row r="113">
      <c r="A113" s="62"/>
      <c r="B113" s="7"/>
      <c r="C113" s="62"/>
      <c r="D113" s="62"/>
    </row>
    <row r="114">
      <c r="A114" s="62"/>
      <c r="B114" s="7"/>
      <c r="C114" s="62"/>
      <c r="D114" s="62"/>
    </row>
    <row r="115">
      <c r="A115" s="62"/>
      <c r="B115" s="7"/>
      <c r="C115" s="62"/>
      <c r="D115" s="62"/>
    </row>
    <row r="116">
      <c r="A116" s="62"/>
      <c r="B116" s="7"/>
      <c r="C116" s="62"/>
      <c r="D116" s="62"/>
    </row>
    <row r="117">
      <c r="A117" s="62"/>
      <c r="B117" s="7"/>
      <c r="C117" s="62"/>
      <c r="D117" s="62"/>
    </row>
    <row r="118">
      <c r="A118" s="62"/>
      <c r="B118" s="7"/>
      <c r="C118" s="62"/>
      <c r="D118" s="62"/>
    </row>
    <row r="119">
      <c r="A119" s="62"/>
      <c r="B119" s="7"/>
      <c r="C119" s="62"/>
      <c r="D119" s="62"/>
    </row>
    <row r="120">
      <c r="A120" s="62"/>
      <c r="B120" s="7"/>
      <c r="C120" s="62"/>
      <c r="D120" s="62"/>
    </row>
    <row r="121">
      <c r="A121" s="62"/>
      <c r="B121" s="7"/>
      <c r="C121" s="62"/>
      <c r="D121" s="62"/>
    </row>
    <row r="122">
      <c r="A122" s="62"/>
      <c r="B122" s="7"/>
      <c r="C122" s="62"/>
      <c r="D122" s="62"/>
    </row>
    <row r="123">
      <c r="A123" s="62"/>
      <c r="B123" s="7"/>
      <c r="C123" s="62"/>
      <c r="D123" s="62"/>
    </row>
    <row r="124">
      <c r="A124" s="62"/>
      <c r="B124" s="7"/>
      <c r="C124" s="62"/>
      <c r="D124" s="62"/>
    </row>
    <row r="125">
      <c r="A125" s="62"/>
      <c r="B125" s="7"/>
      <c r="C125" s="62"/>
      <c r="D125" s="62"/>
    </row>
    <row r="126">
      <c r="A126" s="62"/>
      <c r="B126" s="7"/>
      <c r="C126" s="62"/>
      <c r="D126" s="62"/>
    </row>
    <row r="127">
      <c r="A127" s="62"/>
      <c r="B127" s="7"/>
      <c r="C127" s="62"/>
      <c r="D127" s="62"/>
    </row>
    <row r="128">
      <c r="A128" s="62"/>
      <c r="B128" s="7"/>
      <c r="C128" s="62"/>
      <c r="D128" s="62"/>
    </row>
    <row r="129">
      <c r="A129" s="62"/>
      <c r="B129" s="7"/>
      <c r="C129" s="62"/>
      <c r="D129" s="62"/>
    </row>
    <row r="130">
      <c r="A130" s="62"/>
      <c r="B130" s="7"/>
      <c r="C130" s="62"/>
      <c r="D130" s="62"/>
    </row>
    <row r="131">
      <c r="A131" s="62"/>
      <c r="B131" s="7"/>
      <c r="C131" s="62"/>
      <c r="D131" s="62"/>
    </row>
    <row r="132">
      <c r="A132" s="62"/>
      <c r="B132" s="7"/>
      <c r="C132" s="62"/>
      <c r="D132" s="62"/>
    </row>
    <row r="133">
      <c r="A133" s="62"/>
      <c r="B133" s="7"/>
      <c r="C133" s="62"/>
      <c r="D133" s="62"/>
    </row>
    <row r="134">
      <c r="A134" s="62"/>
      <c r="B134" s="7"/>
      <c r="C134" s="62"/>
      <c r="D134" s="62"/>
    </row>
    <row r="135">
      <c r="A135" s="62"/>
      <c r="B135" s="7"/>
      <c r="C135" s="62"/>
      <c r="D135" s="62"/>
    </row>
    <row r="136">
      <c r="A136" s="62"/>
      <c r="B136" s="7"/>
      <c r="C136" s="62"/>
      <c r="D136" s="62"/>
    </row>
    <row r="137">
      <c r="A137" s="62"/>
      <c r="B137" s="7"/>
      <c r="C137" s="62"/>
      <c r="D137" s="62"/>
    </row>
    <row r="138">
      <c r="A138" s="62"/>
      <c r="B138" s="7"/>
      <c r="C138" s="62"/>
      <c r="D138" s="62"/>
    </row>
    <row r="139">
      <c r="A139" s="62"/>
      <c r="B139" s="7"/>
      <c r="C139" s="62"/>
      <c r="D139" s="62"/>
    </row>
    <row r="140">
      <c r="A140" s="62"/>
      <c r="B140" s="7"/>
      <c r="C140" s="62"/>
      <c r="D140" s="62"/>
    </row>
    <row r="141">
      <c r="A141" s="62"/>
      <c r="B141" s="7"/>
      <c r="C141" s="62"/>
      <c r="D141" s="62"/>
    </row>
    <row r="142">
      <c r="A142" s="62"/>
      <c r="B142" s="7"/>
      <c r="C142" s="62"/>
      <c r="D142" s="62"/>
    </row>
    <row r="143">
      <c r="A143" s="62"/>
      <c r="B143" s="7"/>
      <c r="C143" s="62"/>
      <c r="D143" s="62"/>
    </row>
    <row r="144">
      <c r="A144" s="62"/>
      <c r="B144" s="7"/>
      <c r="C144" s="62"/>
      <c r="D144" s="62"/>
    </row>
    <row r="145">
      <c r="A145" s="62"/>
      <c r="B145" s="7"/>
      <c r="C145" s="62"/>
      <c r="D145" s="62"/>
    </row>
    <row r="146">
      <c r="A146" s="62"/>
      <c r="B146" s="7"/>
      <c r="C146" s="62"/>
      <c r="D146" s="62"/>
    </row>
    <row r="147">
      <c r="A147" s="62"/>
      <c r="B147" s="7"/>
      <c r="C147" s="62"/>
      <c r="D147" s="62"/>
    </row>
    <row r="148">
      <c r="A148" s="62"/>
      <c r="B148" s="7"/>
      <c r="C148" s="62"/>
      <c r="D148" s="62"/>
    </row>
    <row r="149">
      <c r="A149" s="62"/>
      <c r="B149" s="7"/>
      <c r="C149" s="62"/>
      <c r="D149" s="62"/>
    </row>
    <row r="150">
      <c r="A150" s="62"/>
      <c r="B150" s="7"/>
      <c r="C150" s="62"/>
      <c r="D150" s="62"/>
    </row>
    <row r="151">
      <c r="A151" s="62"/>
      <c r="B151" s="7"/>
      <c r="C151" s="62"/>
      <c r="D151" s="62"/>
    </row>
    <row r="152">
      <c r="A152" s="62"/>
      <c r="B152" s="7"/>
      <c r="C152" s="62"/>
      <c r="D152" s="62"/>
    </row>
    <row r="153">
      <c r="A153" s="62"/>
      <c r="B153" s="7"/>
      <c r="C153" s="62"/>
      <c r="D153" s="62"/>
    </row>
    <row r="154">
      <c r="A154" s="62"/>
      <c r="B154" s="7"/>
      <c r="C154" s="62"/>
      <c r="D154" s="62"/>
    </row>
    <row r="155">
      <c r="A155" s="62"/>
      <c r="B155" s="7"/>
      <c r="C155" s="62"/>
      <c r="D155" s="62"/>
    </row>
    <row r="156">
      <c r="A156" s="62"/>
      <c r="B156" s="7"/>
      <c r="C156" s="62"/>
      <c r="D156" s="62"/>
    </row>
    <row r="157">
      <c r="A157" s="62"/>
      <c r="B157" s="7"/>
      <c r="C157" s="62"/>
      <c r="D157" s="62"/>
    </row>
    <row r="158">
      <c r="A158" s="62"/>
      <c r="B158" s="7"/>
      <c r="C158" s="62"/>
      <c r="D158" s="62"/>
    </row>
    <row r="159">
      <c r="A159" s="62"/>
      <c r="B159" s="7"/>
      <c r="C159" s="62"/>
      <c r="D159" s="62"/>
    </row>
    <row r="160">
      <c r="A160" s="62"/>
      <c r="B160" s="7"/>
      <c r="C160" s="62"/>
      <c r="D160" s="62"/>
    </row>
    <row r="161">
      <c r="A161" s="62"/>
      <c r="B161" s="7"/>
      <c r="C161" s="62"/>
      <c r="D161" s="62"/>
    </row>
    <row r="162">
      <c r="A162" s="62"/>
      <c r="B162" s="7"/>
      <c r="C162" s="62"/>
      <c r="D162" s="62"/>
    </row>
    <row r="163">
      <c r="A163" s="62"/>
      <c r="B163" s="7"/>
      <c r="C163" s="62"/>
      <c r="D163" s="62"/>
    </row>
    <row r="164">
      <c r="A164" s="62"/>
      <c r="B164" s="7"/>
      <c r="C164" s="62"/>
      <c r="D164" s="62"/>
    </row>
    <row r="165">
      <c r="A165" s="62"/>
      <c r="B165" s="7"/>
      <c r="C165" s="62"/>
      <c r="D165" s="62"/>
    </row>
    <row r="166">
      <c r="A166" s="62"/>
      <c r="B166" s="7"/>
      <c r="C166" s="62"/>
      <c r="D166" s="62"/>
    </row>
    <row r="167">
      <c r="A167" s="62"/>
      <c r="B167" s="7"/>
      <c r="C167" s="62"/>
      <c r="D167" s="62"/>
    </row>
    <row r="168">
      <c r="A168" s="62"/>
      <c r="B168" s="7"/>
      <c r="C168" s="62"/>
      <c r="D168" s="62"/>
    </row>
    <row r="169">
      <c r="A169" s="62"/>
      <c r="B169" s="7"/>
      <c r="C169" s="62"/>
      <c r="D169" s="62"/>
    </row>
    <row r="170">
      <c r="A170" s="62"/>
      <c r="B170" s="7"/>
      <c r="C170" s="62"/>
      <c r="D170" s="62"/>
    </row>
    <row r="171">
      <c r="A171" s="62"/>
      <c r="B171" s="7"/>
      <c r="C171" s="62"/>
      <c r="D171" s="62"/>
    </row>
    <row r="172">
      <c r="A172" s="62"/>
      <c r="B172" s="7"/>
      <c r="C172" s="62"/>
      <c r="D172" s="62"/>
    </row>
    <row r="173">
      <c r="A173" s="62"/>
      <c r="B173" s="7"/>
      <c r="C173" s="62"/>
      <c r="D173" s="62"/>
    </row>
    <row r="174">
      <c r="A174" s="62"/>
      <c r="B174" s="7"/>
      <c r="C174" s="62"/>
      <c r="D174" s="62"/>
    </row>
    <row r="175">
      <c r="A175" s="62"/>
      <c r="B175" s="7"/>
      <c r="C175" s="62"/>
      <c r="D175" s="62"/>
    </row>
    <row r="176">
      <c r="A176" s="62"/>
      <c r="B176" s="7"/>
      <c r="C176" s="62"/>
      <c r="D176" s="62"/>
    </row>
    <row r="177">
      <c r="A177" s="62"/>
      <c r="B177" s="7"/>
      <c r="C177" s="62"/>
      <c r="D177" s="62"/>
    </row>
    <row r="178">
      <c r="A178" s="62"/>
      <c r="B178" s="7"/>
      <c r="C178" s="62"/>
      <c r="D178" s="62"/>
    </row>
    <row r="179">
      <c r="A179" s="62"/>
      <c r="B179" s="7"/>
      <c r="C179" s="62"/>
      <c r="D179" s="62"/>
    </row>
    <row r="180">
      <c r="A180" s="62"/>
      <c r="B180" s="7"/>
      <c r="C180" s="62"/>
      <c r="D180" s="62"/>
    </row>
    <row r="181">
      <c r="A181" s="62"/>
      <c r="B181" s="7"/>
      <c r="C181" s="62"/>
      <c r="D181" s="62"/>
    </row>
    <row r="182">
      <c r="A182" s="62"/>
      <c r="B182" s="7"/>
      <c r="C182" s="62"/>
      <c r="D182" s="62"/>
    </row>
    <row r="183">
      <c r="A183" s="62"/>
      <c r="B183" s="7"/>
      <c r="C183" s="62"/>
      <c r="D183" s="62"/>
    </row>
    <row r="184">
      <c r="A184" s="62"/>
      <c r="B184" s="7"/>
      <c r="C184" s="62"/>
      <c r="D184" s="62"/>
    </row>
    <row r="185">
      <c r="A185" s="62"/>
      <c r="B185" s="7"/>
      <c r="C185" s="62"/>
      <c r="D185" s="62"/>
    </row>
    <row r="186">
      <c r="A186" s="62"/>
      <c r="B186" s="7"/>
      <c r="C186" s="62"/>
      <c r="D186" s="62"/>
    </row>
    <row r="187">
      <c r="A187" s="62"/>
      <c r="B187" s="7"/>
      <c r="C187" s="62"/>
      <c r="D187" s="62"/>
    </row>
    <row r="188">
      <c r="A188" s="62"/>
      <c r="B188" s="7"/>
      <c r="C188" s="62"/>
      <c r="D188" s="62"/>
    </row>
    <row r="189">
      <c r="A189" s="62"/>
      <c r="B189" s="7"/>
      <c r="C189" s="62"/>
      <c r="D189" s="62"/>
    </row>
    <row r="190">
      <c r="A190" s="62"/>
      <c r="B190" s="7"/>
      <c r="C190" s="62"/>
      <c r="D190" s="62"/>
    </row>
    <row r="191">
      <c r="A191" s="62"/>
      <c r="B191" s="7"/>
      <c r="C191" s="62"/>
      <c r="D191" s="62"/>
    </row>
    <row r="192">
      <c r="A192" s="62"/>
      <c r="B192" s="7"/>
      <c r="C192" s="62"/>
      <c r="D192" s="62"/>
    </row>
    <row r="193">
      <c r="A193" s="62"/>
      <c r="B193" s="7"/>
      <c r="C193" s="62"/>
      <c r="D193" s="62"/>
    </row>
    <row r="194">
      <c r="A194" s="62"/>
      <c r="B194" s="7"/>
      <c r="C194" s="62"/>
      <c r="D194" s="62"/>
    </row>
    <row r="195">
      <c r="A195" s="62"/>
      <c r="B195" s="7"/>
      <c r="C195" s="62"/>
      <c r="D195" s="62"/>
    </row>
    <row r="196">
      <c r="A196" s="62"/>
      <c r="B196" s="7"/>
      <c r="C196" s="62"/>
      <c r="D196" s="62"/>
    </row>
    <row r="197">
      <c r="A197" s="62"/>
      <c r="B197" s="7"/>
      <c r="C197" s="62"/>
      <c r="D197" s="62"/>
    </row>
    <row r="198">
      <c r="A198" s="62"/>
      <c r="B198" s="7"/>
      <c r="C198" s="62"/>
      <c r="D198" s="62"/>
    </row>
    <row r="199">
      <c r="A199" s="62"/>
      <c r="B199" s="7"/>
      <c r="C199" s="62"/>
      <c r="D199" s="62"/>
    </row>
    <row r="200">
      <c r="A200" s="62"/>
      <c r="B200" s="7"/>
      <c r="C200" s="62"/>
      <c r="D200" s="62"/>
    </row>
    <row r="201">
      <c r="A201" s="62"/>
      <c r="B201" s="7"/>
      <c r="C201" s="62"/>
      <c r="D201" s="62"/>
    </row>
    <row r="202">
      <c r="A202" s="62"/>
      <c r="B202" s="7"/>
      <c r="C202" s="62"/>
      <c r="D202" s="62"/>
    </row>
    <row r="203">
      <c r="A203" s="62"/>
      <c r="B203" s="7"/>
      <c r="C203" s="62"/>
      <c r="D203" s="62"/>
    </row>
    <row r="204">
      <c r="A204" s="62"/>
      <c r="B204" s="7"/>
      <c r="C204" s="62"/>
      <c r="D204" s="62"/>
    </row>
    <row r="205">
      <c r="A205" s="62"/>
      <c r="B205" s="7"/>
      <c r="C205" s="62"/>
      <c r="D205" s="62"/>
    </row>
    <row r="206">
      <c r="A206" s="62"/>
      <c r="B206" s="7"/>
      <c r="C206" s="62"/>
      <c r="D206" s="62"/>
    </row>
    <row r="207">
      <c r="A207" s="62"/>
      <c r="B207" s="7"/>
      <c r="C207" s="62"/>
      <c r="D207" s="62"/>
    </row>
    <row r="208">
      <c r="A208" s="62"/>
      <c r="B208" s="7"/>
      <c r="C208" s="62"/>
      <c r="D208" s="62"/>
    </row>
    <row r="209">
      <c r="A209" s="62"/>
      <c r="B209" s="7"/>
      <c r="C209" s="62"/>
      <c r="D209" s="62"/>
    </row>
    <row r="210">
      <c r="A210" s="62"/>
      <c r="B210" s="7"/>
      <c r="C210" s="62"/>
      <c r="D210" s="62"/>
    </row>
    <row r="211">
      <c r="A211" s="62"/>
      <c r="B211" s="7"/>
      <c r="C211" s="62"/>
      <c r="D211" s="62"/>
    </row>
    <row r="212">
      <c r="A212" s="62"/>
      <c r="B212" s="7"/>
      <c r="C212" s="62"/>
      <c r="D212" s="62"/>
    </row>
    <row r="213">
      <c r="A213" s="62"/>
      <c r="B213" s="7"/>
      <c r="C213" s="62"/>
      <c r="D213" s="62"/>
    </row>
    <row r="214">
      <c r="A214" s="62"/>
      <c r="B214" s="7"/>
      <c r="C214" s="62"/>
      <c r="D214" s="62"/>
    </row>
    <row r="215">
      <c r="A215" s="62"/>
      <c r="B215" s="7"/>
      <c r="C215" s="62"/>
      <c r="D215" s="62"/>
    </row>
    <row r="216">
      <c r="A216" s="62"/>
      <c r="B216" s="7"/>
      <c r="C216" s="62"/>
      <c r="D216" s="62"/>
    </row>
    <row r="217">
      <c r="A217" s="62"/>
      <c r="B217" s="7"/>
      <c r="C217" s="62"/>
      <c r="D217" s="62"/>
    </row>
    <row r="218">
      <c r="A218" s="62"/>
      <c r="B218" s="7"/>
      <c r="C218" s="62"/>
      <c r="D218" s="62"/>
    </row>
    <row r="219">
      <c r="A219" s="62"/>
      <c r="B219" s="7"/>
      <c r="C219" s="62"/>
      <c r="D219" s="62"/>
    </row>
    <row r="220">
      <c r="A220" s="62"/>
      <c r="B220" s="7"/>
      <c r="C220" s="62"/>
      <c r="D220" s="62"/>
    </row>
    <row r="221">
      <c r="A221" s="62"/>
      <c r="B221" s="7"/>
      <c r="C221" s="62"/>
      <c r="D221" s="62"/>
    </row>
    <row r="222">
      <c r="A222" s="62"/>
      <c r="B222" s="7"/>
      <c r="C222" s="62"/>
      <c r="D222" s="62"/>
    </row>
    <row r="223">
      <c r="A223" s="62"/>
      <c r="B223" s="7"/>
      <c r="C223" s="62"/>
      <c r="D223" s="62"/>
    </row>
    <row r="224">
      <c r="A224" s="62"/>
      <c r="B224" s="7"/>
      <c r="C224" s="62"/>
      <c r="D224" s="62"/>
    </row>
    <row r="225">
      <c r="A225" s="62"/>
      <c r="B225" s="7"/>
      <c r="C225" s="62"/>
      <c r="D225" s="62"/>
    </row>
    <row r="226">
      <c r="A226" s="62"/>
      <c r="B226" s="7"/>
      <c r="C226" s="62"/>
      <c r="D226" s="62"/>
    </row>
    <row r="227">
      <c r="A227" s="62"/>
      <c r="B227" s="7"/>
      <c r="C227" s="62"/>
      <c r="D227" s="62"/>
    </row>
    <row r="228">
      <c r="A228" s="62"/>
      <c r="B228" s="7"/>
      <c r="C228" s="62"/>
      <c r="D228" s="62"/>
    </row>
    <row r="229">
      <c r="A229" s="62"/>
      <c r="B229" s="7"/>
      <c r="C229" s="62"/>
      <c r="D229" s="62"/>
    </row>
    <row r="230">
      <c r="A230" s="62"/>
      <c r="B230" s="7"/>
      <c r="C230" s="62"/>
      <c r="D230" s="62"/>
    </row>
    <row r="231">
      <c r="A231" s="62"/>
      <c r="B231" s="7"/>
      <c r="C231" s="62"/>
      <c r="D231" s="62"/>
    </row>
    <row r="232">
      <c r="A232" s="62"/>
      <c r="B232" s="7"/>
      <c r="C232" s="62"/>
      <c r="D232" s="62"/>
    </row>
    <row r="233">
      <c r="A233" s="62"/>
      <c r="B233" s="7"/>
      <c r="C233" s="62"/>
      <c r="D233" s="62"/>
    </row>
    <row r="234">
      <c r="A234" s="62"/>
      <c r="B234" s="7"/>
      <c r="C234" s="62"/>
      <c r="D234" s="62"/>
    </row>
    <row r="235">
      <c r="A235" s="62"/>
      <c r="B235" s="7"/>
      <c r="C235" s="62"/>
      <c r="D235" s="62"/>
    </row>
    <row r="236">
      <c r="A236" s="62"/>
      <c r="B236" s="7"/>
      <c r="C236" s="62"/>
      <c r="D236" s="62"/>
    </row>
    <row r="237">
      <c r="A237" s="62"/>
      <c r="B237" s="7"/>
      <c r="C237" s="62"/>
      <c r="D237" s="62"/>
    </row>
    <row r="238">
      <c r="A238" s="62"/>
      <c r="B238" s="7"/>
      <c r="C238" s="62"/>
      <c r="D238" s="62"/>
    </row>
    <row r="239">
      <c r="A239" s="62"/>
      <c r="B239" s="7"/>
      <c r="C239" s="62"/>
      <c r="D239" s="62"/>
    </row>
    <row r="240">
      <c r="A240" s="62"/>
      <c r="B240" s="7"/>
      <c r="C240" s="62"/>
      <c r="D240" s="62"/>
    </row>
    <row r="241">
      <c r="A241" s="62"/>
      <c r="B241" s="7"/>
      <c r="C241" s="62"/>
      <c r="D241" s="62"/>
    </row>
    <row r="242">
      <c r="A242" s="62"/>
      <c r="B242" s="7"/>
      <c r="C242" s="62"/>
      <c r="D242" s="62"/>
    </row>
    <row r="243">
      <c r="A243" s="62"/>
      <c r="B243" s="7"/>
      <c r="C243" s="62"/>
      <c r="D243" s="62"/>
    </row>
    <row r="244">
      <c r="A244" s="62"/>
      <c r="B244" s="7"/>
      <c r="C244" s="62"/>
      <c r="D244" s="62"/>
    </row>
    <row r="245">
      <c r="A245" s="62"/>
      <c r="B245" s="7"/>
      <c r="C245" s="62"/>
      <c r="D245" s="62"/>
    </row>
    <row r="246">
      <c r="A246" s="62"/>
      <c r="B246" s="7"/>
      <c r="C246" s="62"/>
      <c r="D246" s="62"/>
    </row>
    <row r="247">
      <c r="A247" s="62"/>
      <c r="B247" s="7"/>
      <c r="C247" s="62"/>
      <c r="D247" s="62"/>
    </row>
    <row r="248">
      <c r="A248" s="62"/>
      <c r="B248" s="7"/>
      <c r="C248" s="62"/>
      <c r="D248" s="62"/>
    </row>
    <row r="249">
      <c r="A249" s="62"/>
      <c r="B249" s="7"/>
      <c r="C249" s="62"/>
      <c r="D249" s="62"/>
    </row>
    <row r="250">
      <c r="A250" s="62"/>
      <c r="B250" s="7"/>
      <c r="C250" s="62"/>
      <c r="D250" s="62"/>
    </row>
    <row r="251">
      <c r="A251" s="62"/>
      <c r="B251" s="7"/>
      <c r="C251" s="62"/>
      <c r="D251" s="62"/>
    </row>
    <row r="252">
      <c r="A252" s="62"/>
      <c r="B252" s="7"/>
      <c r="C252" s="62"/>
      <c r="D252" s="62"/>
    </row>
    <row r="253">
      <c r="A253" s="62"/>
      <c r="B253" s="7"/>
      <c r="C253" s="62"/>
      <c r="D253" s="62"/>
    </row>
    <row r="254">
      <c r="A254" s="62"/>
      <c r="B254" s="7"/>
      <c r="C254" s="62"/>
      <c r="D254" s="62"/>
    </row>
    <row r="255">
      <c r="A255" s="62"/>
      <c r="B255" s="7"/>
      <c r="C255" s="62"/>
      <c r="D255" s="62"/>
    </row>
    <row r="256">
      <c r="A256" s="62"/>
      <c r="B256" s="7"/>
      <c r="C256" s="62"/>
      <c r="D256" s="62"/>
    </row>
    <row r="257">
      <c r="A257" s="62"/>
      <c r="B257" s="7"/>
      <c r="C257" s="62"/>
      <c r="D257" s="62"/>
    </row>
    <row r="258">
      <c r="A258" s="62"/>
      <c r="B258" s="7"/>
      <c r="C258" s="62"/>
      <c r="D258" s="62"/>
    </row>
    <row r="259">
      <c r="A259" s="62"/>
      <c r="B259" s="7"/>
      <c r="C259" s="62"/>
      <c r="D259" s="62"/>
    </row>
    <row r="260">
      <c r="A260" s="62"/>
      <c r="B260" s="7"/>
      <c r="C260" s="62"/>
      <c r="D260" s="62"/>
    </row>
    <row r="261">
      <c r="A261" s="62"/>
      <c r="B261" s="7"/>
      <c r="C261" s="62"/>
      <c r="D261" s="62"/>
    </row>
    <row r="262">
      <c r="A262" s="62"/>
      <c r="B262" s="7"/>
      <c r="C262" s="62"/>
      <c r="D262" s="62"/>
    </row>
    <row r="263">
      <c r="A263" s="62"/>
      <c r="B263" s="7"/>
      <c r="C263" s="62"/>
      <c r="D263" s="62"/>
    </row>
    <row r="264">
      <c r="A264" s="62"/>
      <c r="B264" s="7"/>
      <c r="C264" s="62"/>
      <c r="D264" s="62"/>
    </row>
    <row r="265">
      <c r="A265" s="62"/>
      <c r="B265" s="7"/>
      <c r="C265" s="62"/>
      <c r="D265" s="62"/>
    </row>
    <row r="266">
      <c r="A266" s="62"/>
      <c r="B266" s="7"/>
      <c r="C266" s="62"/>
      <c r="D266" s="62"/>
    </row>
    <row r="267">
      <c r="A267" s="62"/>
      <c r="B267" s="7"/>
      <c r="C267" s="62"/>
      <c r="D267" s="62"/>
    </row>
    <row r="268">
      <c r="A268" s="62"/>
      <c r="B268" s="7"/>
      <c r="C268" s="62"/>
      <c r="D268" s="62"/>
    </row>
    <row r="269">
      <c r="A269" s="62"/>
      <c r="B269" s="7"/>
      <c r="C269" s="62"/>
      <c r="D269" s="62"/>
    </row>
    <row r="270">
      <c r="A270" s="62"/>
      <c r="B270" s="7"/>
      <c r="C270" s="62"/>
      <c r="D270" s="62"/>
    </row>
    <row r="271">
      <c r="A271" s="62"/>
      <c r="B271" s="7"/>
      <c r="C271" s="62"/>
      <c r="D271" s="62"/>
    </row>
    <row r="272">
      <c r="A272" s="62"/>
      <c r="B272" s="7"/>
      <c r="C272" s="62"/>
      <c r="D272" s="62"/>
    </row>
    <row r="273">
      <c r="A273" s="62"/>
      <c r="B273" s="7"/>
      <c r="C273" s="62"/>
      <c r="D273" s="62"/>
    </row>
    <row r="274">
      <c r="A274" s="62"/>
      <c r="B274" s="7"/>
      <c r="C274" s="62"/>
      <c r="D274" s="62"/>
    </row>
    <row r="275">
      <c r="A275" s="62"/>
      <c r="B275" s="7"/>
      <c r="C275" s="62"/>
      <c r="D275" s="62"/>
    </row>
    <row r="276">
      <c r="A276" s="62"/>
      <c r="B276" s="7"/>
      <c r="C276" s="62"/>
      <c r="D276" s="62"/>
    </row>
    <row r="277">
      <c r="A277" s="62"/>
      <c r="B277" s="7"/>
      <c r="C277" s="62"/>
      <c r="D277" s="62"/>
    </row>
    <row r="278">
      <c r="A278" s="62"/>
      <c r="B278" s="7"/>
      <c r="C278" s="62"/>
      <c r="D278" s="62"/>
    </row>
    <row r="279">
      <c r="A279" s="62"/>
      <c r="B279" s="7"/>
      <c r="C279" s="62"/>
      <c r="D279" s="62"/>
    </row>
    <row r="280">
      <c r="A280" s="62"/>
      <c r="B280" s="7"/>
      <c r="C280" s="62"/>
      <c r="D280" s="62"/>
    </row>
    <row r="281">
      <c r="A281" s="62"/>
      <c r="B281" s="7"/>
      <c r="C281" s="62"/>
      <c r="D281" s="62"/>
    </row>
    <row r="282">
      <c r="A282" s="62"/>
      <c r="B282" s="7"/>
      <c r="C282" s="62"/>
      <c r="D282" s="62"/>
    </row>
    <row r="283">
      <c r="A283" s="62"/>
      <c r="B283" s="7"/>
      <c r="C283" s="62"/>
      <c r="D283" s="62"/>
    </row>
    <row r="284">
      <c r="A284" s="62"/>
      <c r="B284" s="7"/>
      <c r="C284" s="62"/>
      <c r="D284" s="62"/>
    </row>
    <row r="285">
      <c r="A285" s="62"/>
      <c r="B285" s="7"/>
      <c r="C285" s="62"/>
      <c r="D285" s="62"/>
    </row>
    <row r="286">
      <c r="A286" s="62"/>
      <c r="B286" s="7"/>
      <c r="C286" s="62"/>
      <c r="D286" s="62"/>
    </row>
    <row r="287">
      <c r="A287" s="62"/>
      <c r="B287" s="7"/>
      <c r="C287" s="62"/>
      <c r="D287" s="62"/>
    </row>
    <row r="288">
      <c r="A288" s="62"/>
      <c r="B288" s="7"/>
      <c r="C288" s="62"/>
      <c r="D288" s="62"/>
    </row>
    <row r="289">
      <c r="A289" s="62"/>
      <c r="B289" s="7"/>
      <c r="C289" s="62"/>
      <c r="D289" s="62"/>
    </row>
    <row r="290">
      <c r="A290" s="62"/>
      <c r="B290" s="7"/>
      <c r="C290" s="62"/>
      <c r="D290" s="62"/>
    </row>
    <row r="291">
      <c r="A291" s="62"/>
      <c r="B291" s="7"/>
      <c r="C291" s="62"/>
      <c r="D291" s="62"/>
    </row>
    <row r="292">
      <c r="A292" s="62"/>
      <c r="B292" s="7"/>
      <c r="C292" s="62"/>
      <c r="D292" s="62"/>
    </row>
    <row r="293">
      <c r="A293" s="62"/>
      <c r="B293" s="7"/>
      <c r="C293" s="62"/>
      <c r="D293" s="62"/>
    </row>
    <row r="294">
      <c r="A294" s="62"/>
      <c r="B294" s="7"/>
      <c r="C294" s="62"/>
      <c r="D294" s="62"/>
    </row>
    <row r="295">
      <c r="A295" s="62"/>
      <c r="B295" s="7"/>
      <c r="C295" s="62"/>
      <c r="D295" s="62"/>
    </row>
    <row r="296">
      <c r="A296" s="62"/>
      <c r="B296" s="7"/>
      <c r="C296" s="62"/>
      <c r="D296" s="62"/>
    </row>
    <row r="297">
      <c r="A297" s="62"/>
      <c r="B297" s="7"/>
      <c r="C297" s="62"/>
      <c r="D297" s="62"/>
    </row>
    <row r="298">
      <c r="A298" s="62"/>
      <c r="B298" s="7"/>
      <c r="C298" s="62"/>
      <c r="D298" s="62"/>
    </row>
    <row r="299">
      <c r="A299" s="62"/>
      <c r="B299" s="7"/>
      <c r="C299" s="62"/>
      <c r="D299" s="62"/>
    </row>
    <row r="300">
      <c r="A300" s="62"/>
      <c r="B300" s="7"/>
      <c r="C300" s="62"/>
      <c r="D300" s="62"/>
    </row>
    <row r="301">
      <c r="A301" s="62"/>
      <c r="B301" s="7"/>
      <c r="C301" s="62"/>
      <c r="D301" s="62"/>
    </row>
    <row r="302">
      <c r="A302" s="62"/>
      <c r="B302" s="7"/>
      <c r="C302" s="62"/>
      <c r="D302" s="62"/>
    </row>
    <row r="303">
      <c r="A303" s="62"/>
      <c r="B303" s="7"/>
      <c r="C303" s="62"/>
      <c r="D303" s="62"/>
    </row>
    <row r="304">
      <c r="A304" s="62"/>
      <c r="B304" s="7"/>
      <c r="C304" s="62"/>
      <c r="D304" s="62"/>
    </row>
    <row r="305">
      <c r="A305" s="62"/>
      <c r="B305" s="7"/>
      <c r="C305" s="62"/>
      <c r="D305" s="62"/>
    </row>
    <row r="306">
      <c r="A306" s="62"/>
      <c r="B306" s="7"/>
      <c r="C306" s="62"/>
      <c r="D306" s="62"/>
    </row>
    <row r="307">
      <c r="A307" s="62"/>
      <c r="B307" s="7"/>
      <c r="C307" s="62"/>
      <c r="D307" s="62"/>
    </row>
    <row r="308">
      <c r="A308" s="62"/>
      <c r="B308" s="7"/>
      <c r="C308" s="62"/>
      <c r="D308" s="62"/>
    </row>
    <row r="309">
      <c r="A309" s="62"/>
      <c r="B309" s="7"/>
      <c r="C309" s="62"/>
      <c r="D309" s="62"/>
    </row>
    <row r="310">
      <c r="A310" s="62"/>
      <c r="B310" s="7"/>
      <c r="C310" s="62"/>
      <c r="D310" s="62"/>
    </row>
    <row r="311">
      <c r="A311" s="62"/>
      <c r="B311" s="7"/>
      <c r="C311" s="62"/>
      <c r="D311" s="62"/>
    </row>
    <row r="312">
      <c r="A312" s="62"/>
      <c r="B312" s="7"/>
      <c r="C312" s="62"/>
      <c r="D312" s="62"/>
    </row>
    <row r="313">
      <c r="A313" s="62"/>
      <c r="B313" s="7"/>
      <c r="C313" s="62"/>
      <c r="D313" s="62"/>
    </row>
    <row r="314">
      <c r="A314" s="62"/>
      <c r="B314" s="7"/>
      <c r="C314" s="62"/>
      <c r="D314" s="62"/>
    </row>
    <row r="315">
      <c r="A315" s="62"/>
      <c r="B315" s="7"/>
      <c r="C315" s="62"/>
      <c r="D315" s="62"/>
    </row>
    <row r="316">
      <c r="A316" s="62"/>
      <c r="B316" s="7"/>
      <c r="C316" s="62"/>
      <c r="D316" s="62"/>
    </row>
    <row r="317">
      <c r="A317" s="62"/>
      <c r="B317" s="7"/>
      <c r="C317" s="62"/>
      <c r="D317" s="62"/>
    </row>
    <row r="318">
      <c r="A318" s="62"/>
      <c r="B318" s="7"/>
      <c r="C318" s="62"/>
      <c r="D318" s="62"/>
    </row>
    <row r="319">
      <c r="A319" s="62"/>
      <c r="B319" s="7"/>
      <c r="C319" s="62"/>
      <c r="D319" s="62"/>
    </row>
    <row r="320">
      <c r="A320" s="62"/>
      <c r="B320" s="7"/>
      <c r="C320" s="62"/>
      <c r="D320" s="62"/>
    </row>
    <row r="321">
      <c r="A321" s="62"/>
      <c r="B321" s="7"/>
      <c r="C321" s="62"/>
      <c r="D321" s="62"/>
    </row>
    <row r="322">
      <c r="A322" s="62"/>
      <c r="B322" s="7"/>
      <c r="C322" s="62"/>
      <c r="D322" s="62"/>
    </row>
    <row r="323">
      <c r="A323" s="62"/>
      <c r="B323" s="7"/>
      <c r="C323" s="62"/>
      <c r="D323" s="62"/>
    </row>
    <row r="324">
      <c r="A324" s="62"/>
      <c r="B324" s="7"/>
      <c r="C324" s="62"/>
      <c r="D324" s="62"/>
    </row>
    <row r="325">
      <c r="A325" s="62"/>
      <c r="B325" s="7"/>
      <c r="C325" s="62"/>
      <c r="D325" s="62"/>
    </row>
    <row r="326">
      <c r="A326" s="62"/>
      <c r="B326" s="7"/>
      <c r="C326" s="62"/>
      <c r="D326" s="62"/>
    </row>
    <row r="327">
      <c r="A327" s="62"/>
      <c r="B327" s="7"/>
      <c r="C327" s="62"/>
      <c r="D327" s="62"/>
    </row>
    <row r="328">
      <c r="A328" s="62"/>
      <c r="B328" s="7"/>
      <c r="C328" s="62"/>
      <c r="D328" s="62"/>
    </row>
    <row r="329">
      <c r="A329" s="62"/>
      <c r="B329" s="7"/>
      <c r="C329" s="62"/>
      <c r="D329" s="62"/>
    </row>
    <row r="330">
      <c r="A330" s="62"/>
      <c r="B330" s="7"/>
      <c r="C330" s="62"/>
      <c r="D330" s="62"/>
    </row>
    <row r="331">
      <c r="A331" s="62"/>
      <c r="B331" s="7"/>
      <c r="C331" s="62"/>
      <c r="D331" s="62"/>
    </row>
    <row r="332">
      <c r="A332" s="62"/>
      <c r="B332" s="7"/>
      <c r="C332" s="62"/>
      <c r="D332" s="62"/>
    </row>
    <row r="333">
      <c r="A333" s="62"/>
      <c r="B333" s="7"/>
      <c r="C333" s="62"/>
      <c r="D333" s="62"/>
    </row>
    <row r="334">
      <c r="A334" s="62"/>
      <c r="B334" s="7"/>
      <c r="C334" s="62"/>
      <c r="D334" s="62"/>
    </row>
    <row r="335">
      <c r="A335" s="62"/>
      <c r="B335" s="7"/>
      <c r="C335" s="62"/>
      <c r="D335" s="62"/>
    </row>
    <row r="336">
      <c r="A336" s="62"/>
      <c r="B336" s="7"/>
      <c r="C336" s="62"/>
      <c r="D336" s="62"/>
    </row>
    <row r="337">
      <c r="A337" s="62"/>
      <c r="B337" s="7"/>
      <c r="C337" s="62"/>
      <c r="D337" s="62"/>
    </row>
    <row r="338">
      <c r="A338" s="62"/>
      <c r="B338" s="7"/>
      <c r="C338" s="62"/>
      <c r="D338" s="62"/>
    </row>
    <row r="339">
      <c r="A339" s="62"/>
      <c r="B339" s="7"/>
      <c r="C339" s="62"/>
      <c r="D339" s="62"/>
    </row>
    <row r="340">
      <c r="A340" s="62"/>
      <c r="B340" s="7"/>
      <c r="C340" s="62"/>
      <c r="D340" s="62"/>
    </row>
    <row r="341">
      <c r="A341" s="62"/>
      <c r="B341" s="7"/>
      <c r="C341" s="62"/>
      <c r="D341" s="62"/>
    </row>
    <row r="342">
      <c r="A342" s="62"/>
      <c r="B342" s="7"/>
      <c r="C342" s="62"/>
      <c r="D342" s="62"/>
    </row>
    <row r="343">
      <c r="A343" s="62"/>
      <c r="B343" s="7"/>
      <c r="C343" s="62"/>
      <c r="D343" s="62"/>
    </row>
    <row r="344">
      <c r="A344" s="62"/>
      <c r="B344" s="7"/>
      <c r="C344" s="62"/>
      <c r="D344" s="62"/>
    </row>
    <row r="345">
      <c r="A345" s="62"/>
      <c r="B345" s="7"/>
      <c r="C345" s="62"/>
      <c r="D345" s="62"/>
    </row>
    <row r="346">
      <c r="A346" s="62"/>
      <c r="B346" s="7"/>
      <c r="C346" s="62"/>
      <c r="D346" s="62"/>
    </row>
    <row r="347">
      <c r="A347" s="62"/>
      <c r="B347" s="7"/>
      <c r="C347" s="62"/>
      <c r="D347" s="62"/>
    </row>
    <row r="348">
      <c r="A348" s="62"/>
      <c r="B348" s="7"/>
      <c r="C348" s="62"/>
      <c r="D348" s="62"/>
    </row>
    <row r="349">
      <c r="A349" s="62"/>
      <c r="B349" s="7"/>
      <c r="C349" s="62"/>
      <c r="D349" s="62"/>
    </row>
    <row r="350">
      <c r="A350" s="62"/>
      <c r="B350" s="7"/>
      <c r="C350" s="62"/>
      <c r="D350" s="62"/>
    </row>
    <row r="351">
      <c r="A351" s="62"/>
      <c r="B351" s="7"/>
      <c r="C351" s="62"/>
      <c r="D351" s="62"/>
    </row>
    <row r="352">
      <c r="A352" s="62"/>
      <c r="B352" s="7"/>
      <c r="C352" s="62"/>
      <c r="D352" s="62"/>
    </row>
    <row r="353">
      <c r="A353" s="62"/>
      <c r="B353" s="7"/>
      <c r="C353" s="62"/>
      <c r="D353" s="62"/>
    </row>
    <row r="354">
      <c r="A354" s="62"/>
      <c r="B354" s="7"/>
      <c r="C354" s="62"/>
      <c r="D354" s="62"/>
    </row>
    <row r="355">
      <c r="A355" s="62"/>
      <c r="B355" s="7"/>
      <c r="C355" s="62"/>
      <c r="D355" s="62"/>
    </row>
    <row r="356">
      <c r="A356" s="62"/>
      <c r="B356" s="7"/>
      <c r="C356" s="62"/>
      <c r="D356" s="62"/>
    </row>
    <row r="357">
      <c r="A357" s="62"/>
      <c r="B357" s="7"/>
      <c r="C357" s="62"/>
      <c r="D357" s="62"/>
    </row>
    <row r="358">
      <c r="A358" s="62"/>
      <c r="B358" s="7"/>
      <c r="C358" s="62"/>
      <c r="D358" s="62"/>
    </row>
    <row r="359">
      <c r="A359" s="62"/>
      <c r="B359" s="7"/>
      <c r="C359" s="62"/>
      <c r="D359" s="62"/>
    </row>
    <row r="360">
      <c r="A360" s="62"/>
      <c r="B360" s="7"/>
      <c r="C360" s="62"/>
      <c r="D360" s="62"/>
    </row>
    <row r="361">
      <c r="A361" s="62"/>
      <c r="B361" s="7"/>
      <c r="C361" s="62"/>
      <c r="D361" s="62"/>
    </row>
    <row r="362">
      <c r="A362" s="62"/>
      <c r="B362" s="7"/>
      <c r="C362" s="62"/>
      <c r="D362" s="62"/>
    </row>
    <row r="363">
      <c r="A363" s="62"/>
      <c r="B363" s="7"/>
      <c r="C363" s="62"/>
      <c r="D363" s="62"/>
    </row>
    <row r="364">
      <c r="A364" s="62"/>
      <c r="B364" s="7"/>
      <c r="C364" s="62"/>
      <c r="D364" s="62"/>
    </row>
    <row r="365">
      <c r="A365" s="62"/>
      <c r="B365" s="7"/>
      <c r="C365" s="62"/>
      <c r="D365" s="62"/>
    </row>
    <row r="366">
      <c r="A366" s="62"/>
      <c r="B366" s="7"/>
      <c r="C366" s="62"/>
      <c r="D366" s="62"/>
    </row>
    <row r="367">
      <c r="A367" s="62"/>
      <c r="B367" s="7"/>
      <c r="C367" s="62"/>
      <c r="D367" s="62"/>
    </row>
    <row r="368">
      <c r="A368" s="62"/>
      <c r="B368" s="7"/>
      <c r="C368" s="62"/>
      <c r="D368" s="62"/>
    </row>
    <row r="369">
      <c r="A369" s="62"/>
      <c r="B369" s="7"/>
      <c r="C369" s="62"/>
      <c r="D369" s="62"/>
    </row>
    <row r="370">
      <c r="A370" s="62"/>
      <c r="B370" s="7"/>
      <c r="C370" s="62"/>
      <c r="D370" s="62"/>
    </row>
    <row r="371">
      <c r="A371" s="62"/>
      <c r="B371" s="7"/>
      <c r="C371" s="62"/>
      <c r="D371" s="62"/>
    </row>
    <row r="372">
      <c r="A372" s="62"/>
      <c r="B372" s="7"/>
      <c r="C372" s="62"/>
      <c r="D372" s="62"/>
    </row>
    <row r="373">
      <c r="A373" s="62"/>
      <c r="B373" s="7"/>
      <c r="C373" s="62"/>
      <c r="D373" s="62"/>
    </row>
    <row r="374">
      <c r="A374" s="62"/>
      <c r="B374" s="7"/>
      <c r="C374" s="62"/>
      <c r="D374" s="62"/>
    </row>
    <row r="375">
      <c r="A375" s="62"/>
      <c r="B375" s="7"/>
      <c r="C375" s="62"/>
      <c r="D375" s="62"/>
    </row>
    <row r="376">
      <c r="A376" s="62"/>
      <c r="B376" s="7"/>
      <c r="C376" s="62"/>
      <c r="D376" s="62"/>
    </row>
    <row r="377">
      <c r="A377" s="62"/>
      <c r="B377" s="7"/>
      <c r="C377" s="62"/>
      <c r="D377" s="62"/>
    </row>
    <row r="378">
      <c r="A378" s="62"/>
      <c r="B378" s="7"/>
      <c r="C378" s="62"/>
      <c r="D378" s="62"/>
    </row>
    <row r="379">
      <c r="A379" s="62"/>
      <c r="B379" s="7"/>
      <c r="C379" s="62"/>
      <c r="D379" s="62"/>
    </row>
    <row r="380">
      <c r="A380" s="62"/>
      <c r="B380" s="7"/>
      <c r="C380" s="62"/>
      <c r="D380" s="62"/>
    </row>
    <row r="381">
      <c r="A381" s="62"/>
      <c r="B381" s="7"/>
      <c r="C381" s="62"/>
      <c r="D381" s="62"/>
    </row>
    <row r="382">
      <c r="A382" s="62"/>
      <c r="B382" s="7"/>
      <c r="C382" s="62"/>
      <c r="D382" s="62"/>
    </row>
    <row r="383">
      <c r="A383" s="62"/>
      <c r="B383" s="7"/>
      <c r="C383" s="62"/>
      <c r="D383" s="62"/>
    </row>
    <row r="384">
      <c r="A384" s="62"/>
      <c r="B384" s="7"/>
      <c r="C384" s="62"/>
      <c r="D384" s="62"/>
    </row>
    <row r="385">
      <c r="A385" s="62"/>
      <c r="B385" s="7"/>
      <c r="C385" s="62"/>
      <c r="D385" s="62"/>
    </row>
    <row r="386">
      <c r="A386" s="62"/>
      <c r="B386" s="7"/>
      <c r="C386" s="62"/>
      <c r="D386" s="62"/>
    </row>
    <row r="387">
      <c r="A387" s="62"/>
      <c r="B387" s="7"/>
      <c r="C387" s="62"/>
      <c r="D387" s="62"/>
    </row>
    <row r="388">
      <c r="A388" s="62"/>
      <c r="B388" s="7"/>
      <c r="C388" s="62"/>
      <c r="D388" s="62"/>
    </row>
    <row r="389">
      <c r="A389" s="62"/>
      <c r="B389" s="7"/>
      <c r="C389" s="62"/>
      <c r="D389" s="62"/>
    </row>
    <row r="390">
      <c r="A390" s="62"/>
      <c r="B390" s="7"/>
      <c r="C390" s="62"/>
      <c r="D390" s="62"/>
    </row>
    <row r="391">
      <c r="A391" s="62"/>
      <c r="B391" s="7"/>
      <c r="C391" s="62"/>
      <c r="D391" s="62"/>
    </row>
    <row r="392">
      <c r="A392" s="62"/>
      <c r="B392" s="7"/>
      <c r="C392" s="62"/>
      <c r="D392" s="62"/>
    </row>
    <row r="393">
      <c r="A393" s="62"/>
      <c r="B393" s="7"/>
      <c r="C393" s="62"/>
      <c r="D393" s="62"/>
    </row>
    <row r="394">
      <c r="A394" s="62"/>
      <c r="B394" s="7"/>
      <c r="C394" s="62"/>
      <c r="D394" s="62"/>
    </row>
    <row r="395">
      <c r="A395" s="62"/>
      <c r="B395" s="7"/>
      <c r="C395" s="62"/>
      <c r="D395" s="62"/>
    </row>
    <row r="396">
      <c r="A396" s="62"/>
      <c r="B396" s="7"/>
      <c r="C396" s="62"/>
      <c r="D396" s="62"/>
    </row>
    <row r="397">
      <c r="A397" s="62"/>
      <c r="B397" s="7"/>
      <c r="C397" s="62"/>
      <c r="D397" s="62"/>
    </row>
    <row r="398">
      <c r="A398" s="62"/>
      <c r="B398" s="7"/>
      <c r="C398" s="62"/>
      <c r="D398" s="62"/>
    </row>
    <row r="399">
      <c r="A399" s="62"/>
      <c r="B399" s="7"/>
      <c r="C399" s="62"/>
      <c r="D399" s="62"/>
    </row>
    <row r="400">
      <c r="A400" s="62"/>
      <c r="B400" s="7"/>
      <c r="C400" s="62"/>
      <c r="D400" s="62"/>
    </row>
    <row r="401">
      <c r="A401" s="62"/>
      <c r="B401" s="7"/>
      <c r="C401" s="62"/>
      <c r="D401" s="62"/>
    </row>
    <row r="402">
      <c r="A402" s="62"/>
      <c r="B402" s="7"/>
      <c r="C402" s="62"/>
      <c r="D402" s="62"/>
    </row>
    <row r="403">
      <c r="A403" s="62"/>
      <c r="B403" s="7"/>
      <c r="C403" s="62"/>
      <c r="D403" s="62"/>
    </row>
    <row r="404">
      <c r="A404" s="62"/>
      <c r="B404" s="7"/>
      <c r="C404" s="62"/>
      <c r="D404" s="62"/>
    </row>
    <row r="405">
      <c r="A405" s="62"/>
      <c r="B405" s="7"/>
      <c r="C405" s="62"/>
      <c r="D405" s="62"/>
    </row>
    <row r="406">
      <c r="A406" s="62"/>
      <c r="B406" s="7"/>
      <c r="C406" s="62"/>
      <c r="D406" s="62"/>
    </row>
    <row r="407">
      <c r="A407" s="62"/>
      <c r="B407" s="7"/>
      <c r="C407" s="62"/>
      <c r="D407" s="62"/>
    </row>
    <row r="408">
      <c r="A408" s="62"/>
      <c r="B408" s="7"/>
      <c r="C408" s="62"/>
      <c r="D408" s="62"/>
    </row>
    <row r="409">
      <c r="A409" s="62"/>
      <c r="B409" s="7"/>
      <c r="C409" s="62"/>
      <c r="D409" s="62"/>
    </row>
    <row r="410">
      <c r="A410" s="62"/>
      <c r="B410" s="7"/>
      <c r="C410" s="62"/>
      <c r="D410" s="62"/>
    </row>
    <row r="411">
      <c r="A411" s="62"/>
      <c r="B411" s="7"/>
      <c r="C411" s="62"/>
      <c r="D411" s="62"/>
    </row>
    <row r="412">
      <c r="A412" s="62"/>
      <c r="B412" s="7"/>
      <c r="C412" s="62"/>
      <c r="D412" s="62"/>
    </row>
    <row r="413">
      <c r="A413" s="62"/>
      <c r="B413" s="7"/>
      <c r="C413" s="62"/>
      <c r="D413" s="62"/>
    </row>
    <row r="414">
      <c r="A414" s="62"/>
      <c r="B414" s="7"/>
      <c r="C414" s="62"/>
      <c r="D414" s="62"/>
    </row>
    <row r="415">
      <c r="A415" s="62"/>
      <c r="B415" s="7"/>
      <c r="C415" s="62"/>
      <c r="D415" s="62"/>
    </row>
    <row r="416">
      <c r="A416" s="62"/>
      <c r="B416" s="7"/>
      <c r="C416" s="62"/>
      <c r="D416" s="62"/>
    </row>
    <row r="417">
      <c r="A417" s="62"/>
      <c r="B417" s="7"/>
      <c r="C417" s="62"/>
      <c r="D417" s="62"/>
    </row>
    <row r="418">
      <c r="A418" s="62"/>
      <c r="B418" s="7"/>
      <c r="C418" s="62"/>
      <c r="D418" s="62"/>
    </row>
    <row r="419">
      <c r="A419" s="62"/>
      <c r="B419" s="7"/>
      <c r="C419" s="62"/>
      <c r="D419" s="62"/>
    </row>
    <row r="420">
      <c r="A420" s="62"/>
      <c r="B420" s="7"/>
      <c r="C420" s="62"/>
      <c r="D420" s="62"/>
    </row>
    <row r="421">
      <c r="A421" s="62"/>
      <c r="B421" s="7"/>
      <c r="C421" s="62"/>
      <c r="D421" s="62"/>
    </row>
    <row r="422">
      <c r="A422" s="62"/>
      <c r="B422" s="7"/>
      <c r="C422" s="62"/>
      <c r="D422" s="62"/>
    </row>
    <row r="423">
      <c r="A423" s="62"/>
      <c r="B423" s="7"/>
      <c r="C423" s="62"/>
      <c r="D423" s="62"/>
    </row>
    <row r="424">
      <c r="A424" s="62"/>
      <c r="B424" s="7"/>
      <c r="C424" s="62"/>
      <c r="D424" s="62"/>
    </row>
    <row r="425">
      <c r="A425" s="62"/>
      <c r="B425" s="7"/>
      <c r="C425" s="62"/>
      <c r="D425" s="62"/>
    </row>
    <row r="426">
      <c r="A426" s="62"/>
      <c r="B426" s="7"/>
      <c r="C426" s="62"/>
      <c r="D426" s="62"/>
    </row>
    <row r="427">
      <c r="A427" s="62"/>
      <c r="B427" s="7"/>
      <c r="C427" s="62"/>
      <c r="D427" s="62"/>
    </row>
    <row r="428">
      <c r="A428" s="62"/>
      <c r="B428" s="7"/>
      <c r="C428" s="62"/>
      <c r="D428" s="62"/>
    </row>
    <row r="429">
      <c r="A429" s="62"/>
      <c r="B429" s="7"/>
      <c r="C429" s="62"/>
      <c r="D429" s="62"/>
    </row>
    <row r="430">
      <c r="A430" s="62"/>
      <c r="B430" s="7"/>
      <c r="C430" s="62"/>
      <c r="D430" s="62"/>
    </row>
    <row r="431">
      <c r="A431" s="62"/>
      <c r="B431" s="7"/>
      <c r="C431" s="62"/>
      <c r="D431" s="62"/>
    </row>
    <row r="432">
      <c r="A432" s="62"/>
      <c r="B432" s="7"/>
      <c r="C432" s="62"/>
      <c r="D432" s="62"/>
    </row>
    <row r="433">
      <c r="A433" s="62"/>
      <c r="B433" s="7"/>
      <c r="C433" s="62"/>
      <c r="D433" s="62"/>
    </row>
    <row r="434">
      <c r="A434" s="62"/>
      <c r="B434" s="7"/>
      <c r="C434" s="62"/>
      <c r="D434" s="62"/>
    </row>
    <row r="435">
      <c r="A435" s="62"/>
      <c r="B435" s="7"/>
      <c r="C435" s="62"/>
      <c r="D435" s="62"/>
    </row>
    <row r="436">
      <c r="A436" s="62"/>
      <c r="B436" s="7"/>
      <c r="C436" s="62"/>
      <c r="D436" s="62"/>
    </row>
    <row r="437">
      <c r="A437" s="62"/>
      <c r="B437" s="7"/>
      <c r="C437" s="62"/>
      <c r="D437" s="62"/>
    </row>
    <row r="438">
      <c r="A438" s="62"/>
      <c r="B438" s="7"/>
      <c r="C438" s="62"/>
      <c r="D438" s="62"/>
    </row>
    <row r="439">
      <c r="A439" s="62"/>
      <c r="B439" s="7"/>
      <c r="C439" s="62"/>
      <c r="D439" s="62"/>
    </row>
    <row r="440">
      <c r="A440" s="62"/>
      <c r="B440" s="7"/>
      <c r="C440" s="62"/>
      <c r="D440" s="62"/>
    </row>
    <row r="441">
      <c r="A441" s="62"/>
      <c r="B441" s="7"/>
      <c r="C441" s="62"/>
      <c r="D441" s="62"/>
    </row>
    <row r="442">
      <c r="A442" s="62"/>
      <c r="B442" s="7"/>
      <c r="C442" s="62"/>
      <c r="D442" s="62"/>
    </row>
    <row r="443">
      <c r="A443" s="62"/>
      <c r="B443" s="7"/>
      <c r="C443" s="62"/>
      <c r="D443" s="62"/>
    </row>
    <row r="444">
      <c r="A444" s="62"/>
      <c r="B444" s="7"/>
      <c r="C444" s="62"/>
      <c r="D444" s="62"/>
    </row>
    <row r="445">
      <c r="A445" s="62"/>
      <c r="B445" s="7"/>
      <c r="C445" s="62"/>
      <c r="D445" s="62"/>
    </row>
    <row r="446">
      <c r="A446" s="62"/>
      <c r="B446" s="7"/>
      <c r="C446" s="62"/>
      <c r="D446" s="62"/>
    </row>
    <row r="447">
      <c r="A447" s="62"/>
      <c r="B447" s="7"/>
      <c r="C447" s="62"/>
      <c r="D447" s="62"/>
    </row>
    <row r="448">
      <c r="A448" s="62"/>
      <c r="B448" s="7"/>
      <c r="C448" s="62"/>
      <c r="D448" s="62"/>
    </row>
    <row r="449">
      <c r="A449" s="62"/>
      <c r="B449" s="7"/>
      <c r="C449" s="62"/>
      <c r="D449" s="62"/>
    </row>
    <row r="450">
      <c r="A450" s="62"/>
      <c r="B450" s="7"/>
      <c r="C450" s="62"/>
      <c r="D450" s="62"/>
    </row>
    <row r="451">
      <c r="A451" s="62"/>
      <c r="B451" s="7"/>
      <c r="C451" s="62"/>
      <c r="D451" s="62"/>
    </row>
    <row r="452">
      <c r="A452" s="62"/>
      <c r="B452" s="7"/>
      <c r="C452" s="62"/>
      <c r="D452" s="62"/>
    </row>
    <row r="453">
      <c r="A453" s="62"/>
      <c r="B453" s="7"/>
      <c r="C453" s="62"/>
      <c r="D453" s="62"/>
    </row>
    <row r="454">
      <c r="A454" s="62"/>
      <c r="B454" s="7"/>
      <c r="C454" s="62"/>
      <c r="D454" s="62"/>
    </row>
    <row r="455">
      <c r="A455" s="62"/>
      <c r="B455" s="7"/>
      <c r="C455" s="62"/>
      <c r="D455" s="62"/>
    </row>
    <row r="456">
      <c r="A456" s="62"/>
      <c r="B456" s="7"/>
      <c r="C456" s="62"/>
      <c r="D456" s="62"/>
    </row>
    <row r="457">
      <c r="A457" s="62"/>
      <c r="B457" s="7"/>
      <c r="C457" s="62"/>
      <c r="D457" s="62"/>
    </row>
    <row r="458">
      <c r="A458" s="62"/>
      <c r="B458" s="7"/>
      <c r="C458" s="62"/>
      <c r="D458" s="62"/>
    </row>
    <row r="459">
      <c r="A459" s="62"/>
      <c r="B459" s="7"/>
      <c r="C459" s="62"/>
      <c r="D459" s="62"/>
    </row>
    <row r="460">
      <c r="A460" s="62"/>
      <c r="B460" s="7"/>
      <c r="C460" s="62"/>
      <c r="D460" s="62"/>
    </row>
    <row r="461">
      <c r="A461" s="62"/>
      <c r="B461" s="7"/>
      <c r="C461" s="62"/>
      <c r="D461" s="62"/>
    </row>
    <row r="462">
      <c r="A462" s="62"/>
      <c r="B462" s="7"/>
      <c r="C462" s="62"/>
      <c r="D462" s="62"/>
    </row>
    <row r="463">
      <c r="A463" s="62"/>
      <c r="B463" s="7"/>
      <c r="C463" s="62"/>
      <c r="D463" s="62"/>
    </row>
    <row r="464">
      <c r="A464" s="62"/>
      <c r="B464" s="7"/>
      <c r="C464" s="62"/>
      <c r="D464" s="62"/>
    </row>
    <row r="465">
      <c r="A465" s="62"/>
      <c r="B465" s="7"/>
      <c r="C465" s="62"/>
      <c r="D465" s="62"/>
    </row>
    <row r="466">
      <c r="A466" s="62"/>
      <c r="B466" s="7"/>
      <c r="C466" s="62"/>
      <c r="D466" s="62"/>
    </row>
    <row r="467">
      <c r="A467" s="62"/>
      <c r="B467" s="7"/>
      <c r="C467" s="62"/>
      <c r="D467" s="62"/>
    </row>
    <row r="468">
      <c r="A468" s="62"/>
      <c r="B468" s="7"/>
      <c r="C468" s="62"/>
      <c r="D468" s="62"/>
    </row>
    <row r="469">
      <c r="A469" s="62"/>
      <c r="B469" s="7"/>
      <c r="C469" s="62"/>
      <c r="D469" s="62"/>
    </row>
    <row r="470">
      <c r="A470" s="62"/>
      <c r="B470" s="7"/>
      <c r="C470" s="62"/>
      <c r="D470" s="62"/>
    </row>
    <row r="471">
      <c r="A471" s="62"/>
      <c r="B471" s="7"/>
      <c r="C471" s="62"/>
      <c r="D471" s="62"/>
    </row>
    <row r="472">
      <c r="A472" s="62"/>
      <c r="B472" s="7"/>
      <c r="C472" s="62"/>
      <c r="D472" s="62"/>
    </row>
    <row r="473">
      <c r="A473" s="62"/>
      <c r="B473" s="7"/>
      <c r="C473" s="62"/>
      <c r="D473" s="62"/>
    </row>
    <row r="474">
      <c r="A474" s="62"/>
      <c r="B474" s="7"/>
      <c r="C474" s="62"/>
      <c r="D474" s="62"/>
    </row>
    <row r="475">
      <c r="A475" s="62"/>
      <c r="B475" s="7"/>
      <c r="C475" s="62"/>
      <c r="D475" s="62"/>
    </row>
    <row r="476">
      <c r="A476" s="62"/>
      <c r="B476" s="7"/>
      <c r="C476" s="62"/>
      <c r="D476" s="62"/>
    </row>
    <row r="477">
      <c r="A477" s="62"/>
      <c r="B477" s="7"/>
      <c r="C477" s="62"/>
      <c r="D477" s="62"/>
    </row>
    <row r="478">
      <c r="A478" s="62"/>
      <c r="B478" s="7"/>
      <c r="C478" s="62"/>
      <c r="D478" s="62"/>
    </row>
    <row r="479">
      <c r="A479" s="62"/>
      <c r="B479" s="7"/>
      <c r="C479" s="62"/>
      <c r="D479" s="62"/>
    </row>
    <row r="480">
      <c r="A480" s="62"/>
      <c r="B480" s="7"/>
      <c r="C480" s="62"/>
      <c r="D480" s="62"/>
    </row>
    <row r="481">
      <c r="A481" s="62"/>
      <c r="B481" s="7"/>
      <c r="C481" s="62"/>
      <c r="D481" s="62"/>
    </row>
    <row r="482">
      <c r="A482" s="62"/>
      <c r="B482" s="7"/>
      <c r="C482" s="62"/>
      <c r="D482" s="62"/>
    </row>
    <row r="483">
      <c r="A483" s="62"/>
      <c r="B483" s="7"/>
      <c r="C483" s="62"/>
      <c r="D483" s="62"/>
    </row>
    <row r="484">
      <c r="A484" s="62"/>
      <c r="B484" s="7"/>
      <c r="C484" s="62"/>
      <c r="D484" s="62"/>
    </row>
    <row r="485">
      <c r="A485" s="62"/>
      <c r="B485" s="7"/>
      <c r="C485" s="62"/>
      <c r="D485" s="62"/>
    </row>
    <row r="486">
      <c r="A486" s="62"/>
      <c r="B486" s="7"/>
      <c r="C486" s="62"/>
      <c r="D486" s="62"/>
    </row>
    <row r="487">
      <c r="A487" s="62"/>
      <c r="B487" s="7"/>
      <c r="C487" s="62"/>
      <c r="D487" s="62"/>
    </row>
    <row r="488">
      <c r="A488" s="62"/>
      <c r="B488" s="7"/>
      <c r="C488" s="62"/>
      <c r="D488" s="62"/>
    </row>
    <row r="489">
      <c r="A489" s="62"/>
      <c r="B489" s="7"/>
      <c r="C489" s="62"/>
      <c r="D489" s="62"/>
    </row>
    <row r="490">
      <c r="A490" s="62"/>
      <c r="B490" s="7"/>
      <c r="C490" s="62"/>
      <c r="D490" s="62"/>
    </row>
    <row r="491">
      <c r="A491" s="62"/>
      <c r="B491" s="7"/>
      <c r="C491" s="62"/>
      <c r="D491" s="62"/>
    </row>
    <row r="492">
      <c r="A492" s="62"/>
      <c r="B492" s="7"/>
      <c r="C492" s="62"/>
      <c r="D492" s="62"/>
    </row>
    <row r="493">
      <c r="A493" s="62"/>
      <c r="B493" s="7"/>
      <c r="C493" s="62"/>
      <c r="D493" s="62"/>
    </row>
    <row r="494">
      <c r="A494" s="62"/>
      <c r="B494" s="7"/>
      <c r="C494" s="62"/>
      <c r="D494" s="62"/>
    </row>
    <row r="495">
      <c r="A495" s="62"/>
      <c r="B495" s="7"/>
      <c r="C495" s="62"/>
      <c r="D495" s="62"/>
    </row>
    <row r="496">
      <c r="A496" s="62"/>
      <c r="B496" s="7"/>
      <c r="C496" s="62"/>
      <c r="D496" s="62"/>
    </row>
    <row r="497">
      <c r="A497" s="62"/>
      <c r="B497" s="7"/>
      <c r="C497" s="62"/>
      <c r="D497" s="62"/>
    </row>
    <row r="498">
      <c r="A498" s="62"/>
      <c r="B498" s="7"/>
      <c r="C498" s="62"/>
      <c r="D498" s="62"/>
    </row>
    <row r="499">
      <c r="A499" s="62"/>
      <c r="B499" s="7"/>
      <c r="C499" s="62"/>
      <c r="D499" s="62"/>
    </row>
    <row r="500">
      <c r="A500" s="62"/>
      <c r="B500" s="7"/>
      <c r="C500" s="62"/>
      <c r="D500" s="62"/>
    </row>
    <row r="501">
      <c r="A501" s="62"/>
      <c r="B501" s="7"/>
      <c r="C501" s="62"/>
      <c r="D501" s="62"/>
    </row>
    <row r="502">
      <c r="A502" s="62"/>
      <c r="B502" s="7"/>
      <c r="C502" s="62"/>
      <c r="D502" s="62"/>
    </row>
    <row r="503">
      <c r="A503" s="62"/>
      <c r="B503" s="7"/>
      <c r="C503" s="62"/>
      <c r="D503" s="62"/>
    </row>
    <row r="504">
      <c r="A504" s="62"/>
      <c r="B504" s="7"/>
      <c r="C504" s="62"/>
      <c r="D504" s="62"/>
    </row>
    <row r="505">
      <c r="A505" s="62"/>
      <c r="B505" s="7"/>
      <c r="C505" s="62"/>
      <c r="D505" s="62"/>
    </row>
    <row r="506">
      <c r="A506" s="62"/>
      <c r="B506" s="7"/>
      <c r="C506" s="62"/>
      <c r="D506" s="62"/>
    </row>
    <row r="507">
      <c r="A507" s="62"/>
      <c r="B507" s="7"/>
      <c r="C507" s="62"/>
      <c r="D507" s="62"/>
    </row>
    <row r="508">
      <c r="A508" s="62"/>
      <c r="B508" s="7"/>
      <c r="C508" s="62"/>
      <c r="D508" s="62"/>
    </row>
    <row r="509">
      <c r="A509" s="62"/>
      <c r="B509" s="7"/>
      <c r="C509" s="62"/>
      <c r="D509" s="62"/>
    </row>
    <row r="510">
      <c r="A510" s="62"/>
      <c r="B510" s="7"/>
      <c r="C510" s="62"/>
      <c r="D510" s="62"/>
    </row>
    <row r="511">
      <c r="A511" s="62"/>
      <c r="B511" s="7"/>
      <c r="C511" s="62"/>
      <c r="D511" s="62"/>
    </row>
    <row r="512">
      <c r="A512" s="62"/>
      <c r="B512" s="7"/>
      <c r="C512" s="62"/>
      <c r="D512" s="62"/>
    </row>
    <row r="513">
      <c r="A513" s="62"/>
      <c r="B513" s="7"/>
      <c r="C513" s="62"/>
      <c r="D513" s="62"/>
    </row>
    <row r="514">
      <c r="A514" s="62"/>
      <c r="B514" s="7"/>
      <c r="C514" s="62"/>
      <c r="D514" s="62"/>
    </row>
    <row r="515">
      <c r="A515" s="62"/>
      <c r="B515" s="7"/>
      <c r="C515" s="62"/>
      <c r="D515" s="62"/>
    </row>
    <row r="516">
      <c r="A516" s="62"/>
      <c r="B516" s="7"/>
      <c r="C516" s="62"/>
      <c r="D516" s="62"/>
    </row>
    <row r="517">
      <c r="A517" s="62"/>
      <c r="B517" s="7"/>
      <c r="C517" s="62"/>
      <c r="D517" s="62"/>
    </row>
    <row r="518">
      <c r="A518" s="62"/>
      <c r="B518" s="7"/>
      <c r="C518" s="62"/>
      <c r="D518" s="62"/>
    </row>
    <row r="519">
      <c r="A519" s="62"/>
      <c r="B519" s="7"/>
      <c r="C519" s="62"/>
      <c r="D519" s="62"/>
    </row>
    <row r="520">
      <c r="A520" s="62"/>
      <c r="B520" s="7"/>
      <c r="C520" s="62"/>
      <c r="D520" s="62"/>
    </row>
    <row r="521">
      <c r="A521" s="62"/>
      <c r="B521" s="7"/>
      <c r="C521" s="62"/>
      <c r="D521" s="62"/>
    </row>
    <row r="522">
      <c r="A522" s="62"/>
      <c r="B522" s="7"/>
      <c r="C522" s="62"/>
      <c r="D522" s="62"/>
    </row>
    <row r="523">
      <c r="A523" s="62"/>
      <c r="B523" s="7"/>
      <c r="C523" s="62"/>
      <c r="D523" s="62"/>
    </row>
    <row r="524">
      <c r="A524" s="62"/>
      <c r="B524" s="7"/>
      <c r="C524" s="62"/>
      <c r="D524" s="62"/>
    </row>
    <row r="525">
      <c r="A525" s="62"/>
      <c r="B525" s="7"/>
      <c r="C525" s="62"/>
      <c r="D525" s="62"/>
    </row>
    <row r="526">
      <c r="A526" s="62"/>
      <c r="B526" s="7"/>
      <c r="C526" s="62"/>
      <c r="D526" s="62"/>
    </row>
    <row r="527">
      <c r="A527" s="62"/>
      <c r="B527" s="7"/>
      <c r="C527" s="62"/>
      <c r="D527" s="62"/>
    </row>
    <row r="528">
      <c r="A528" s="62"/>
      <c r="B528" s="7"/>
      <c r="C528" s="62"/>
      <c r="D528" s="62"/>
    </row>
    <row r="529">
      <c r="A529" s="62"/>
      <c r="B529" s="7"/>
      <c r="C529" s="62"/>
      <c r="D529" s="62"/>
    </row>
    <row r="530">
      <c r="A530" s="62"/>
      <c r="B530" s="7"/>
      <c r="C530" s="62"/>
      <c r="D530" s="62"/>
    </row>
    <row r="531">
      <c r="A531" s="62"/>
      <c r="B531" s="7"/>
      <c r="C531" s="62"/>
      <c r="D531" s="62"/>
    </row>
    <row r="532">
      <c r="A532" s="62"/>
      <c r="B532" s="7"/>
      <c r="C532" s="62"/>
      <c r="D532" s="62"/>
    </row>
    <row r="533">
      <c r="A533" s="62"/>
      <c r="B533" s="7"/>
      <c r="C533" s="62"/>
      <c r="D533" s="62"/>
    </row>
    <row r="534">
      <c r="A534" s="62"/>
      <c r="B534" s="7"/>
      <c r="C534" s="62"/>
      <c r="D534" s="62"/>
    </row>
    <row r="535">
      <c r="A535" s="62"/>
      <c r="B535" s="7"/>
      <c r="C535" s="62"/>
      <c r="D535" s="62"/>
    </row>
    <row r="536">
      <c r="A536" s="62"/>
      <c r="B536" s="7"/>
      <c r="C536" s="62"/>
      <c r="D536" s="62"/>
    </row>
    <row r="537">
      <c r="A537" s="62"/>
      <c r="B537" s="7"/>
      <c r="C537" s="62"/>
      <c r="D537" s="62"/>
    </row>
    <row r="538">
      <c r="A538" s="62"/>
      <c r="B538" s="7"/>
      <c r="C538" s="62"/>
      <c r="D538" s="62"/>
    </row>
    <row r="539">
      <c r="A539" s="62"/>
      <c r="B539" s="7"/>
      <c r="C539" s="62"/>
      <c r="D539" s="62"/>
    </row>
    <row r="540">
      <c r="A540" s="62"/>
      <c r="B540" s="7"/>
      <c r="C540" s="62"/>
      <c r="D540" s="62"/>
    </row>
    <row r="541">
      <c r="A541" s="62"/>
      <c r="B541" s="7"/>
      <c r="C541" s="62"/>
      <c r="D541" s="62"/>
    </row>
    <row r="542">
      <c r="A542" s="62"/>
      <c r="B542" s="7"/>
      <c r="C542" s="62"/>
      <c r="D542" s="62"/>
    </row>
    <row r="543">
      <c r="A543" s="62"/>
      <c r="B543" s="7"/>
      <c r="C543" s="62"/>
      <c r="D543" s="62"/>
    </row>
    <row r="544">
      <c r="A544" s="62"/>
      <c r="B544" s="7"/>
      <c r="C544" s="62"/>
      <c r="D544" s="62"/>
    </row>
    <row r="545">
      <c r="A545" s="62"/>
      <c r="B545" s="7"/>
      <c r="C545" s="62"/>
      <c r="D545" s="62"/>
    </row>
    <row r="546">
      <c r="A546" s="62"/>
      <c r="B546" s="7"/>
      <c r="C546" s="62"/>
      <c r="D546" s="62"/>
    </row>
    <row r="547">
      <c r="A547" s="62"/>
      <c r="B547" s="7"/>
      <c r="C547" s="62"/>
      <c r="D547" s="62"/>
    </row>
    <row r="548">
      <c r="A548" s="62"/>
      <c r="B548" s="7"/>
      <c r="C548" s="62"/>
      <c r="D548" s="62"/>
    </row>
    <row r="549">
      <c r="A549" s="62"/>
      <c r="B549" s="7"/>
      <c r="C549" s="62"/>
      <c r="D549" s="62"/>
    </row>
    <row r="550">
      <c r="A550" s="62"/>
      <c r="B550" s="7"/>
      <c r="C550" s="62"/>
      <c r="D550" s="62"/>
    </row>
    <row r="551">
      <c r="A551" s="62"/>
      <c r="B551" s="7"/>
      <c r="C551" s="62"/>
      <c r="D551" s="62"/>
    </row>
    <row r="552">
      <c r="A552" s="62"/>
      <c r="B552" s="7"/>
      <c r="C552" s="62"/>
      <c r="D552" s="62"/>
    </row>
    <row r="553">
      <c r="A553" s="62"/>
      <c r="B553" s="7"/>
      <c r="C553" s="62"/>
      <c r="D553" s="62"/>
    </row>
    <row r="554">
      <c r="A554" s="62"/>
      <c r="B554" s="7"/>
      <c r="C554" s="62"/>
      <c r="D554" s="62"/>
    </row>
    <row r="555">
      <c r="A555" s="62"/>
      <c r="B555" s="7"/>
      <c r="C555" s="62"/>
      <c r="D555" s="62"/>
    </row>
    <row r="556">
      <c r="A556" s="62"/>
      <c r="B556" s="7"/>
      <c r="C556" s="62"/>
      <c r="D556" s="62"/>
    </row>
    <row r="557">
      <c r="A557" s="62"/>
      <c r="B557" s="7"/>
      <c r="C557" s="62"/>
      <c r="D557" s="62"/>
    </row>
    <row r="558">
      <c r="A558" s="62"/>
      <c r="B558" s="7"/>
      <c r="C558" s="62"/>
      <c r="D558" s="62"/>
    </row>
    <row r="559">
      <c r="A559" s="62"/>
      <c r="B559" s="7"/>
      <c r="C559" s="62"/>
      <c r="D559" s="62"/>
    </row>
    <row r="560">
      <c r="A560" s="62"/>
      <c r="B560" s="7"/>
      <c r="C560" s="62"/>
      <c r="D560" s="62"/>
    </row>
    <row r="561">
      <c r="A561" s="62"/>
      <c r="B561" s="7"/>
      <c r="C561" s="62"/>
      <c r="D561" s="62"/>
    </row>
    <row r="562">
      <c r="A562" s="62"/>
      <c r="B562" s="7"/>
      <c r="C562" s="62"/>
      <c r="D562" s="62"/>
    </row>
    <row r="563">
      <c r="A563" s="62"/>
      <c r="B563" s="7"/>
      <c r="C563" s="62"/>
      <c r="D563" s="62"/>
    </row>
    <row r="564">
      <c r="A564" s="62"/>
      <c r="B564" s="7"/>
      <c r="C564" s="62"/>
      <c r="D564" s="62"/>
    </row>
    <row r="565">
      <c r="A565" s="62"/>
      <c r="B565" s="7"/>
      <c r="C565" s="62"/>
      <c r="D565" s="62"/>
    </row>
    <row r="566">
      <c r="A566" s="62"/>
      <c r="B566" s="7"/>
      <c r="C566" s="62"/>
      <c r="D566" s="62"/>
    </row>
    <row r="567">
      <c r="A567" s="62"/>
      <c r="B567" s="7"/>
      <c r="C567" s="62"/>
      <c r="D567" s="62"/>
    </row>
    <row r="568">
      <c r="A568" s="62"/>
      <c r="B568" s="7"/>
      <c r="C568" s="62"/>
      <c r="D568" s="62"/>
    </row>
    <row r="569">
      <c r="A569" s="62"/>
      <c r="B569" s="7"/>
      <c r="C569" s="62"/>
      <c r="D569" s="62"/>
    </row>
    <row r="570">
      <c r="A570" s="62"/>
      <c r="B570" s="7"/>
      <c r="C570" s="62"/>
      <c r="D570" s="62"/>
    </row>
    <row r="571">
      <c r="A571" s="62"/>
      <c r="B571" s="7"/>
      <c r="C571" s="62"/>
      <c r="D571" s="62"/>
    </row>
    <row r="572">
      <c r="A572" s="62"/>
      <c r="B572" s="7"/>
      <c r="C572" s="62"/>
      <c r="D572" s="62"/>
    </row>
    <row r="573">
      <c r="A573" s="62"/>
      <c r="B573" s="7"/>
      <c r="C573" s="62"/>
      <c r="D573" s="62"/>
    </row>
    <row r="574">
      <c r="A574" s="62"/>
      <c r="B574" s="7"/>
      <c r="C574" s="62"/>
      <c r="D574" s="62"/>
    </row>
    <row r="575">
      <c r="A575" s="62"/>
      <c r="B575" s="7"/>
      <c r="C575" s="62"/>
      <c r="D575" s="62"/>
    </row>
    <row r="576">
      <c r="A576" s="62"/>
      <c r="B576" s="7"/>
      <c r="C576" s="62"/>
      <c r="D576" s="62"/>
    </row>
    <row r="577">
      <c r="A577" s="62"/>
      <c r="B577" s="7"/>
      <c r="C577" s="62"/>
      <c r="D577" s="62"/>
    </row>
    <row r="578">
      <c r="A578" s="62"/>
      <c r="B578" s="7"/>
      <c r="C578" s="62"/>
      <c r="D578" s="62"/>
    </row>
    <row r="579">
      <c r="A579" s="62"/>
      <c r="B579" s="7"/>
      <c r="C579" s="62"/>
      <c r="D579" s="62"/>
    </row>
    <row r="580">
      <c r="A580" s="62"/>
      <c r="B580" s="7"/>
      <c r="C580" s="62"/>
      <c r="D580" s="62"/>
    </row>
    <row r="581">
      <c r="A581" s="62"/>
      <c r="B581" s="7"/>
      <c r="C581" s="62"/>
      <c r="D581" s="62"/>
    </row>
    <row r="582">
      <c r="A582" s="62"/>
      <c r="B582" s="7"/>
      <c r="C582" s="62"/>
      <c r="D582" s="62"/>
    </row>
    <row r="583">
      <c r="A583" s="62"/>
      <c r="B583" s="7"/>
      <c r="C583" s="62"/>
      <c r="D583" s="62"/>
    </row>
    <row r="584">
      <c r="A584" s="62"/>
      <c r="B584" s="7"/>
      <c r="C584" s="62"/>
      <c r="D584" s="62"/>
    </row>
    <row r="585">
      <c r="A585" s="62"/>
      <c r="B585" s="7"/>
      <c r="C585" s="62"/>
      <c r="D585" s="62"/>
    </row>
    <row r="586">
      <c r="A586" s="62"/>
      <c r="B586" s="7"/>
      <c r="C586" s="62"/>
      <c r="D586" s="62"/>
    </row>
    <row r="587">
      <c r="A587" s="62"/>
      <c r="B587" s="7"/>
      <c r="C587" s="62"/>
      <c r="D587" s="62"/>
    </row>
    <row r="588">
      <c r="A588" s="62"/>
      <c r="B588" s="7"/>
      <c r="C588" s="62"/>
      <c r="D588" s="62"/>
    </row>
    <row r="589">
      <c r="A589" s="62"/>
      <c r="B589" s="7"/>
      <c r="C589" s="62"/>
      <c r="D589" s="62"/>
    </row>
    <row r="590">
      <c r="A590" s="62"/>
      <c r="B590" s="7"/>
      <c r="C590" s="62"/>
      <c r="D590" s="62"/>
    </row>
    <row r="591">
      <c r="A591" s="62"/>
      <c r="B591" s="7"/>
      <c r="C591" s="62"/>
      <c r="D591" s="62"/>
    </row>
    <row r="592">
      <c r="A592" s="62"/>
      <c r="B592" s="7"/>
      <c r="C592" s="62"/>
      <c r="D592" s="62"/>
    </row>
    <row r="593">
      <c r="A593" s="62"/>
      <c r="B593" s="7"/>
      <c r="C593" s="62"/>
      <c r="D593" s="62"/>
    </row>
    <row r="594">
      <c r="A594" s="62"/>
      <c r="B594" s="7"/>
      <c r="C594" s="62"/>
      <c r="D594" s="62"/>
    </row>
    <row r="595">
      <c r="A595" s="62"/>
      <c r="B595" s="7"/>
      <c r="C595" s="62"/>
      <c r="D595" s="62"/>
    </row>
    <row r="596">
      <c r="A596" s="62"/>
      <c r="B596" s="7"/>
      <c r="C596" s="62"/>
      <c r="D596" s="62"/>
    </row>
    <row r="597">
      <c r="A597" s="62"/>
      <c r="B597" s="7"/>
      <c r="C597" s="62"/>
      <c r="D597" s="62"/>
    </row>
    <row r="598">
      <c r="A598" s="62"/>
      <c r="B598" s="7"/>
      <c r="C598" s="62"/>
      <c r="D598" s="62"/>
    </row>
    <row r="599">
      <c r="A599" s="62"/>
      <c r="B599" s="7"/>
      <c r="C599" s="62"/>
      <c r="D599" s="62"/>
    </row>
    <row r="600">
      <c r="A600" s="62"/>
      <c r="B600" s="7"/>
      <c r="C600" s="62"/>
      <c r="D600" s="62"/>
    </row>
    <row r="601">
      <c r="A601" s="62"/>
      <c r="B601" s="7"/>
      <c r="C601" s="62"/>
      <c r="D601" s="62"/>
    </row>
    <row r="602">
      <c r="A602" s="62"/>
      <c r="B602" s="7"/>
      <c r="C602" s="62"/>
      <c r="D602" s="62"/>
    </row>
    <row r="603">
      <c r="A603" s="62"/>
      <c r="B603" s="7"/>
      <c r="C603" s="62"/>
      <c r="D603" s="62"/>
    </row>
    <row r="604">
      <c r="A604" s="62"/>
      <c r="B604" s="7"/>
      <c r="C604" s="62"/>
      <c r="D604" s="62"/>
    </row>
    <row r="605">
      <c r="A605" s="62"/>
      <c r="B605" s="7"/>
      <c r="C605" s="62"/>
      <c r="D605" s="62"/>
    </row>
    <row r="606">
      <c r="A606" s="62"/>
      <c r="B606" s="7"/>
      <c r="C606" s="62"/>
      <c r="D606" s="62"/>
    </row>
    <row r="607">
      <c r="A607" s="62"/>
      <c r="B607" s="7"/>
      <c r="C607" s="62"/>
      <c r="D607" s="62"/>
    </row>
    <row r="608">
      <c r="A608" s="62"/>
      <c r="B608" s="7"/>
      <c r="C608" s="62"/>
      <c r="D608" s="62"/>
    </row>
    <row r="609">
      <c r="A609" s="62"/>
      <c r="B609" s="7"/>
      <c r="C609" s="62"/>
      <c r="D609" s="62"/>
    </row>
    <row r="610">
      <c r="A610" s="62"/>
      <c r="B610" s="7"/>
      <c r="C610" s="62"/>
      <c r="D610" s="62"/>
    </row>
    <row r="611">
      <c r="A611" s="62"/>
      <c r="B611" s="7"/>
      <c r="C611" s="62"/>
      <c r="D611" s="62"/>
    </row>
    <row r="612">
      <c r="A612" s="62"/>
      <c r="B612" s="7"/>
      <c r="C612" s="62"/>
      <c r="D612" s="62"/>
    </row>
    <row r="613">
      <c r="A613" s="62"/>
      <c r="B613" s="7"/>
      <c r="C613" s="62"/>
      <c r="D613" s="62"/>
    </row>
    <row r="614">
      <c r="A614" s="62"/>
      <c r="B614" s="7"/>
      <c r="C614" s="62"/>
      <c r="D614" s="62"/>
    </row>
    <row r="615">
      <c r="A615" s="62"/>
      <c r="B615" s="7"/>
      <c r="C615" s="62"/>
      <c r="D615" s="62"/>
    </row>
    <row r="616">
      <c r="A616" s="62"/>
      <c r="B616" s="7"/>
      <c r="C616" s="62"/>
      <c r="D616" s="62"/>
    </row>
    <row r="617">
      <c r="A617" s="62"/>
      <c r="B617" s="7"/>
      <c r="C617" s="62"/>
      <c r="D617" s="62"/>
    </row>
    <row r="618">
      <c r="A618" s="62"/>
      <c r="B618" s="7"/>
      <c r="C618" s="62"/>
      <c r="D618" s="62"/>
    </row>
    <row r="619">
      <c r="A619" s="62"/>
      <c r="B619" s="7"/>
      <c r="C619" s="62"/>
      <c r="D619" s="62"/>
    </row>
    <row r="620">
      <c r="A620" s="62"/>
      <c r="B620" s="7"/>
      <c r="C620" s="62"/>
      <c r="D620" s="62"/>
    </row>
    <row r="621">
      <c r="A621" s="62"/>
      <c r="B621" s="7"/>
      <c r="C621" s="62"/>
      <c r="D621" s="62"/>
    </row>
    <row r="622">
      <c r="A622" s="62"/>
      <c r="B622" s="7"/>
      <c r="C622" s="62"/>
      <c r="D622" s="62"/>
    </row>
    <row r="623">
      <c r="A623" s="62"/>
      <c r="B623" s="7"/>
      <c r="C623" s="62"/>
      <c r="D623" s="62"/>
    </row>
    <row r="624">
      <c r="A624" s="62"/>
      <c r="B624" s="7"/>
      <c r="C624" s="62"/>
      <c r="D624" s="62"/>
    </row>
    <row r="625">
      <c r="A625" s="62"/>
      <c r="B625" s="7"/>
      <c r="C625" s="62"/>
      <c r="D625" s="62"/>
    </row>
    <row r="626">
      <c r="A626" s="62"/>
      <c r="B626" s="7"/>
      <c r="C626" s="62"/>
      <c r="D626" s="62"/>
    </row>
    <row r="627">
      <c r="A627" s="62"/>
      <c r="B627" s="7"/>
      <c r="C627" s="62"/>
      <c r="D627" s="62"/>
    </row>
    <row r="628">
      <c r="A628" s="62"/>
      <c r="B628" s="7"/>
      <c r="C628" s="62"/>
      <c r="D628" s="62"/>
    </row>
    <row r="629">
      <c r="A629" s="62"/>
      <c r="B629" s="7"/>
      <c r="C629" s="62"/>
      <c r="D629" s="62"/>
    </row>
    <row r="630">
      <c r="A630" s="62"/>
      <c r="B630" s="7"/>
      <c r="C630" s="62"/>
      <c r="D630" s="62"/>
    </row>
    <row r="631">
      <c r="A631" s="62"/>
      <c r="B631" s="7"/>
      <c r="C631" s="62"/>
      <c r="D631" s="62"/>
    </row>
    <row r="632">
      <c r="A632" s="62"/>
      <c r="B632" s="7"/>
      <c r="C632" s="62"/>
      <c r="D632" s="62"/>
    </row>
    <row r="633">
      <c r="A633" s="62"/>
      <c r="B633" s="7"/>
      <c r="C633" s="62"/>
      <c r="D633" s="62"/>
    </row>
    <row r="634">
      <c r="A634" s="62"/>
      <c r="B634" s="7"/>
      <c r="C634" s="62"/>
      <c r="D634" s="62"/>
    </row>
    <row r="635">
      <c r="A635" s="62"/>
      <c r="B635" s="7"/>
      <c r="C635" s="62"/>
      <c r="D635" s="62"/>
    </row>
    <row r="636">
      <c r="A636" s="62"/>
      <c r="B636" s="7"/>
      <c r="C636" s="62"/>
      <c r="D636" s="62"/>
    </row>
    <row r="637">
      <c r="A637" s="62"/>
      <c r="B637" s="7"/>
      <c r="C637" s="62"/>
      <c r="D637" s="62"/>
    </row>
    <row r="638">
      <c r="A638" s="62"/>
      <c r="B638" s="7"/>
      <c r="C638" s="62"/>
      <c r="D638" s="62"/>
    </row>
    <row r="639">
      <c r="A639" s="62"/>
      <c r="B639" s="7"/>
      <c r="C639" s="62"/>
      <c r="D639" s="62"/>
    </row>
    <row r="640">
      <c r="A640" s="62"/>
      <c r="B640" s="7"/>
      <c r="C640" s="62"/>
      <c r="D640" s="62"/>
    </row>
    <row r="641">
      <c r="A641" s="62"/>
      <c r="B641" s="7"/>
      <c r="C641" s="62"/>
      <c r="D641" s="62"/>
    </row>
    <row r="642">
      <c r="A642" s="62"/>
      <c r="B642" s="7"/>
      <c r="C642" s="62"/>
      <c r="D642" s="62"/>
    </row>
    <row r="643">
      <c r="A643" s="62"/>
      <c r="B643" s="7"/>
      <c r="C643" s="62"/>
      <c r="D643" s="62"/>
    </row>
    <row r="644">
      <c r="A644" s="62"/>
      <c r="B644" s="7"/>
      <c r="C644" s="62"/>
      <c r="D644" s="62"/>
    </row>
    <row r="645">
      <c r="A645" s="62"/>
      <c r="B645" s="7"/>
      <c r="C645" s="62"/>
      <c r="D645" s="62"/>
    </row>
    <row r="646">
      <c r="A646" s="62"/>
      <c r="B646" s="7"/>
      <c r="C646" s="62"/>
      <c r="D646" s="62"/>
    </row>
    <row r="647">
      <c r="A647" s="62"/>
      <c r="B647" s="7"/>
      <c r="C647" s="62"/>
      <c r="D647" s="62"/>
    </row>
    <row r="648">
      <c r="A648" s="62"/>
      <c r="B648" s="7"/>
      <c r="C648" s="62"/>
      <c r="D648" s="62"/>
    </row>
    <row r="649">
      <c r="A649" s="62"/>
      <c r="B649" s="7"/>
      <c r="C649" s="62"/>
      <c r="D649" s="62"/>
    </row>
    <row r="650">
      <c r="A650" s="62"/>
      <c r="B650" s="7"/>
      <c r="C650" s="62"/>
      <c r="D650" s="62"/>
    </row>
    <row r="651">
      <c r="A651" s="62"/>
      <c r="B651" s="7"/>
      <c r="C651" s="62"/>
      <c r="D651" s="62"/>
    </row>
    <row r="652">
      <c r="A652" s="62"/>
      <c r="B652" s="7"/>
      <c r="C652" s="62"/>
      <c r="D652" s="62"/>
    </row>
    <row r="653">
      <c r="A653" s="62"/>
      <c r="B653" s="7"/>
      <c r="C653" s="62"/>
      <c r="D653" s="62"/>
    </row>
    <row r="654">
      <c r="A654" s="62"/>
      <c r="B654" s="7"/>
      <c r="C654" s="62"/>
      <c r="D654" s="62"/>
    </row>
    <row r="655">
      <c r="A655" s="62"/>
      <c r="B655" s="7"/>
      <c r="C655" s="62"/>
      <c r="D655" s="62"/>
    </row>
    <row r="656">
      <c r="A656" s="62"/>
      <c r="B656" s="7"/>
      <c r="C656" s="62"/>
      <c r="D656" s="62"/>
    </row>
    <row r="657">
      <c r="A657" s="62"/>
      <c r="B657" s="7"/>
      <c r="C657" s="62"/>
      <c r="D657" s="62"/>
    </row>
    <row r="658">
      <c r="A658" s="62"/>
      <c r="B658" s="7"/>
      <c r="C658" s="62"/>
      <c r="D658" s="62"/>
    </row>
    <row r="659">
      <c r="A659" s="62"/>
      <c r="B659" s="7"/>
      <c r="C659" s="62"/>
      <c r="D659" s="62"/>
    </row>
    <row r="660">
      <c r="A660" s="62"/>
      <c r="B660" s="7"/>
      <c r="C660" s="62"/>
      <c r="D660" s="62"/>
    </row>
    <row r="661">
      <c r="A661" s="62"/>
      <c r="B661" s="7"/>
      <c r="C661" s="62"/>
      <c r="D661" s="62"/>
    </row>
    <row r="662">
      <c r="A662" s="62"/>
      <c r="B662" s="7"/>
      <c r="C662" s="62"/>
      <c r="D662" s="62"/>
    </row>
    <row r="663">
      <c r="A663" s="62"/>
      <c r="B663" s="7"/>
      <c r="C663" s="62"/>
      <c r="D663" s="62"/>
    </row>
    <row r="664">
      <c r="A664" s="62"/>
      <c r="B664" s="7"/>
      <c r="C664" s="62"/>
      <c r="D664" s="62"/>
    </row>
    <row r="665">
      <c r="A665" s="62"/>
      <c r="B665" s="7"/>
      <c r="C665" s="62"/>
      <c r="D665" s="62"/>
    </row>
    <row r="666">
      <c r="A666" s="62"/>
      <c r="B666" s="7"/>
      <c r="C666" s="62"/>
      <c r="D666" s="62"/>
    </row>
    <row r="667">
      <c r="A667" s="62"/>
      <c r="B667" s="7"/>
      <c r="C667" s="62"/>
      <c r="D667" s="62"/>
    </row>
    <row r="668">
      <c r="A668" s="62"/>
      <c r="B668" s="7"/>
      <c r="C668" s="62"/>
      <c r="D668" s="62"/>
    </row>
    <row r="669">
      <c r="A669" s="62"/>
      <c r="B669" s="7"/>
      <c r="C669" s="62"/>
      <c r="D669" s="62"/>
    </row>
    <row r="670">
      <c r="A670" s="62"/>
      <c r="B670" s="7"/>
      <c r="C670" s="62"/>
      <c r="D670" s="62"/>
    </row>
    <row r="671">
      <c r="A671" s="62"/>
      <c r="B671" s="7"/>
      <c r="C671" s="62"/>
      <c r="D671" s="62"/>
    </row>
    <row r="672">
      <c r="A672" s="62"/>
      <c r="B672" s="7"/>
      <c r="C672" s="62"/>
      <c r="D672" s="62"/>
    </row>
    <row r="673">
      <c r="A673" s="62"/>
      <c r="B673" s="7"/>
      <c r="C673" s="62"/>
      <c r="D673" s="62"/>
    </row>
    <row r="674">
      <c r="A674" s="62"/>
      <c r="B674" s="7"/>
      <c r="C674" s="62"/>
      <c r="D674" s="62"/>
    </row>
    <row r="675">
      <c r="A675" s="62"/>
      <c r="B675" s="7"/>
      <c r="C675" s="62"/>
      <c r="D675" s="62"/>
    </row>
    <row r="676">
      <c r="A676" s="62"/>
      <c r="B676" s="7"/>
      <c r="C676" s="62"/>
      <c r="D676" s="62"/>
    </row>
    <row r="677">
      <c r="A677" s="62"/>
      <c r="B677" s="7"/>
      <c r="C677" s="62"/>
      <c r="D677" s="62"/>
    </row>
    <row r="678">
      <c r="A678" s="62"/>
      <c r="B678" s="7"/>
      <c r="C678" s="62"/>
      <c r="D678" s="62"/>
    </row>
    <row r="679">
      <c r="A679" s="62"/>
      <c r="B679" s="7"/>
      <c r="C679" s="62"/>
      <c r="D679" s="62"/>
    </row>
    <row r="680">
      <c r="A680" s="62"/>
      <c r="B680" s="7"/>
      <c r="C680" s="62"/>
      <c r="D680" s="62"/>
    </row>
    <row r="681">
      <c r="A681" s="62"/>
      <c r="B681" s="7"/>
      <c r="C681" s="62"/>
      <c r="D681" s="62"/>
    </row>
    <row r="682">
      <c r="A682" s="62"/>
      <c r="B682" s="7"/>
      <c r="C682" s="62"/>
      <c r="D682" s="62"/>
    </row>
    <row r="683">
      <c r="A683" s="62"/>
      <c r="B683" s="7"/>
      <c r="C683" s="62"/>
      <c r="D683" s="62"/>
    </row>
    <row r="684">
      <c r="A684" s="62"/>
      <c r="B684" s="7"/>
      <c r="C684" s="62"/>
      <c r="D684" s="62"/>
    </row>
    <row r="685">
      <c r="A685" s="62"/>
      <c r="B685" s="7"/>
      <c r="C685" s="62"/>
      <c r="D685" s="62"/>
    </row>
    <row r="686">
      <c r="A686" s="62"/>
      <c r="B686" s="7"/>
      <c r="C686" s="62"/>
      <c r="D686" s="62"/>
    </row>
    <row r="687">
      <c r="A687" s="62"/>
      <c r="B687" s="7"/>
      <c r="C687" s="62"/>
      <c r="D687" s="62"/>
    </row>
    <row r="688">
      <c r="A688" s="62"/>
      <c r="B688" s="7"/>
      <c r="C688" s="62"/>
      <c r="D688" s="62"/>
    </row>
    <row r="689">
      <c r="A689" s="62"/>
      <c r="B689" s="7"/>
      <c r="C689" s="62"/>
      <c r="D689" s="62"/>
    </row>
    <row r="690">
      <c r="A690" s="62"/>
      <c r="B690" s="7"/>
      <c r="C690" s="62"/>
      <c r="D690" s="62"/>
    </row>
    <row r="691">
      <c r="A691" s="62"/>
      <c r="B691" s="7"/>
      <c r="C691" s="62"/>
      <c r="D691" s="62"/>
    </row>
    <row r="692">
      <c r="A692" s="62"/>
      <c r="B692" s="7"/>
      <c r="C692" s="62"/>
      <c r="D692" s="62"/>
    </row>
    <row r="693">
      <c r="A693" s="62"/>
      <c r="B693" s="7"/>
      <c r="C693" s="62"/>
      <c r="D693" s="62"/>
    </row>
    <row r="694">
      <c r="A694" s="62"/>
      <c r="B694" s="7"/>
      <c r="C694" s="62"/>
      <c r="D694" s="62"/>
    </row>
    <row r="695">
      <c r="A695" s="62"/>
      <c r="B695" s="7"/>
      <c r="C695" s="62"/>
      <c r="D695" s="62"/>
    </row>
    <row r="696">
      <c r="A696" s="62"/>
      <c r="B696" s="7"/>
      <c r="C696" s="62"/>
      <c r="D696" s="62"/>
    </row>
    <row r="697">
      <c r="A697" s="62"/>
      <c r="B697" s="7"/>
      <c r="C697" s="62"/>
      <c r="D697" s="62"/>
    </row>
    <row r="698">
      <c r="A698" s="62"/>
      <c r="B698" s="7"/>
      <c r="C698" s="62"/>
      <c r="D698" s="62"/>
    </row>
    <row r="699">
      <c r="A699" s="62"/>
      <c r="B699" s="7"/>
      <c r="C699" s="62"/>
      <c r="D699" s="62"/>
    </row>
    <row r="700">
      <c r="A700" s="62"/>
      <c r="B700" s="7"/>
      <c r="C700" s="62"/>
      <c r="D700" s="62"/>
    </row>
    <row r="701">
      <c r="A701" s="62"/>
      <c r="B701" s="7"/>
      <c r="C701" s="62"/>
      <c r="D701" s="62"/>
    </row>
    <row r="702">
      <c r="A702" s="62"/>
      <c r="B702" s="7"/>
      <c r="C702" s="62"/>
      <c r="D702" s="62"/>
    </row>
    <row r="703">
      <c r="A703" s="62"/>
      <c r="B703" s="7"/>
      <c r="C703" s="62"/>
      <c r="D703" s="62"/>
    </row>
    <row r="704">
      <c r="A704" s="62"/>
      <c r="B704" s="7"/>
      <c r="C704" s="62"/>
      <c r="D704" s="62"/>
    </row>
    <row r="705">
      <c r="A705" s="62"/>
      <c r="B705" s="7"/>
      <c r="C705" s="62"/>
      <c r="D705" s="62"/>
    </row>
    <row r="706">
      <c r="A706" s="62"/>
      <c r="B706" s="7"/>
      <c r="C706" s="62"/>
      <c r="D706" s="62"/>
    </row>
    <row r="707">
      <c r="A707" s="62"/>
      <c r="B707" s="7"/>
      <c r="C707" s="62"/>
      <c r="D707" s="62"/>
    </row>
    <row r="708">
      <c r="A708" s="62"/>
      <c r="B708" s="7"/>
      <c r="C708" s="62"/>
      <c r="D708" s="62"/>
    </row>
    <row r="709">
      <c r="A709" s="62"/>
      <c r="B709" s="7"/>
      <c r="C709" s="62"/>
      <c r="D709" s="62"/>
    </row>
    <row r="710">
      <c r="A710" s="62"/>
      <c r="B710" s="7"/>
      <c r="C710" s="62"/>
      <c r="D710" s="62"/>
    </row>
    <row r="711">
      <c r="A711" s="62"/>
      <c r="B711" s="7"/>
      <c r="C711" s="62"/>
      <c r="D711" s="62"/>
    </row>
    <row r="712">
      <c r="A712" s="62"/>
      <c r="B712" s="7"/>
      <c r="C712" s="62"/>
      <c r="D712" s="62"/>
    </row>
    <row r="713">
      <c r="A713" s="62"/>
      <c r="B713" s="7"/>
      <c r="C713" s="62"/>
      <c r="D713" s="62"/>
    </row>
    <row r="714">
      <c r="A714" s="62"/>
      <c r="B714" s="7"/>
      <c r="C714" s="62"/>
      <c r="D714" s="62"/>
    </row>
    <row r="715">
      <c r="A715" s="62"/>
      <c r="B715" s="7"/>
      <c r="C715" s="62"/>
      <c r="D715" s="62"/>
    </row>
    <row r="716">
      <c r="A716" s="62"/>
      <c r="B716" s="7"/>
      <c r="C716" s="62"/>
      <c r="D716" s="62"/>
    </row>
    <row r="717">
      <c r="A717" s="62"/>
      <c r="B717" s="7"/>
      <c r="C717" s="62"/>
      <c r="D717" s="62"/>
    </row>
    <row r="718">
      <c r="A718" s="62"/>
      <c r="B718" s="7"/>
      <c r="C718" s="62"/>
      <c r="D718" s="62"/>
    </row>
    <row r="719">
      <c r="A719" s="62"/>
      <c r="B719" s="7"/>
      <c r="C719" s="62"/>
      <c r="D719" s="62"/>
    </row>
    <row r="720">
      <c r="A720" s="62"/>
      <c r="B720" s="7"/>
      <c r="C720" s="62"/>
      <c r="D720" s="62"/>
    </row>
    <row r="721">
      <c r="A721" s="62"/>
      <c r="B721" s="7"/>
      <c r="C721" s="62"/>
      <c r="D721" s="62"/>
    </row>
    <row r="722">
      <c r="A722" s="62"/>
      <c r="B722" s="7"/>
      <c r="C722" s="62"/>
      <c r="D722" s="62"/>
    </row>
    <row r="723">
      <c r="A723" s="62"/>
      <c r="B723" s="7"/>
      <c r="C723" s="62"/>
      <c r="D723" s="62"/>
    </row>
    <row r="724">
      <c r="A724" s="62"/>
      <c r="B724" s="7"/>
      <c r="C724" s="62"/>
      <c r="D724" s="62"/>
    </row>
    <row r="725">
      <c r="A725" s="62"/>
      <c r="B725" s="7"/>
      <c r="C725" s="62"/>
      <c r="D725" s="62"/>
    </row>
    <row r="726">
      <c r="A726" s="62"/>
      <c r="B726" s="7"/>
      <c r="C726" s="62"/>
      <c r="D726" s="62"/>
    </row>
    <row r="727">
      <c r="A727" s="62"/>
      <c r="B727" s="7"/>
      <c r="C727" s="62"/>
      <c r="D727" s="62"/>
    </row>
    <row r="728">
      <c r="A728" s="62"/>
      <c r="B728" s="7"/>
      <c r="C728" s="62"/>
      <c r="D728" s="62"/>
    </row>
    <row r="729">
      <c r="A729" s="62"/>
      <c r="B729" s="7"/>
      <c r="C729" s="62"/>
      <c r="D729" s="62"/>
    </row>
    <row r="730">
      <c r="A730" s="62"/>
      <c r="B730" s="7"/>
      <c r="C730" s="62"/>
      <c r="D730" s="62"/>
    </row>
    <row r="731">
      <c r="A731" s="62"/>
      <c r="B731" s="7"/>
      <c r="C731" s="62"/>
      <c r="D731" s="62"/>
    </row>
    <row r="732">
      <c r="A732" s="62"/>
      <c r="B732" s="7"/>
      <c r="C732" s="62"/>
      <c r="D732" s="62"/>
    </row>
    <row r="733">
      <c r="A733" s="62"/>
      <c r="B733" s="7"/>
      <c r="C733" s="62"/>
      <c r="D733" s="62"/>
    </row>
    <row r="734">
      <c r="A734" s="62"/>
      <c r="B734" s="7"/>
      <c r="C734" s="62"/>
      <c r="D734" s="62"/>
    </row>
    <row r="735">
      <c r="A735" s="62"/>
      <c r="B735" s="7"/>
      <c r="C735" s="62"/>
      <c r="D735" s="62"/>
    </row>
    <row r="736">
      <c r="A736" s="62"/>
      <c r="B736" s="7"/>
      <c r="C736" s="62"/>
      <c r="D736" s="62"/>
    </row>
    <row r="737">
      <c r="A737" s="62"/>
      <c r="B737" s="7"/>
      <c r="C737" s="62"/>
      <c r="D737" s="62"/>
    </row>
    <row r="738">
      <c r="A738" s="62"/>
      <c r="B738" s="7"/>
      <c r="C738" s="62"/>
      <c r="D738" s="62"/>
    </row>
    <row r="739">
      <c r="A739" s="62"/>
      <c r="B739" s="7"/>
      <c r="C739" s="62"/>
      <c r="D739" s="62"/>
    </row>
    <row r="740">
      <c r="A740" s="62"/>
      <c r="B740" s="7"/>
      <c r="C740" s="62"/>
      <c r="D740" s="62"/>
    </row>
    <row r="741">
      <c r="A741" s="62"/>
      <c r="B741" s="7"/>
      <c r="C741" s="62"/>
      <c r="D741" s="62"/>
    </row>
    <row r="742">
      <c r="A742" s="62"/>
      <c r="B742" s="7"/>
      <c r="C742" s="62"/>
      <c r="D742" s="62"/>
    </row>
    <row r="743">
      <c r="A743" s="62"/>
      <c r="B743" s="7"/>
      <c r="C743" s="62"/>
      <c r="D743" s="62"/>
    </row>
    <row r="744">
      <c r="A744" s="62"/>
      <c r="B744" s="7"/>
      <c r="C744" s="62"/>
      <c r="D744" s="62"/>
    </row>
    <row r="745">
      <c r="A745" s="62"/>
      <c r="B745" s="7"/>
      <c r="C745" s="62"/>
      <c r="D745" s="62"/>
    </row>
    <row r="746">
      <c r="A746" s="62"/>
      <c r="B746" s="7"/>
      <c r="C746" s="62"/>
      <c r="D746" s="62"/>
    </row>
    <row r="747">
      <c r="A747" s="62"/>
      <c r="B747" s="7"/>
      <c r="C747" s="62"/>
      <c r="D747" s="62"/>
    </row>
    <row r="748">
      <c r="A748" s="62"/>
      <c r="B748" s="7"/>
      <c r="C748" s="62"/>
      <c r="D748" s="62"/>
    </row>
    <row r="749">
      <c r="A749" s="62"/>
      <c r="B749" s="7"/>
      <c r="C749" s="62"/>
      <c r="D749" s="62"/>
    </row>
    <row r="750">
      <c r="A750" s="62"/>
      <c r="B750" s="7"/>
      <c r="C750" s="62"/>
      <c r="D750" s="62"/>
    </row>
    <row r="751">
      <c r="A751" s="62"/>
      <c r="B751" s="7"/>
      <c r="C751" s="62"/>
      <c r="D751" s="62"/>
    </row>
    <row r="752">
      <c r="A752" s="62"/>
      <c r="B752" s="7"/>
      <c r="C752" s="62"/>
      <c r="D752" s="62"/>
    </row>
    <row r="753">
      <c r="A753" s="62"/>
      <c r="B753" s="7"/>
      <c r="C753" s="62"/>
      <c r="D753" s="62"/>
    </row>
    <row r="754">
      <c r="A754" s="62"/>
      <c r="B754" s="7"/>
      <c r="C754" s="62"/>
      <c r="D754" s="62"/>
    </row>
    <row r="755">
      <c r="A755" s="62"/>
      <c r="B755" s="7"/>
      <c r="C755" s="62"/>
      <c r="D755" s="62"/>
    </row>
    <row r="756">
      <c r="A756" s="62"/>
      <c r="B756" s="7"/>
      <c r="C756" s="62"/>
      <c r="D756" s="62"/>
    </row>
    <row r="757">
      <c r="A757" s="62"/>
      <c r="B757" s="7"/>
      <c r="C757" s="62"/>
      <c r="D757" s="62"/>
    </row>
    <row r="758">
      <c r="A758" s="62"/>
      <c r="B758" s="7"/>
      <c r="C758" s="62"/>
      <c r="D758" s="62"/>
    </row>
    <row r="759">
      <c r="A759" s="62"/>
      <c r="B759" s="7"/>
      <c r="C759" s="62"/>
      <c r="D759" s="62"/>
    </row>
    <row r="760">
      <c r="A760" s="62"/>
      <c r="B760" s="7"/>
      <c r="C760" s="62"/>
      <c r="D760" s="62"/>
    </row>
    <row r="761">
      <c r="A761" s="62"/>
      <c r="B761" s="7"/>
      <c r="C761" s="62"/>
      <c r="D761" s="62"/>
    </row>
    <row r="762">
      <c r="A762" s="62"/>
      <c r="B762" s="7"/>
      <c r="C762" s="62"/>
      <c r="D762" s="62"/>
    </row>
    <row r="763">
      <c r="A763" s="62"/>
      <c r="B763" s="7"/>
      <c r="C763" s="62"/>
      <c r="D763" s="62"/>
    </row>
    <row r="764">
      <c r="A764" s="62"/>
      <c r="B764" s="7"/>
      <c r="C764" s="62"/>
      <c r="D764" s="62"/>
    </row>
    <row r="765">
      <c r="A765" s="62"/>
      <c r="B765" s="7"/>
      <c r="C765" s="62"/>
      <c r="D765" s="62"/>
    </row>
    <row r="766">
      <c r="A766" s="62"/>
      <c r="B766" s="7"/>
      <c r="C766" s="62"/>
      <c r="D766" s="62"/>
    </row>
    <row r="767">
      <c r="A767" s="62"/>
      <c r="B767" s="7"/>
      <c r="C767" s="62"/>
      <c r="D767" s="62"/>
    </row>
    <row r="768">
      <c r="A768" s="62"/>
      <c r="B768" s="7"/>
      <c r="C768" s="62"/>
      <c r="D768" s="62"/>
    </row>
    <row r="769">
      <c r="A769" s="62"/>
      <c r="B769" s="7"/>
      <c r="C769" s="62"/>
      <c r="D769" s="62"/>
    </row>
    <row r="770">
      <c r="A770" s="62"/>
      <c r="B770" s="7"/>
      <c r="C770" s="62"/>
      <c r="D770" s="62"/>
    </row>
    <row r="771">
      <c r="A771" s="62"/>
      <c r="B771" s="7"/>
      <c r="C771" s="62"/>
      <c r="D771" s="62"/>
    </row>
    <row r="772">
      <c r="A772" s="62"/>
      <c r="B772" s="7"/>
      <c r="C772" s="62"/>
      <c r="D772" s="62"/>
    </row>
    <row r="773">
      <c r="A773" s="62"/>
      <c r="B773" s="7"/>
      <c r="C773" s="62"/>
      <c r="D773" s="62"/>
    </row>
    <row r="774">
      <c r="A774" s="62"/>
      <c r="B774" s="7"/>
      <c r="C774" s="62"/>
      <c r="D774" s="62"/>
    </row>
    <row r="775">
      <c r="A775" s="62"/>
      <c r="B775" s="7"/>
      <c r="C775" s="62"/>
      <c r="D775" s="62"/>
    </row>
    <row r="776">
      <c r="A776" s="62"/>
      <c r="B776" s="7"/>
      <c r="C776" s="62"/>
      <c r="D776" s="62"/>
    </row>
    <row r="777">
      <c r="A777" s="62"/>
      <c r="B777" s="7"/>
      <c r="C777" s="62"/>
      <c r="D777" s="62"/>
    </row>
    <row r="778">
      <c r="A778" s="62"/>
      <c r="B778" s="7"/>
      <c r="C778" s="62"/>
      <c r="D778" s="62"/>
    </row>
    <row r="779">
      <c r="A779" s="62"/>
      <c r="B779" s="7"/>
      <c r="C779" s="62"/>
      <c r="D779" s="62"/>
    </row>
    <row r="780">
      <c r="A780" s="62"/>
      <c r="B780" s="7"/>
      <c r="C780" s="62"/>
      <c r="D780" s="62"/>
    </row>
    <row r="781">
      <c r="A781" s="62"/>
      <c r="B781" s="7"/>
      <c r="C781" s="62"/>
      <c r="D781" s="62"/>
    </row>
    <row r="782">
      <c r="A782" s="62"/>
      <c r="B782" s="7"/>
      <c r="C782" s="62"/>
      <c r="D782" s="62"/>
    </row>
    <row r="783">
      <c r="A783" s="62"/>
      <c r="B783" s="7"/>
      <c r="C783" s="62"/>
      <c r="D783" s="62"/>
    </row>
    <row r="784">
      <c r="A784" s="62"/>
      <c r="B784" s="7"/>
      <c r="C784" s="62"/>
      <c r="D784" s="62"/>
    </row>
    <row r="785">
      <c r="A785" s="62"/>
      <c r="B785" s="7"/>
      <c r="C785" s="62"/>
      <c r="D785" s="62"/>
    </row>
    <row r="786">
      <c r="A786" s="62"/>
      <c r="B786" s="7"/>
      <c r="C786" s="62"/>
      <c r="D786" s="62"/>
    </row>
    <row r="787">
      <c r="A787" s="62"/>
      <c r="B787" s="7"/>
      <c r="C787" s="62"/>
      <c r="D787" s="62"/>
    </row>
    <row r="788">
      <c r="A788" s="62"/>
      <c r="B788" s="7"/>
      <c r="C788" s="62"/>
      <c r="D788" s="62"/>
    </row>
    <row r="789">
      <c r="A789" s="62"/>
      <c r="B789" s="7"/>
      <c r="C789" s="62"/>
      <c r="D789" s="62"/>
    </row>
    <row r="790">
      <c r="A790" s="62"/>
      <c r="B790" s="7"/>
      <c r="C790" s="62"/>
      <c r="D790" s="62"/>
    </row>
    <row r="791">
      <c r="A791" s="62"/>
      <c r="B791" s="7"/>
      <c r="C791" s="62"/>
      <c r="D791" s="62"/>
    </row>
    <row r="792">
      <c r="A792" s="62"/>
      <c r="B792" s="7"/>
      <c r="C792" s="62"/>
      <c r="D792" s="62"/>
    </row>
    <row r="793">
      <c r="A793" s="62"/>
      <c r="B793" s="7"/>
      <c r="C793" s="62"/>
      <c r="D793" s="62"/>
    </row>
    <row r="794">
      <c r="A794" s="62"/>
      <c r="B794" s="7"/>
      <c r="C794" s="62"/>
      <c r="D794" s="62"/>
    </row>
    <row r="795">
      <c r="A795" s="62"/>
      <c r="B795" s="7"/>
      <c r="C795" s="62"/>
      <c r="D795" s="62"/>
    </row>
    <row r="796">
      <c r="A796" s="62"/>
      <c r="B796" s="7"/>
      <c r="C796" s="62"/>
      <c r="D796" s="62"/>
    </row>
    <row r="797">
      <c r="A797" s="62"/>
      <c r="B797" s="7"/>
      <c r="C797" s="62"/>
      <c r="D797" s="62"/>
    </row>
    <row r="798">
      <c r="A798" s="62"/>
      <c r="B798" s="7"/>
      <c r="C798" s="62"/>
      <c r="D798" s="62"/>
    </row>
    <row r="799">
      <c r="A799" s="62"/>
      <c r="B799" s="7"/>
      <c r="C799" s="62"/>
      <c r="D799" s="62"/>
    </row>
    <row r="800">
      <c r="A800" s="62"/>
      <c r="B800" s="7"/>
      <c r="C800" s="62"/>
      <c r="D800" s="62"/>
    </row>
    <row r="801">
      <c r="A801" s="62"/>
      <c r="B801" s="7"/>
      <c r="C801" s="62"/>
      <c r="D801" s="62"/>
    </row>
    <row r="802">
      <c r="A802" s="62"/>
      <c r="B802" s="7"/>
      <c r="C802" s="62"/>
      <c r="D802" s="62"/>
    </row>
    <row r="803">
      <c r="A803" s="62"/>
      <c r="B803" s="7"/>
      <c r="C803" s="62"/>
      <c r="D803" s="62"/>
    </row>
    <row r="804">
      <c r="A804" s="62"/>
      <c r="B804" s="7"/>
      <c r="C804" s="62"/>
      <c r="D804" s="62"/>
    </row>
    <row r="805">
      <c r="A805" s="62"/>
      <c r="B805" s="7"/>
      <c r="C805" s="62"/>
      <c r="D805" s="62"/>
    </row>
    <row r="806">
      <c r="A806" s="62"/>
      <c r="B806" s="7"/>
      <c r="C806" s="62"/>
      <c r="D806" s="62"/>
    </row>
    <row r="807">
      <c r="A807" s="62"/>
      <c r="B807" s="7"/>
      <c r="C807" s="62"/>
      <c r="D807" s="62"/>
    </row>
    <row r="808">
      <c r="A808" s="62"/>
      <c r="B808" s="7"/>
      <c r="C808" s="62"/>
      <c r="D808" s="62"/>
    </row>
    <row r="809">
      <c r="A809" s="62"/>
      <c r="B809" s="7"/>
      <c r="C809" s="62"/>
      <c r="D809" s="62"/>
    </row>
    <row r="810">
      <c r="A810" s="62"/>
      <c r="B810" s="7"/>
      <c r="C810" s="62"/>
      <c r="D810" s="62"/>
    </row>
    <row r="811">
      <c r="A811" s="62"/>
      <c r="B811" s="7"/>
      <c r="C811" s="62"/>
      <c r="D811" s="62"/>
    </row>
    <row r="812">
      <c r="A812" s="62"/>
      <c r="B812" s="7"/>
      <c r="C812" s="62"/>
      <c r="D812" s="62"/>
    </row>
    <row r="813">
      <c r="A813" s="62"/>
      <c r="B813" s="7"/>
      <c r="C813" s="62"/>
      <c r="D813" s="62"/>
    </row>
    <row r="814">
      <c r="A814" s="62"/>
      <c r="B814" s="7"/>
      <c r="C814" s="62"/>
      <c r="D814" s="62"/>
    </row>
    <row r="815">
      <c r="A815" s="62"/>
      <c r="B815" s="7"/>
      <c r="C815" s="62"/>
      <c r="D815" s="62"/>
    </row>
    <row r="816">
      <c r="A816" s="62"/>
      <c r="B816" s="7"/>
      <c r="C816" s="62"/>
      <c r="D816" s="62"/>
    </row>
    <row r="817">
      <c r="A817" s="62"/>
      <c r="B817" s="7"/>
      <c r="C817" s="62"/>
      <c r="D817" s="62"/>
    </row>
    <row r="818">
      <c r="A818" s="62"/>
      <c r="B818" s="7"/>
      <c r="C818" s="62"/>
      <c r="D818" s="62"/>
    </row>
    <row r="819">
      <c r="A819" s="62"/>
      <c r="B819" s="7"/>
      <c r="C819" s="62"/>
      <c r="D819" s="62"/>
    </row>
    <row r="820">
      <c r="A820" s="62"/>
      <c r="B820" s="7"/>
      <c r="C820" s="62"/>
      <c r="D820" s="62"/>
    </row>
    <row r="821">
      <c r="A821" s="62"/>
      <c r="B821" s="7"/>
      <c r="C821" s="62"/>
      <c r="D821" s="62"/>
    </row>
    <row r="822">
      <c r="A822" s="62"/>
      <c r="B822" s="7"/>
      <c r="C822" s="62"/>
      <c r="D822" s="62"/>
    </row>
    <row r="823">
      <c r="A823" s="62"/>
      <c r="B823" s="7"/>
      <c r="C823" s="62"/>
      <c r="D823" s="62"/>
    </row>
    <row r="824">
      <c r="A824" s="62"/>
      <c r="B824" s="7"/>
      <c r="C824" s="62"/>
      <c r="D824" s="62"/>
    </row>
    <row r="825">
      <c r="A825" s="62"/>
      <c r="B825" s="7"/>
      <c r="C825" s="62"/>
      <c r="D825" s="62"/>
    </row>
    <row r="826">
      <c r="A826" s="62"/>
      <c r="B826" s="7"/>
      <c r="C826" s="62"/>
      <c r="D826" s="62"/>
    </row>
    <row r="827">
      <c r="A827" s="62"/>
      <c r="B827" s="7"/>
      <c r="C827" s="62"/>
      <c r="D827" s="62"/>
    </row>
    <row r="828">
      <c r="A828" s="62"/>
      <c r="B828" s="7"/>
      <c r="C828" s="62"/>
      <c r="D828" s="62"/>
    </row>
    <row r="829">
      <c r="A829" s="62"/>
      <c r="B829" s="7"/>
      <c r="C829" s="62"/>
      <c r="D829" s="62"/>
    </row>
    <row r="830">
      <c r="A830" s="62"/>
      <c r="B830" s="7"/>
      <c r="C830" s="62"/>
      <c r="D830" s="62"/>
    </row>
    <row r="831">
      <c r="A831" s="62"/>
      <c r="B831" s="7"/>
      <c r="C831" s="62"/>
      <c r="D831" s="62"/>
    </row>
    <row r="832">
      <c r="A832" s="62"/>
      <c r="B832" s="7"/>
      <c r="C832" s="62"/>
      <c r="D832" s="62"/>
    </row>
    <row r="833">
      <c r="A833" s="62"/>
      <c r="B833" s="7"/>
      <c r="C833" s="62"/>
      <c r="D833" s="62"/>
    </row>
    <row r="834">
      <c r="A834" s="62"/>
      <c r="B834" s="7"/>
      <c r="C834" s="62"/>
      <c r="D834" s="62"/>
    </row>
    <row r="835">
      <c r="A835" s="62"/>
      <c r="B835" s="7"/>
      <c r="C835" s="62"/>
      <c r="D835" s="62"/>
    </row>
    <row r="836">
      <c r="A836" s="62"/>
      <c r="B836" s="7"/>
      <c r="C836" s="62"/>
      <c r="D836" s="62"/>
    </row>
    <row r="837">
      <c r="A837" s="62"/>
      <c r="B837" s="7"/>
      <c r="C837" s="62"/>
      <c r="D837" s="62"/>
    </row>
    <row r="838">
      <c r="A838" s="62"/>
      <c r="B838" s="7"/>
      <c r="C838" s="62"/>
      <c r="D838" s="62"/>
    </row>
    <row r="839">
      <c r="A839" s="62"/>
      <c r="B839" s="7"/>
      <c r="C839" s="62"/>
      <c r="D839" s="62"/>
    </row>
    <row r="840">
      <c r="A840" s="62"/>
      <c r="B840" s="7"/>
      <c r="C840" s="62"/>
      <c r="D840" s="62"/>
    </row>
    <row r="841">
      <c r="A841" s="62"/>
      <c r="B841" s="7"/>
      <c r="C841" s="62"/>
      <c r="D841" s="62"/>
    </row>
    <row r="842">
      <c r="A842" s="62"/>
      <c r="B842" s="7"/>
      <c r="C842" s="62"/>
      <c r="D842" s="62"/>
    </row>
    <row r="843">
      <c r="A843" s="62"/>
      <c r="B843" s="7"/>
      <c r="C843" s="62"/>
      <c r="D843" s="62"/>
    </row>
    <row r="844">
      <c r="A844" s="62"/>
      <c r="B844" s="7"/>
      <c r="C844" s="62"/>
      <c r="D844" s="62"/>
    </row>
    <row r="845">
      <c r="A845" s="62"/>
      <c r="B845" s="7"/>
      <c r="C845" s="62"/>
      <c r="D845" s="62"/>
    </row>
    <row r="846">
      <c r="A846" s="62"/>
      <c r="B846" s="7"/>
      <c r="C846" s="62"/>
      <c r="D846" s="62"/>
    </row>
    <row r="847">
      <c r="A847" s="62"/>
      <c r="B847" s="7"/>
      <c r="C847" s="62"/>
      <c r="D847" s="62"/>
    </row>
    <row r="848">
      <c r="A848" s="62"/>
      <c r="B848" s="7"/>
      <c r="C848" s="62"/>
      <c r="D848" s="62"/>
    </row>
    <row r="849">
      <c r="A849" s="62"/>
      <c r="B849" s="7"/>
      <c r="C849" s="62"/>
      <c r="D849" s="62"/>
    </row>
    <row r="850">
      <c r="A850" s="62"/>
      <c r="B850" s="7"/>
      <c r="C850" s="62"/>
      <c r="D850" s="62"/>
    </row>
    <row r="851">
      <c r="A851" s="62"/>
      <c r="B851" s="7"/>
      <c r="C851" s="62"/>
      <c r="D851" s="62"/>
    </row>
    <row r="852">
      <c r="A852" s="62"/>
      <c r="B852" s="7"/>
      <c r="C852" s="62"/>
      <c r="D852" s="62"/>
    </row>
    <row r="853">
      <c r="A853" s="62"/>
      <c r="B853" s="7"/>
      <c r="C853" s="62"/>
      <c r="D853" s="62"/>
    </row>
    <row r="854">
      <c r="A854" s="62"/>
      <c r="B854" s="7"/>
      <c r="C854" s="62"/>
      <c r="D854" s="62"/>
    </row>
    <row r="855">
      <c r="A855" s="62"/>
      <c r="B855" s="7"/>
      <c r="C855" s="62"/>
      <c r="D855" s="62"/>
    </row>
    <row r="856">
      <c r="A856" s="62"/>
      <c r="B856" s="7"/>
      <c r="C856" s="62"/>
      <c r="D856" s="62"/>
    </row>
    <row r="857">
      <c r="A857" s="62"/>
      <c r="B857" s="7"/>
      <c r="C857" s="62"/>
      <c r="D857" s="62"/>
    </row>
    <row r="858">
      <c r="A858" s="62"/>
      <c r="B858" s="7"/>
      <c r="C858" s="62"/>
      <c r="D858" s="62"/>
    </row>
    <row r="859">
      <c r="A859" s="62"/>
      <c r="B859" s="7"/>
      <c r="C859" s="62"/>
      <c r="D859" s="62"/>
    </row>
    <row r="860">
      <c r="A860" s="62"/>
      <c r="B860" s="7"/>
      <c r="C860" s="62"/>
      <c r="D860" s="62"/>
    </row>
    <row r="861">
      <c r="A861" s="62"/>
      <c r="B861" s="7"/>
      <c r="C861" s="62"/>
      <c r="D861" s="62"/>
    </row>
    <row r="862">
      <c r="A862" s="62"/>
      <c r="B862" s="7"/>
      <c r="C862" s="62"/>
      <c r="D862" s="62"/>
    </row>
    <row r="863">
      <c r="A863" s="62"/>
      <c r="B863" s="7"/>
      <c r="C863" s="62"/>
      <c r="D863" s="62"/>
    </row>
    <row r="864">
      <c r="A864" s="62"/>
      <c r="B864" s="7"/>
      <c r="C864" s="62"/>
      <c r="D864" s="62"/>
    </row>
    <row r="865">
      <c r="A865" s="62"/>
      <c r="B865" s="7"/>
      <c r="C865" s="62"/>
      <c r="D865" s="62"/>
    </row>
    <row r="866">
      <c r="A866" s="62"/>
      <c r="B866" s="7"/>
      <c r="C866" s="62"/>
      <c r="D866" s="62"/>
    </row>
    <row r="867">
      <c r="A867" s="62"/>
      <c r="B867" s="7"/>
      <c r="C867" s="62"/>
      <c r="D867" s="62"/>
    </row>
    <row r="868">
      <c r="A868" s="62"/>
      <c r="B868" s="7"/>
      <c r="C868" s="62"/>
      <c r="D868" s="62"/>
    </row>
    <row r="869">
      <c r="A869" s="62"/>
      <c r="B869" s="7"/>
      <c r="C869" s="62"/>
      <c r="D869" s="62"/>
    </row>
    <row r="870">
      <c r="A870" s="62"/>
      <c r="B870" s="7"/>
      <c r="C870" s="62"/>
      <c r="D870" s="62"/>
    </row>
    <row r="871">
      <c r="A871" s="62"/>
      <c r="B871" s="7"/>
      <c r="C871" s="62"/>
      <c r="D871" s="62"/>
    </row>
    <row r="872">
      <c r="A872" s="62"/>
      <c r="B872" s="7"/>
      <c r="C872" s="62"/>
      <c r="D872" s="62"/>
    </row>
    <row r="873">
      <c r="A873" s="62"/>
      <c r="B873" s="7"/>
      <c r="C873" s="62"/>
      <c r="D873" s="62"/>
    </row>
    <row r="874">
      <c r="A874" s="62"/>
      <c r="B874" s="7"/>
      <c r="C874" s="62"/>
      <c r="D874" s="62"/>
    </row>
    <row r="875">
      <c r="A875" s="62"/>
      <c r="B875" s="7"/>
      <c r="C875" s="62"/>
      <c r="D875" s="62"/>
    </row>
    <row r="876">
      <c r="A876" s="62"/>
      <c r="B876" s="7"/>
      <c r="C876" s="62"/>
      <c r="D876" s="62"/>
    </row>
    <row r="877">
      <c r="A877" s="62"/>
      <c r="B877" s="7"/>
      <c r="C877" s="62"/>
      <c r="D877" s="62"/>
    </row>
    <row r="878">
      <c r="A878" s="62"/>
      <c r="B878" s="7"/>
      <c r="C878" s="62"/>
      <c r="D878" s="62"/>
    </row>
    <row r="879">
      <c r="A879" s="62"/>
      <c r="B879" s="7"/>
      <c r="C879" s="62"/>
      <c r="D879" s="62"/>
    </row>
    <row r="880">
      <c r="A880" s="62"/>
      <c r="B880" s="7"/>
      <c r="C880" s="62"/>
      <c r="D880" s="62"/>
    </row>
    <row r="881">
      <c r="A881" s="62"/>
      <c r="B881" s="7"/>
      <c r="C881" s="62"/>
      <c r="D881" s="62"/>
    </row>
    <row r="882">
      <c r="A882" s="62"/>
      <c r="B882" s="7"/>
      <c r="C882" s="62"/>
      <c r="D882" s="62"/>
    </row>
    <row r="883">
      <c r="A883" s="62"/>
      <c r="B883" s="7"/>
      <c r="C883" s="62"/>
      <c r="D883" s="62"/>
    </row>
    <row r="884">
      <c r="A884" s="62"/>
      <c r="B884" s="7"/>
      <c r="C884" s="62"/>
      <c r="D884" s="62"/>
    </row>
    <row r="885">
      <c r="A885" s="62"/>
      <c r="B885" s="7"/>
      <c r="C885" s="62"/>
      <c r="D885" s="62"/>
    </row>
    <row r="886">
      <c r="A886" s="62"/>
      <c r="B886" s="7"/>
      <c r="C886" s="62"/>
      <c r="D886" s="62"/>
    </row>
    <row r="887">
      <c r="A887" s="62"/>
      <c r="B887" s="7"/>
      <c r="C887" s="62"/>
      <c r="D887" s="62"/>
    </row>
    <row r="888">
      <c r="A888" s="62"/>
      <c r="B888" s="7"/>
      <c r="C888" s="62"/>
      <c r="D888" s="62"/>
    </row>
    <row r="889">
      <c r="A889" s="62"/>
      <c r="B889" s="7"/>
      <c r="C889" s="62"/>
      <c r="D889" s="62"/>
    </row>
    <row r="890">
      <c r="A890" s="62"/>
      <c r="B890" s="7"/>
      <c r="C890" s="62"/>
      <c r="D890" s="62"/>
    </row>
    <row r="891">
      <c r="A891" s="62"/>
      <c r="B891" s="7"/>
      <c r="C891" s="62"/>
      <c r="D891" s="62"/>
    </row>
    <row r="892">
      <c r="A892" s="62"/>
      <c r="B892" s="7"/>
      <c r="C892" s="62"/>
      <c r="D892" s="62"/>
    </row>
    <row r="893">
      <c r="A893" s="62"/>
      <c r="B893" s="7"/>
      <c r="C893" s="62"/>
      <c r="D893" s="62"/>
    </row>
    <row r="894">
      <c r="A894" s="62"/>
      <c r="B894" s="7"/>
      <c r="C894" s="62"/>
      <c r="D894" s="62"/>
    </row>
    <row r="895">
      <c r="A895" s="62"/>
      <c r="B895" s="7"/>
      <c r="C895" s="62"/>
      <c r="D895" s="62"/>
    </row>
    <row r="896">
      <c r="A896" s="62"/>
      <c r="B896" s="7"/>
      <c r="C896" s="62"/>
      <c r="D896" s="62"/>
    </row>
    <row r="897">
      <c r="A897" s="62"/>
      <c r="B897" s="7"/>
      <c r="C897" s="62"/>
      <c r="D897" s="62"/>
    </row>
    <row r="898">
      <c r="A898" s="62"/>
      <c r="B898" s="7"/>
      <c r="C898" s="62"/>
      <c r="D898" s="62"/>
    </row>
    <row r="899">
      <c r="A899" s="62"/>
      <c r="B899" s="7"/>
      <c r="C899" s="62"/>
      <c r="D899" s="62"/>
    </row>
    <row r="900">
      <c r="A900" s="62"/>
      <c r="B900" s="7"/>
      <c r="C900" s="62"/>
      <c r="D900" s="62"/>
    </row>
    <row r="901">
      <c r="A901" s="62"/>
      <c r="B901" s="7"/>
      <c r="C901" s="62"/>
      <c r="D901" s="62"/>
    </row>
    <row r="902">
      <c r="A902" s="62"/>
      <c r="B902" s="7"/>
      <c r="C902" s="62"/>
      <c r="D902" s="62"/>
    </row>
    <row r="903">
      <c r="A903" s="62"/>
      <c r="B903" s="7"/>
      <c r="C903" s="62"/>
      <c r="D903" s="62"/>
    </row>
    <row r="904">
      <c r="A904" s="62"/>
      <c r="B904" s="7"/>
      <c r="C904" s="62"/>
      <c r="D904" s="62"/>
    </row>
    <row r="905">
      <c r="A905" s="62"/>
      <c r="B905" s="7"/>
      <c r="C905" s="62"/>
      <c r="D905" s="62"/>
    </row>
    <row r="906">
      <c r="A906" s="62"/>
      <c r="B906" s="7"/>
      <c r="C906" s="62"/>
      <c r="D906" s="62"/>
    </row>
    <row r="907">
      <c r="A907" s="62"/>
      <c r="B907" s="7"/>
      <c r="C907" s="62"/>
      <c r="D907" s="62"/>
    </row>
    <row r="908">
      <c r="A908" s="62"/>
      <c r="B908" s="7"/>
      <c r="C908" s="62"/>
      <c r="D908" s="62"/>
    </row>
    <row r="909">
      <c r="A909" s="62"/>
      <c r="B909" s="7"/>
      <c r="C909" s="62"/>
      <c r="D909" s="62"/>
    </row>
    <row r="910">
      <c r="A910" s="62"/>
      <c r="B910" s="7"/>
      <c r="C910" s="62"/>
      <c r="D910" s="62"/>
    </row>
    <row r="911">
      <c r="A911" s="62"/>
      <c r="B911" s="7"/>
      <c r="C911" s="62"/>
      <c r="D911" s="62"/>
    </row>
    <row r="912">
      <c r="A912" s="62"/>
      <c r="B912" s="7"/>
      <c r="C912" s="62"/>
      <c r="D912" s="62"/>
    </row>
    <row r="913">
      <c r="A913" s="62"/>
      <c r="B913" s="7"/>
      <c r="C913" s="62"/>
      <c r="D913" s="62"/>
    </row>
    <row r="914">
      <c r="A914" s="62"/>
      <c r="B914" s="7"/>
      <c r="C914" s="62"/>
      <c r="D914" s="62"/>
    </row>
    <row r="915">
      <c r="A915" s="62"/>
      <c r="B915" s="7"/>
      <c r="C915" s="62"/>
      <c r="D915" s="62"/>
    </row>
    <row r="916">
      <c r="A916" s="62"/>
      <c r="B916" s="7"/>
      <c r="C916" s="62"/>
      <c r="D916" s="62"/>
    </row>
    <row r="917">
      <c r="A917" s="62"/>
      <c r="B917" s="7"/>
      <c r="C917" s="62"/>
      <c r="D917" s="62"/>
    </row>
    <row r="918">
      <c r="A918" s="62"/>
      <c r="B918" s="7"/>
      <c r="C918" s="62"/>
      <c r="D918" s="62"/>
    </row>
    <row r="919">
      <c r="A919" s="62"/>
      <c r="B919" s="7"/>
      <c r="C919" s="62"/>
      <c r="D919" s="62"/>
    </row>
    <row r="920">
      <c r="A920" s="62"/>
      <c r="B920" s="7"/>
      <c r="C920" s="62"/>
      <c r="D920" s="62"/>
    </row>
    <row r="921">
      <c r="A921" s="62"/>
      <c r="B921" s="7"/>
      <c r="C921" s="62"/>
      <c r="D921" s="62"/>
    </row>
    <row r="922">
      <c r="A922" s="62"/>
      <c r="B922" s="7"/>
      <c r="C922" s="62"/>
      <c r="D922" s="62"/>
    </row>
    <row r="923">
      <c r="A923" s="62"/>
      <c r="B923" s="7"/>
      <c r="C923" s="62"/>
      <c r="D923" s="62"/>
    </row>
    <row r="924">
      <c r="A924" s="62"/>
      <c r="B924" s="7"/>
      <c r="C924" s="62"/>
      <c r="D924" s="62"/>
    </row>
    <row r="925">
      <c r="A925" s="62"/>
      <c r="B925" s="7"/>
      <c r="C925" s="62"/>
      <c r="D925" s="62"/>
    </row>
    <row r="926">
      <c r="A926" s="62"/>
      <c r="B926" s="7"/>
      <c r="C926" s="62"/>
      <c r="D926" s="62"/>
    </row>
    <row r="927">
      <c r="A927" s="62"/>
      <c r="B927" s="7"/>
      <c r="C927" s="62"/>
      <c r="D927" s="62"/>
    </row>
    <row r="928">
      <c r="A928" s="62"/>
      <c r="B928" s="7"/>
      <c r="C928" s="62"/>
      <c r="D928" s="62"/>
    </row>
    <row r="929">
      <c r="A929" s="62"/>
      <c r="B929" s="7"/>
      <c r="C929" s="62"/>
      <c r="D929" s="62"/>
    </row>
    <row r="930">
      <c r="A930" s="62"/>
      <c r="B930" s="7"/>
      <c r="C930" s="62"/>
      <c r="D930" s="62"/>
    </row>
    <row r="931">
      <c r="A931" s="62"/>
      <c r="B931" s="7"/>
      <c r="C931" s="62"/>
      <c r="D931" s="62"/>
    </row>
    <row r="932">
      <c r="A932" s="62"/>
      <c r="B932" s="7"/>
      <c r="C932" s="62"/>
      <c r="D932" s="62"/>
    </row>
    <row r="933">
      <c r="A933" s="62"/>
      <c r="B933" s="7"/>
      <c r="C933" s="62"/>
      <c r="D933" s="62"/>
    </row>
    <row r="934">
      <c r="A934" s="62"/>
      <c r="B934" s="7"/>
      <c r="C934" s="62"/>
      <c r="D934" s="62"/>
    </row>
    <row r="935">
      <c r="A935" s="62"/>
      <c r="B935" s="7"/>
      <c r="C935" s="62"/>
      <c r="D935" s="62"/>
    </row>
    <row r="936">
      <c r="A936" s="62"/>
      <c r="B936" s="7"/>
      <c r="C936" s="62"/>
      <c r="D936" s="62"/>
    </row>
    <row r="937">
      <c r="A937" s="62"/>
      <c r="B937" s="7"/>
      <c r="C937" s="62"/>
      <c r="D937" s="62"/>
    </row>
    <row r="938">
      <c r="A938" s="62"/>
      <c r="B938" s="7"/>
      <c r="C938" s="62"/>
      <c r="D938" s="62"/>
    </row>
    <row r="939">
      <c r="A939" s="62"/>
      <c r="B939" s="7"/>
      <c r="C939" s="62"/>
      <c r="D939" s="62"/>
    </row>
    <row r="940">
      <c r="A940" s="62"/>
      <c r="B940" s="7"/>
      <c r="C940" s="62"/>
      <c r="D940" s="62"/>
    </row>
    <row r="941">
      <c r="A941" s="62"/>
      <c r="B941" s="7"/>
      <c r="C941" s="62"/>
      <c r="D941" s="62"/>
    </row>
    <row r="942">
      <c r="A942" s="62"/>
      <c r="B942" s="7"/>
      <c r="C942" s="62"/>
      <c r="D942" s="62"/>
    </row>
    <row r="943">
      <c r="A943" s="62"/>
      <c r="B943" s="7"/>
      <c r="C943" s="62"/>
      <c r="D943" s="62"/>
    </row>
    <row r="944">
      <c r="A944" s="62"/>
      <c r="B944" s="7"/>
      <c r="C944" s="62"/>
      <c r="D944" s="62"/>
    </row>
    <row r="945">
      <c r="A945" s="62"/>
      <c r="B945" s="7"/>
      <c r="C945" s="62"/>
      <c r="D945" s="62"/>
    </row>
    <row r="946">
      <c r="A946" s="62"/>
      <c r="B946" s="7"/>
      <c r="C946" s="62"/>
      <c r="D946" s="62"/>
    </row>
    <row r="947">
      <c r="A947" s="62"/>
      <c r="B947" s="7"/>
      <c r="C947" s="62"/>
      <c r="D947" s="62"/>
    </row>
    <row r="948">
      <c r="A948" s="62"/>
      <c r="B948" s="7"/>
      <c r="C948" s="62"/>
      <c r="D948" s="62"/>
    </row>
    <row r="949">
      <c r="A949" s="62"/>
      <c r="B949" s="7"/>
      <c r="C949" s="62"/>
      <c r="D949" s="62"/>
    </row>
    <row r="950">
      <c r="A950" s="62"/>
      <c r="B950" s="7"/>
      <c r="C950" s="62"/>
      <c r="D950" s="62"/>
    </row>
    <row r="951">
      <c r="A951" s="62"/>
      <c r="B951" s="7"/>
      <c r="C951" s="62"/>
      <c r="D951" s="62"/>
    </row>
    <row r="952">
      <c r="A952" s="62"/>
      <c r="B952" s="7"/>
      <c r="C952" s="62"/>
      <c r="D952" s="62"/>
    </row>
    <row r="953">
      <c r="A953" s="62"/>
      <c r="B953" s="7"/>
      <c r="C953" s="62"/>
      <c r="D953" s="62"/>
    </row>
    <row r="954">
      <c r="A954" s="62"/>
      <c r="B954" s="7"/>
      <c r="C954" s="62"/>
      <c r="D954" s="62"/>
    </row>
    <row r="955">
      <c r="A955" s="62"/>
      <c r="B955" s="7"/>
      <c r="C955" s="62"/>
      <c r="D955" s="62"/>
    </row>
    <row r="956">
      <c r="A956" s="62"/>
      <c r="B956" s="7"/>
      <c r="C956" s="62"/>
      <c r="D956" s="62"/>
    </row>
    <row r="957">
      <c r="A957" s="62"/>
      <c r="B957" s="7"/>
      <c r="C957" s="62"/>
      <c r="D957" s="62"/>
    </row>
    <row r="958">
      <c r="A958" s="62"/>
      <c r="B958" s="7"/>
      <c r="C958" s="62"/>
      <c r="D958" s="62"/>
    </row>
    <row r="959">
      <c r="A959" s="62"/>
      <c r="B959" s="7"/>
      <c r="C959" s="62"/>
      <c r="D959" s="62"/>
    </row>
    <row r="960">
      <c r="A960" s="62"/>
      <c r="B960" s="7"/>
      <c r="C960" s="62"/>
      <c r="D960" s="62"/>
    </row>
    <row r="961">
      <c r="A961" s="62"/>
      <c r="B961" s="7"/>
      <c r="C961" s="62"/>
      <c r="D961" s="62"/>
    </row>
    <row r="962">
      <c r="A962" s="62"/>
      <c r="B962" s="7"/>
      <c r="C962" s="62"/>
      <c r="D962" s="62"/>
    </row>
    <row r="963">
      <c r="A963" s="62"/>
      <c r="B963" s="7"/>
      <c r="C963" s="62"/>
      <c r="D963" s="62"/>
    </row>
    <row r="964">
      <c r="A964" s="62"/>
      <c r="B964" s="7"/>
      <c r="C964" s="62"/>
      <c r="D964" s="62"/>
    </row>
    <row r="965">
      <c r="A965" s="62"/>
      <c r="B965" s="7"/>
      <c r="C965" s="62"/>
      <c r="D965" s="62"/>
    </row>
    <row r="966">
      <c r="A966" s="62"/>
      <c r="B966" s="7"/>
      <c r="C966" s="62"/>
      <c r="D966" s="62"/>
    </row>
    <row r="967">
      <c r="A967" s="62"/>
      <c r="B967" s="7"/>
      <c r="C967" s="62"/>
      <c r="D967" s="62"/>
    </row>
    <row r="968">
      <c r="A968" s="62"/>
      <c r="B968" s="7"/>
      <c r="C968" s="62"/>
      <c r="D968" s="62"/>
    </row>
    <row r="969">
      <c r="A969" s="62"/>
      <c r="B969" s="7"/>
      <c r="C969" s="62"/>
      <c r="D969" s="62"/>
    </row>
    <row r="970">
      <c r="A970" s="62"/>
      <c r="B970" s="7"/>
      <c r="C970" s="62"/>
      <c r="D970" s="62"/>
    </row>
    <row r="971">
      <c r="A971" s="62"/>
      <c r="B971" s="7"/>
      <c r="C971" s="62"/>
      <c r="D971" s="62"/>
    </row>
    <row r="972">
      <c r="A972" s="62"/>
      <c r="B972" s="7"/>
      <c r="C972" s="62"/>
      <c r="D972" s="62"/>
    </row>
    <row r="973">
      <c r="A973" s="62"/>
      <c r="B973" s="7"/>
      <c r="C973" s="62"/>
      <c r="D973" s="62"/>
    </row>
    <row r="974">
      <c r="A974" s="62"/>
      <c r="B974" s="7"/>
      <c r="C974" s="62"/>
      <c r="D974" s="62"/>
    </row>
    <row r="975">
      <c r="A975" s="62"/>
      <c r="B975" s="7"/>
      <c r="C975" s="62"/>
      <c r="D975" s="62"/>
    </row>
    <row r="976">
      <c r="A976" s="62"/>
      <c r="B976" s="7"/>
      <c r="C976" s="62"/>
      <c r="D976" s="62"/>
    </row>
    <row r="977">
      <c r="A977" s="62"/>
      <c r="B977" s="7"/>
      <c r="C977" s="62"/>
      <c r="D977" s="62"/>
    </row>
    <row r="978">
      <c r="A978" s="62"/>
      <c r="B978" s="7"/>
      <c r="C978" s="62"/>
      <c r="D978" s="62"/>
    </row>
    <row r="979">
      <c r="A979" s="62"/>
      <c r="B979" s="7"/>
      <c r="C979" s="62"/>
      <c r="D979" s="62"/>
    </row>
    <row r="980">
      <c r="A980" s="62"/>
      <c r="B980" s="7"/>
      <c r="C980" s="62"/>
      <c r="D980" s="62"/>
    </row>
    <row r="981">
      <c r="A981" s="62"/>
      <c r="B981" s="7"/>
      <c r="C981" s="62"/>
      <c r="D981" s="62"/>
    </row>
    <row r="982">
      <c r="A982" s="62"/>
      <c r="B982" s="7"/>
      <c r="C982" s="62"/>
      <c r="D982" s="62"/>
    </row>
    <row r="983">
      <c r="A983" s="62"/>
      <c r="B983" s="7"/>
      <c r="C983" s="62"/>
      <c r="D983" s="62"/>
    </row>
    <row r="984">
      <c r="A984" s="62"/>
      <c r="B984" s="7"/>
      <c r="C984" s="62"/>
      <c r="D984" s="62"/>
    </row>
    <row r="985">
      <c r="A985" s="62"/>
      <c r="B985" s="7"/>
      <c r="C985" s="62"/>
      <c r="D985" s="62"/>
    </row>
    <row r="986">
      <c r="A986" s="62"/>
      <c r="B986" s="7"/>
      <c r="C986" s="62"/>
      <c r="D986" s="62"/>
    </row>
    <row r="987">
      <c r="A987" s="62"/>
      <c r="B987" s="7"/>
      <c r="C987" s="62"/>
      <c r="D987" s="62"/>
    </row>
    <row r="988">
      <c r="A988" s="62"/>
      <c r="B988" s="7"/>
      <c r="C988" s="62"/>
      <c r="D988" s="62"/>
    </row>
    <row r="989">
      <c r="A989" s="62"/>
      <c r="B989" s="7"/>
      <c r="C989" s="62"/>
      <c r="D989" s="62"/>
    </row>
    <row r="990">
      <c r="A990" s="62"/>
      <c r="B990" s="7"/>
      <c r="C990" s="62"/>
      <c r="D990" s="62"/>
    </row>
    <row r="991">
      <c r="A991" s="62"/>
      <c r="B991" s="7"/>
      <c r="C991" s="62"/>
      <c r="D991" s="62"/>
    </row>
    <row r="992">
      <c r="A992" s="62"/>
      <c r="B992" s="7"/>
      <c r="C992" s="62"/>
      <c r="D992" s="62"/>
    </row>
    <row r="993">
      <c r="A993" s="62"/>
      <c r="B993" s="7"/>
      <c r="C993" s="62"/>
      <c r="D993" s="62"/>
    </row>
    <row r="994">
      <c r="A994" s="62"/>
      <c r="B994" s="7"/>
      <c r="C994" s="62"/>
      <c r="D994" s="62"/>
    </row>
    <row r="995">
      <c r="A995" s="62"/>
      <c r="B995" s="7"/>
      <c r="C995" s="62"/>
      <c r="D995" s="62"/>
    </row>
    <row r="996">
      <c r="A996" s="62"/>
      <c r="B996" s="7"/>
      <c r="C996" s="62"/>
      <c r="D996" s="62"/>
    </row>
    <row r="997">
      <c r="A997" s="62"/>
      <c r="B997" s="7"/>
      <c r="C997" s="62"/>
      <c r="D997" s="62"/>
    </row>
    <row r="998">
      <c r="A998" s="62"/>
      <c r="B998" s="7"/>
      <c r="C998" s="62"/>
      <c r="D998" s="62"/>
    </row>
    <row r="999">
      <c r="A999" s="62"/>
      <c r="B999" s="7"/>
      <c r="C999" s="62"/>
      <c r="D999" s="62"/>
    </row>
    <row r="1000">
      <c r="A1000" s="62"/>
      <c r="B1000" s="7"/>
      <c r="C1000" s="62"/>
      <c r="D1000" s="62"/>
    </row>
    <row r="1001">
      <c r="A1001" s="62"/>
      <c r="B1001" s="7"/>
      <c r="C1001" s="62"/>
      <c r="D1001" s="62"/>
    </row>
  </sheetData>
  <mergeCells count="1">
    <mergeCell ref="B43:B45"/>
  </mergeCells>
  <hyperlinks>
    <hyperlink r:id="rId1" ref="B4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4.86"/>
    <col customWidth="1" min="2" max="2" width="30.57"/>
    <col customWidth="1" min="3" max="3" width="32.43"/>
    <col customWidth="1" min="4" max="4" width="36.71"/>
    <col customWidth="1" min="5" max="5" width="32.43"/>
  </cols>
  <sheetData>
    <row r="1">
      <c r="A1" s="64" t="s">
        <v>1208</v>
      </c>
      <c r="B1" s="5" t="s">
        <v>6</v>
      </c>
      <c r="C1" s="5" t="s">
        <v>7</v>
      </c>
      <c r="D1" s="5" t="s">
        <v>8</v>
      </c>
      <c r="E1" s="65" t="s">
        <v>1355</v>
      </c>
    </row>
    <row r="2">
      <c r="B2" s="8" t="s">
        <v>1356</v>
      </c>
      <c r="C2" s="26" t="s">
        <v>1357</v>
      </c>
      <c r="D2" s="66" t="s">
        <v>1358</v>
      </c>
      <c r="E2" s="46" t="str">
        <f>IFERROR(__xludf.DUMMYFUNCTION("VLOOKUP(C2,IMPORTRANGE(""https://docs.google.com/spreadsheets/d/1SQRLoxD_LXfQNfB7NOxI5jlxbkDlcNPwla_2gSTySP8/edit#gid=274515254"",""Login!$C$2:$D$56""),2,0)"),"SenseHawkへログイン")</f>
        <v>SenseHawkへログイン</v>
      </c>
    </row>
    <row r="3">
      <c r="C3" s="66" t="s">
        <v>1359</v>
      </c>
      <c r="D3" s="66" t="s">
        <v>1360</v>
      </c>
      <c r="E3" s="46" t="str">
        <f>IFERROR(__xludf.DUMMYFUNCTION("VLOOKUP(C3,IMPORTRANGE(""https://docs.google.com/spreadsheets/d/1SQRLoxD_LXfQNfB7NOxI5jlxbkDlcNPwla_2gSTySP8/edit#gid=274515254"",""Login!$C$2:$D$56""),2,0)"),"ユーザー名")</f>
        <v>ユーザー名</v>
      </c>
    </row>
    <row r="4">
      <c r="C4" s="66" t="s">
        <v>1361</v>
      </c>
      <c r="D4" s="66" t="s">
        <v>1362</v>
      </c>
      <c r="E4" s="46" t="str">
        <f>IFERROR(__xludf.DUMMYFUNCTION("VLOOKUP(C4,IMPORTRANGE(""https://docs.google.com/spreadsheets/d/1SQRLoxD_LXfQNfB7NOxI5jlxbkDlcNPwla_2gSTySP8/edit#gid=274515254"",""Login!$C$2:$D$56""),2,0)"),"パスワード")</f>
        <v>パスワード</v>
      </c>
    </row>
    <row r="5">
      <c r="C5" s="66" t="s">
        <v>1363</v>
      </c>
      <c r="D5" s="66" t="s">
        <v>1364</v>
      </c>
      <c r="E5" s="46" t="str">
        <f>IFERROR(__xludf.DUMMYFUNCTION("VLOOKUP(C5,IMPORTRANGE(""https://docs.google.com/spreadsheets/d/1SQRLoxD_LXfQNfB7NOxI5jlxbkDlcNPwla_2gSTySP8/edit#gid=274515254"",""Login!$C$2:$D$56""),2,0)"),"ユーザー名とパスワードを保存する")</f>
        <v>ユーザー名とパスワードを保存する</v>
      </c>
    </row>
    <row r="6">
      <c r="C6" s="66" t="s">
        <v>1365</v>
      </c>
      <c r="D6" s="67" t="s">
        <v>1366</v>
      </c>
      <c r="E6" s="46" t="str">
        <f>IFERROR(__xludf.DUMMYFUNCTION("VLOOKUP(C6,IMPORTRANGE(""https://docs.google.com/spreadsheets/d/1SQRLoxD_LXfQNfB7NOxI5jlxbkDlcNPwla_2gSTySP8/edit#gid=274515254"",""Login!$C$2:$D$56""),2,0)"),"ログイン")</f>
        <v>ログイン</v>
      </c>
    </row>
    <row r="7">
      <c r="C7" s="66" t="s">
        <v>1367</v>
      </c>
      <c r="D7" s="67" t="s">
        <v>1368</v>
      </c>
      <c r="E7" s="46" t="str">
        <f>IFERROR(__xludf.DUMMYFUNCTION("VLOOKUP(C7,IMPORTRANGE(""https://docs.google.com/spreadsheets/d/1SQRLoxD_LXfQNfB7NOxI5jlxbkDlcNPwla_2gSTySP8/edit#gid=274515254"",""Login!$C$2:$D$56""),2,0)"),"ヘルプ")</f>
        <v>ヘルプ</v>
      </c>
    </row>
    <row r="8" ht="36.75" customHeight="1">
      <c r="B8" s="8" t="s">
        <v>1369</v>
      </c>
      <c r="C8" s="66" t="s">
        <v>1370</v>
      </c>
      <c r="D8" s="66" t="s">
        <v>1371</v>
      </c>
      <c r="E8" s="46" t="str">
        <f>IFERROR(__xludf.DUMMYFUNCTION("VLOOKUP(C8,IMPORTRANGE(""https://docs.google.com/spreadsheets/d/1SQRLoxD_LXfQNfB7NOxI5jlxbkDlcNPwla_2gSTySP8/edit#gid=274515254"",""Login!$C$2:$D$56""),2,0)"),"パスワードを忘れた場合")</f>
        <v>パスワードを忘れた場合</v>
      </c>
    </row>
    <row r="9" ht="20.25" customHeight="1">
      <c r="C9" s="66" t="s">
        <v>1372</v>
      </c>
      <c r="D9" s="66" t="s">
        <v>55</v>
      </c>
      <c r="E9" s="46" t="str">
        <f>IFERROR(__xludf.DUMMYFUNCTION("VLOOKUP(C9,IMPORTRANGE(""https://docs.google.com/spreadsheets/d/1SQRLoxD_LXfQNfB7NOxI5jlxbkDlcNPwla_2gSTySP8/edit#gid=274515254"",""Login!$C$2:$D$56""),2,0)"),"ヘルプ")</f>
        <v>ヘルプ</v>
      </c>
    </row>
    <row r="10">
      <c r="B10" s="8" t="s">
        <v>1373</v>
      </c>
      <c r="C10" s="66" t="s">
        <v>1374</v>
      </c>
      <c r="D10" s="66" t="s">
        <v>1375</v>
      </c>
      <c r="E10" s="46" t="str">
        <f>IFERROR(__xludf.DUMMYFUNCTION("VLOOKUP(C10,IMPORTRANGE(""https://docs.google.com/spreadsheets/d/1SQRLoxD_LXfQNfB7NOxI5jlxbkDlcNPwla_2gSTySP8/edit#gid=274515254"",""Login!$C$2:$D$56""),2,0)"),"パスワードの変更")</f>
        <v>パスワードの変更</v>
      </c>
      <c r="G10" s="68"/>
    </row>
    <row r="11">
      <c r="C11" s="66" t="s">
        <v>1376</v>
      </c>
      <c r="D11" s="67" t="s">
        <v>1377</v>
      </c>
      <c r="E11" s="46" t="str">
        <f>IFERROR(__xludf.DUMMYFUNCTION("VLOOKUP(C11,IMPORTRANGE(""https://docs.google.com/spreadsheets/d/1SQRLoxD_LXfQNfB7NOxI5jlxbkDlcNPwla_2gSTySP8/edit#gid=274515254"",""Login!$C$2:$D$56""),2,0)"),"メールアドレスまたはユーザー名")</f>
        <v>メールアドレスまたはユーザー名</v>
      </c>
    </row>
    <row r="12">
      <c r="C12" s="66" t="s">
        <v>1378</v>
      </c>
      <c r="D12" s="66" t="s">
        <v>1379</v>
      </c>
      <c r="E12" s="46" t="str">
        <f>IFERROR(__xludf.DUMMYFUNCTION("VLOOKUP(C12,IMPORTRANGE(""https://docs.google.com/spreadsheets/d/1SQRLoxD_LXfQNfB7NOxI5jlxbkDlcNPwla_2gSTySP8/edit#gid=274515254"",""Login!$C$2:$D$56""),2,0)"),"パスワード再設定メールの送信")</f>
        <v>パスワード再設定メールの送信</v>
      </c>
    </row>
    <row r="13">
      <c r="C13" s="66" t="s">
        <v>1380</v>
      </c>
      <c r="D13" s="67" t="s">
        <v>1381</v>
      </c>
      <c r="E13" s="46" t="str">
        <f>IFERROR(__xludf.DUMMYFUNCTION("VLOOKUP(C13,IMPORTRANGE(""https://docs.google.com/spreadsheets/d/1SQRLoxD_LXfQNfB7NOxI5jlxbkDlcNPwla_2gSTySP8/edit#gid=274515254"",""Login!$C$2:$D$56""),2,0)"),"ログインページに戻る")</f>
        <v>ログインページに戻る</v>
      </c>
    </row>
    <row r="14">
      <c r="B14" s="8" t="s">
        <v>1382</v>
      </c>
      <c r="C14" s="66" t="s">
        <v>1383</v>
      </c>
      <c r="D14" s="67" t="s">
        <v>1384</v>
      </c>
      <c r="E14" s="46" t="str">
        <f>IFERROR(__xludf.DUMMYFUNCTION("VLOOKUP(C14,IMPORTRANGE(""https://docs.google.com/spreadsheets/d/1SQRLoxD_LXfQNfB7NOxI5jlxbkDlcNPwla_2gSTySP8/edit#gid=274515254"",""Login!$C$2:$D$56""),2,0)"),"ログインのヘルプ")</f>
        <v>ログインのヘルプ</v>
      </c>
    </row>
    <row r="15">
      <c r="B15" s="8" t="s">
        <v>1382</v>
      </c>
      <c r="C15" s="66" t="s">
        <v>1385</v>
      </c>
      <c r="D15" s="67" t="s">
        <v>1386</v>
      </c>
      <c r="E15" s="46" t="str">
        <f>IFERROR(__xludf.DUMMYFUNCTION("VLOOKUP(C15,IMPORTRANGE(""https://docs.google.com/spreadsheets/d/1SQRLoxD_LXfQNfB7NOxI5jlxbkDlcNPwla_2gSTySP8/edit#gid=274515254"",""Login!$C$2:$D$56""),2,0)"),"さらなるヘルプ")</f>
        <v>さらなるヘルプ</v>
      </c>
    </row>
    <row r="16">
      <c r="B16" s="8" t="s">
        <v>1382</v>
      </c>
      <c r="C16" s="66" t="s">
        <v>1387</v>
      </c>
      <c r="D16" s="66" t="s">
        <v>1388</v>
      </c>
      <c r="E16" s="46" t="str">
        <f>IFERROR(__xludf.DUMMYFUNCTION("VLOOKUP(C16,IMPORTRANGE(""https://docs.google.com/spreadsheets/d/1SQRLoxD_LXfQNfB7NOxI5jlxbkDlcNPwla_2gSTySP8/edit#gid=274515254"",""Login!$C$2:$D$56""),2,0)"),"オペレーターに問い合わせ")</f>
        <v>オペレーターに問い合わせ</v>
      </c>
    </row>
    <row r="17">
      <c r="B17" s="8" t="s">
        <v>1382</v>
      </c>
      <c r="C17" s="66" t="s">
        <v>1389</v>
      </c>
      <c r="D17" s="66" t="s">
        <v>1390</v>
      </c>
      <c r="E17" s="46" t="str">
        <f>IFERROR(__xludf.DUMMYFUNCTION("VLOOKUP(C17,IMPORTRANGE(""https://docs.google.com/spreadsheets/d/1SQRLoxD_LXfQNfB7NOxI5jlxbkDlcNPwla_2gSTySP8/edit#gid=274515254"",""Login!$C$2:$D$56""),2,0)"),"メッセージで問い合わせ")</f>
        <v>メッセージで問い合わせ</v>
      </c>
    </row>
    <row r="18">
      <c r="B18" s="8" t="s">
        <v>1382</v>
      </c>
      <c r="C18" s="66" t="s">
        <v>1391</v>
      </c>
      <c r="D18" s="66" t="s">
        <v>1392</v>
      </c>
      <c r="E18" s="46" t="str">
        <f>IFERROR(__xludf.DUMMYFUNCTION("VLOOKUP(C18,IMPORTRANGE(""https://docs.google.com/spreadsheets/d/1SQRLoxD_LXfQNfB7NOxI5jlxbkDlcNPwla_2gSTySP8/edit#gid=274515254"",""Login!$C$2:$D$56""),2,0)"),"不具合の報告")</f>
        <v>不具合の報告</v>
      </c>
    </row>
    <row r="19">
      <c r="B19" s="8" t="s">
        <v>1382</v>
      </c>
      <c r="C19" s="66" t="s">
        <v>1380</v>
      </c>
      <c r="D19" s="67" t="s">
        <v>1381</v>
      </c>
      <c r="E19" s="46" t="str">
        <f>IFERROR(__xludf.DUMMYFUNCTION("VLOOKUP(C19,IMPORTRANGE(""https://docs.google.com/spreadsheets/d/1SQRLoxD_LXfQNfB7NOxI5jlxbkDlcNPwla_2gSTySP8/edit#gid=274515254"",""Login!$C$2:$D$56""),2,0)"),"ログインページに戻る")</f>
        <v>ログインページに戻る</v>
      </c>
    </row>
    <row r="20">
      <c r="B20" s="8" t="s">
        <v>1382</v>
      </c>
      <c r="C20" s="69" t="s">
        <v>1393</v>
      </c>
      <c r="D20" s="67" t="s">
        <v>1394</v>
      </c>
      <c r="E20" s="46" t="str">
        <f>IFERROR(__xludf.DUMMYFUNCTION("VLOOKUP(C20,IMPORTRANGE(""https://docs.google.com/spreadsheets/d/1SQRLoxD_LXfQNfB7NOxI5jlxbkDlcNPwla_2gSTySP8/edit#gid=274515254"",""Login!$C$2:$D$56""),2,0)"),"Oktaは、すべてのアプリケーションに1回のログインで簡単にサインインできるオンデマンドサービスです。")</f>
        <v>Oktaは、すべてのアプリケーションに1回のログインで簡単にサインインできるオンデマンドサービスです。</v>
      </c>
    </row>
    <row r="21">
      <c r="B21" s="8" t="s">
        <v>1382</v>
      </c>
      <c r="C21" s="70" t="s">
        <v>1395</v>
      </c>
      <c r="D21" s="67" t="s">
        <v>1396</v>
      </c>
      <c r="E21" s="46" t="str">
        <f>IFERROR(__xludf.DUMMYFUNCTION("VLOOKUP(C21,IMPORTRANGE(""https://docs.google.com/spreadsheets/d/1SQRLoxD_LXfQNfB7NOxI5jlxbkDlcNPwla_2gSTySP8/edit#gid=274515254"",""Login!$C$2:$D$56""),2,0)"),"ログインをすると、Oktaホームページ上にすべてのアプリケーションが表示されます。アイコンをクリックするだけで、各アプリケーションが新しいブラウザウィンドウまたはタブで開き、自動的にログインします。")</f>
        <v>ログインをすると、Oktaホームページ上にすべてのアプリケーションが表示されます。アイコンをクリックするだけで、各アプリケーションが新しいブラウザウィンドウまたはタブで開き、自動的にログインします。</v>
      </c>
    </row>
    <row r="22">
      <c r="B22" s="8" t="s">
        <v>1382</v>
      </c>
      <c r="C22" s="70" t="s">
        <v>1397</v>
      </c>
      <c r="D22" s="66" t="s">
        <v>1398</v>
      </c>
      <c r="E22" s="46" t="str">
        <f>IFERROR(__xludf.DUMMYFUNCTION("VLOOKUP(C22,IMPORTRANGE(""https://docs.google.com/spreadsheets/d/1SQRLoxD_LXfQNfB7NOxI5jlxbkDlcNPwla_2gSTySP8/edit#gid=274515254"",""Login!$C$2:$D$56""),2,0)"),"目次")</f>
        <v>目次</v>
      </c>
    </row>
    <row r="23">
      <c r="B23" s="8" t="s">
        <v>1382</v>
      </c>
      <c r="C23" s="66" t="s">
        <v>1399</v>
      </c>
      <c r="D23" s="66" t="s">
        <v>1400</v>
      </c>
      <c r="E23" s="46" t="str">
        <f>IFERROR(__xludf.DUMMYFUNCTION("VLOOKUP(C23,IMPORTRANGE(""https://docs.google.com/spreadsheets/d/1SQRLoxD_LXfQNfB7NOxI5jlxbkDlcNPwla_2gSTySP8/edit#gid=274515254"",""Login!$C$2:$D$56""),2,0)"),"よくある質問")</f>
        <v>よくある質問</v>
      </c>
    </row>
    <row r="24">
      <c r="B24" s="8" t="s">
        <v>1382</v>
      </c>
      <c r="C24" s="70" t="s">
        <v>1401</v>
      </c>
      <c r="D24" s="67" t="s">
        <v>1402</v>
      </c>
      <c r="E24" s="46" t="str">
        <f>IFERROR(__xludf.DUMMYFUNCTION("VLOOKUP(C24,IMPORTRANGE(""https://docs.google.com/spreadsheets/d/1SQRLoxD_LXfQNfB7NOxI5jlxbkDlcNPwla_2gSTySP8/edit#gid=274515254"",""Login!$C$2:$D$56""),2,0)"),"ユーザー名またはパスワードを忘れた場合")</f>
        <v>ユーザー名またはパスワードを忘れた場合</v>
      </c>
    </row>
    <row r="25">
      <c r="B25" s="20" t="s">
        <v>1403</v>
      </c>
      <c r="C25" s="66" t="s">
        <v>1404</v>
      </c>
      <c r="D25" s="67" t="s">
        <v>1405</v>
      </c>
      <c r="E25" s="46" t="str">
        <f>IFERROR(__xludf.DUMMYFUNCTION("VLOOKUP(C25,IMPORTRANGE(""https://docs.google.com/spreadsheets/d/1SQRLoxD_LXfQNfB7NOxI5jlxbkDlcNPwla_2gSTySP8/edit#gid=274515254"",""Login!$C$2:$D$56""),2,0)"),"使用方法")</f>
        <v>使用方法</v>
      </c>
    </row>
    <row r="26">
      <c r="B26" s="20" t="s">
        <v>1403</v>
      </c>
      <c r="C26" s="70" t="s">
        <v>1406</v>
      </c>
      <c r="D26" s="66" t="s">
        <v>1407</v>
      </c>
      <c r="E26" s="46" t="str">
        <f>IFERROR(__xludf.DUMMYFUNCTION("VLOOKUP(C26,IMPORTRANGE(""https://docs.google.com/spreadsheets/d/1SQRLoxD_LXfQNfB7NOxI5jlxbkDlcNPwla_2gSTySP8/edit#gid=274515254"",""Login!$C$2:$D$56""),2,0)"),"ログイン")</f>
        <v>ログイン</v>
      </c>
    </row>
    <row r="27">
      <c r="B27" s="20" t="s">
        <v>1403</v>
      </c>
      <c r="C27" s="70" t="s">
        <v>1408</v>
      </c>
      <c r="D27" s="66" t="s">
        <v>1409</v>
      </c>
      <c r="E27" s="46" t="str">
        <f>IFERROR(__xludf.DUMMYFUNCTION("VLOOKUP(C27,IMPORTRANGE(""https://docs.google.com/spreadsheets/d/1SQRLoxD_LXfQNfB7NOxI5jlxbkDlcNPwla_2gSTySP8/edit#gid=274515254"",""Login!$C$2:$D$56""),2,0)"),"セキュリティに関する報告")</f>
        <v>セキュリティに関する報告</v>
      </c>
    </row>
    <row r="28">
      <c r="B28" s="8" t="s">
        <v>1382</v>
      </c>
      <c r="C28" s="70" t="s">
        <v>1410</v>
      </c>
      <c r="D28" s="67" t="s">
        <v>1411</v>
      </c>
      <c r="E28" s="46" t="str">
        <f>IFERROR(__xludf.DUMMYFUNCTION("VLOOKUP(C28,IMPORTRANGE(""https://docs.google.com/spreadsheets/d/1SQRLoxD_LXfQNfB7NOxI5jlxbkDlcNPwla_2gSTySP8/edit#gid=274515254"",""Login!$C$2:$D$56""),2,0)"),"Q: ユーザー名またはパスワードを忘れた場合")</f>
        <v>Q: ユーザー名またはパスワードを忘れた場合</v>
      </c>
    </row>
    <row r="29">
      <c r="B29" s="8" t="s">
        <v>1382</v>
      </c>
      <c r="C29" s="70" t="s">
        <v>1412</v>
      </c>
      <c r="D29" s="67" t="s">
        <v>1413</v>
      </c>
      <c r="E29" s="46" t="str">
        <f>IFERROR(__xludf.DUMMYFUNCTION("VLOOKUP(C29,IMPORTRANGE(""https://docs.google.com/spreadsheets/d/1SQRLoxD_LXfQNfB7NOxI5jlxbkDlcNPwla_2gSTySP8/edit#gid=274515254"",""Login!$C$2:$D$56""),2,0)"),"A：ログインページで[アカウントにアクセスできません]をクリックし、登録したメールアドレスを入力し[メールを送信]をクリックします。受信したメールの指示に従って下さい。")</f>
        <v>A：ログインページで[アカウントにアクセスできません]をクリックし、登録したメールアドレスを入力し[メールを送信]をクリックします。受信したメールの指示に従って下さい。</v>
      </c>
    </row>
    <row r="30">
      <c r="B30" s="8" t="s">
        <v>1403</v>
      </c>
      <c r="C30" s="70" t="s">
        <v>1414</v>
      </c>
      <c r="D30" s="67" t="s">
        <v>1415</v>
      </c>
      <c r="E30" s="46" t="str">
        <f>IFERROR(__xludf.DUMMYFUNCTION("VLOOKUP(C30,IMPORTRANGE(""https://docs.google.com/spreadsheets/d/1SQRLoxD_LXfQNfB7NOxI5jlxbkDlcNPwla_2gSTySP8/edit#gid=274515254"",""Login!$C$2:$D$56""),2,0)"),"Webブラウザーを開き、Oktaアドレスを入力します。例：http：//mycompany.okta.com")</f>
        <v>Webブラウザーを開き、Oktaアドレスを入力します。例：http：//mycompany.okta.com</v>
      </c>
    </row>
    <row r="31">
      <c r="B31" s="8" t="s">
        <v>1403</v>
      </c>
      <c r="C31" s="70" t="s">
        <v>1416</v>
      </c>
      <c r="D31" s="67" t="s">
        <v>1417</v>
      </c>
      <c r="E31" s="46" t="str">
        <f>IFERROR(__xludf.DUMMYFUNCTION("VLOOKUP(C31,IMPORTRANGE(""https://docs.google.com/spreadsheets/d/1SQRLoxD_LXfQNfB7NOxI5jlxbkDlcNPwla_2gSTySP8/edit#gid=274515254"",""Login!$C$2:$D$56""),2,0)"),"ユーザー名とパスワードを入力し、[ログイン]を選択します。ユーザー名欄にドメイン名を入力します。たとえば、ユーザー名がjsmith@mycompany.comの場合は、jsmithと入力して下さい。")</f>
        <v>ユーザー名とパスワードを入力し、[ログイン]を選択します。ユーザー名欄にドメイン名を入力します。たとえば、ユーザー名がjsmith@mycompany.comの場合は、jsmithと入力して下さい。</v>
      </c>
    </row>
    <row r="32">
      <c r="B32" s="8" t="s">
        <v>1403</v>
      </c>
      <c r="C32" s="70" t="s">
        <v>1418</v>
      </c>
      <c r="D32" s="67" t="s">
        <v>1419</v>
      </c>
      <c r="E32" s="46" t="str">
        <f>IFERROR(__xludf.DUMMYFUNCTION("VLOOKUP(C32,IMPORTRANGE(""https://docs.google.com/spreadsheets/d/1SQRLoxD_LXfQNfB7NOxI5jlxbkDlcNPwla_2gSTySP8/edit#gid=274515254"",""Login!$C$2:$D$56""),2,0)"),"ユーザー名を入力すると、使用しているブラウザで以前に正常にログオンが完了している場合、セキュリティイメージが自動的に表示されます。この機能にはブラウザのCookieが必要です。")</f>
        <v>ユーザー名を入力すると、使用しているブラウザで以前に正常にログオンが完了している場合、セキュリティイメージが自動的に表示されます。この機能にはブラウザのCookieが必要です。</v>
      </c>
    </row>
    <row r="33">
      <c r="B33" s="8" t="s">
        <v>1403</v>
      </c>
      <c r="C33" s="70" t="s">
        <v>1420</v>
      </c>
      <c r="D33" s="67" t="s">
        <v>1421</v>
      </c>
      <c r="E33" s="46" t="str">
        <f>IFERROR(__xludf.DUMMYFUNCTION("VLOOKUP(C33,IMPORTRANGE(""https://docs.google.com/spreadsheets/d/1SQRLoxD_LXfQNfB7NOxI5jlxbkDlcNPwla_2gSTySP8/edit#gid=274515254"",""Login!$C$2:$D$56""),2,0)"),"注意：以前に現在のブラウザに正常にログインしたことがあり、Cookieをクリアしていない場合は、ユーザー名を入力したときにセキュリティイメージが表示されないときには、パスワードを入力しないでください。")</f>
        <v>注意：以前に現在のブラウザに正常にログインしたことがあり、Cookieをクリアしていない場合は、ユーザー名を入力したときにセキュリティイメージが表示されないときには、パスワードを入力しないでください。</v>
      </c>
    </row>
    <row r="34">
      <c r="B34" s="8" t="s">
        <v>1403</v>
      </c>
      <c r="C34" s="70" t="s">
        <v>1422</v>
      </c>
      <c r="D34" s="67" t="s">
        <v>1423</v>
      </c>
      <c r="E34" s="46" t="str">
        <f>IFERROR(__xludf.DUMMYFUNCTION("VLOOKUP(C34,IMPORTRANGE(""https://docs.google.com/spreadsheets/d/1SQRLoxD_LXfQNfB7NOxI5jlxbkDlcNPwla_2gSTySP8/edit#gid=274515254"",""Login!$C$2:$D$56""),2,0)"),"セキュリティイメージが表示されない場合は、ブラウザを閉じて、正しいアドレスを使用してログインしていることを確認してください。次に、新しいブラウザウィンドウを開き、アドレスを手動で入力し、ユーザー名を再度入力します。それでもセキュリティイメージが表示されない場合は、[フィードバックの送信]リンクを使用して問題を報告してください。")</f>
        <v>セキュリティイメージが表示されない場合は、ブラウザを閉じて、正しいアドレスを使用してログインしていることを確認してください。次に、新しいブラウザウィンドウを開き、アドレスを手動で入力し、ユーザー名を再度入力します。それでもセキュリティイメージが表示されない場合は、[フィードバックの送信]リンクを使用して問題を報告してください。</v>
      </c>
    </row>
    <row r="35">
      <c r="B35" s="8" t="s">
        <v>1403</v>
      </c>
      <c r="C35" s="70" t="s">
        <v>1424</v>
      </c>
      <c r="D35" s="67" t="s">
        <v>1425</v>
      </c>
      <c r="E35" s="46" t="str">
        <f>IFERROR(__xludf.DUMMYFUNCTION("VLOOKUP(C35,IMPORTRANGE(""https://docs.google.com/spreadsheets/d/1SQRLoxD_LXfQNfB7NOxI5jlxbkDlcNPwla_2gSTySP8/edit#gid=274515254"",""Login!$C$2:$D$56""),2,0)"),"「ログインに失敗しました」というエラーメッセージが表示された場合、ユーザー名またはパスワードが正しくないか、アクセス許可がありません。その場合はシステム管理者に連絡してください。")</f>
        <v>「ログインに失敗しました」というエラーメッセージが表示された場合、ユーザー名またはパスワードが正しくないか、アクセス許可がありません。その場合はシステム管理者に連絡してください。</v>
      </c>
    </row>
    <row r="36">
      <c r="B36" s="71" t="s">
        <v>1403</v>
      </c>
      <c r="C36" s="66" t="s">
        <v>1408</v>
      </c>
      <c r="D36" s="66" t="s">
        <v>1426</v>
      </c>
      <c r="E36" s="46" t="str">
        <f>IFERROR(__xludf.DUMMYFUNCTION("VLOOKUP(C36,IMPORTRANGE(""https://docs.google.com/spreadsheets/d/1SQRLoxD_LXfQNfB7NOxI5jlxbkDlcNPwla_2gSTySP8/edit#gid=274515254"",""Login!$C$2:$D$56""),2,0)"),"セキュリティに関する報告")</f>
        <v>セキュリティに関する報告</v>
      </c>
    </row>
    <row r="37">
      <c r="B37" s="71" t="s">
        <v>1403</v>
      </c>
      <c r="C37" s="70" t="s">
        <v>1427</v>
      </c>
      <c r="D37" s="67" t="s">
        <v>1428</v>
      </c>
      <c r="E37" s="46" t="str">
        <f>IFERROR(__xludf.DUMMYFUNCTION("VLOOKUP(C37,IMPORTRANGE(""https://docs.google.com/spreadsheets/d/1SQRLoxD_LXfQNfB7NOxI5jlxbkDlcNPwla_2gSTySP8/edit#gid=274515254"",""Login!$C$2:$D$56""),2,0)"),"［さらなるヘルプ］の下にある［メッセージで問い合わせ］からお進み下さい。")</f>
        <v>［さらなるヘルプ］の下にある［メッセージで問い合わせ］からお進み下さい。</v>
      </c>
    </row>
    <row r="38">
      <c r="B38" s="71" t="s">
        <v>1403</v>
      </c>
      <c r="C38" s="70" t="s">
        <v>1429</v>
      </c>
      <c r="D38" s="67" t="s">
        <v>1430</v>
      </c>
      <c r="E38" s="46" t="str">
        <f>IFERROR(__xludf.DUMMYFUNCTION("VLOOKUP(C38,IMPORTRANGE(""https://docs.google.com/spreadsheets/d/1SQRLoxD_LXfQNfB7NOxI5jlxbkDlcNPwla_2gSTySP8/edit#gid=274515254"",""Login!$C$2:$D$56""),2,0)"),"メールアドレスを入力し［お困りですか？］のプルダウンより［セキュリティに関する報告］を選択した下さい。")</f>
        <v>メールアドレスを入力し［お困りですか？］のプルダウンより［セキュリティに関する報告］を選択した下さい。</v>
      </c>
    </row>
    <row r="39">
      <c r="B39" s="71" t="s">
        <v>1403</v>
      </c>
      <c r="C39" s="70" t="s">
        <v>1431</v>
      </c>
      <c r="D39" s="66" t="s">
        <v>1432</v>
      </c>
      <c r="E39" s="46" t="str">
        <f>IFERROR(__xludf.DUMMYFUNCTION("VLOOKUP(C39,IMPORTRANGE(""https://docs.google.com/spreadsheets/d/1SQRLoxD_LXfQNfB7NOxI5jlxbkDlcNPwla_2gSTySP8/edit#gid=274515254"",""Login!$C$2:$D$56""),2,0)"),"メッセージを入力し送信して下さい。")</f>
        <v>メッセージを入力し送信して下さい。</v>
      </c>
    </row>
    <row r="40">
      <c r="B40" s="71" t="s">
        <v>1433</v>
      </c>
      <c r="C40" s="66" t="s">
        <v>1434</v>
      </c>
      <c r="D40" s="66" t="s">
        <v>1435</v>
      </c>
      <c r="E40" s="46" t="str">
        <f>IFERROR(__xludf.DUMMYFUNCTION("VLOOKUP(C40,IMPORTRANGE(""https://docs.google.com/spreadsheets/d/1SQRLoxD_LXfQNfB7NOxI5jlxbkDlcNPwla_2gSTySP8/edit#gid=274515254"",""Login!$C$2:$D$56""),2,0)"),"プライバシー")</f>
        <v>プライバシー</v>
      </c>
    </row>
    <row r="41">
      <c r="B41" s="71" t="s">
        <v>1433</v>
      </c>
      <c r="C41" s="66" t="s">
        <v>1436</v>
      </c>
      <c r="D41" s="66" t="s">
        <v>1437</v>
      </c>
      <c r="E41" s="46" t="str">
        <f>IFERROR(__xludf.DUMMYFUNCTION("VLOOKUP(C41,IMPORTRANGE(""https://docs.google.com/spreadsheets/d/1SQRLoxD_LXfQNfB7NOxI5jlxbkDlcNPwla_2gSTySP8/edit#gid=274515254"",""Login!$C$2:$D$56""),2,0)"),"ウェブサイトのステータス")</f>
        <v>ウェブサイトのステータス</v>
      </c>
    </row>
    <row r="42">
      <c r="B42" s="71" t="s">
        <v>1433</v>
      </c>
      <c r="C42" s="66" t="s">
        <v>1438</v>
      </c>
      <c r="D42" s="66" t="s">
        <v>1439</v>
      </c>
      <c r="E42" s="46" t="str">
        <f>IFERROR(__xludf.DUMMYFUNCTION("VLOOKUP(C42,IMPORTRANGE(""https://docs.google.com/spreadsheets/d/1SQRLoxD_LXfQNfB7NOxI5jlxbkDlcNPwla_2gSTySP8/edit#gid=274515254"",""Login!$C$2:$D$56""),2,0)"),"Okta プラグインをダウンロード")</f>
        <v>Okta プラグインをダウンロード</v>
      </c>
    </row>
    <row r="43">
      <c r="B43" s="71" t="s">
        <v>1433</v>
      </c>
      <c r="C43" s="66" t="s">
        <v>1440</v>
      </c>
      <c r="D43" s="66" t="s">
        <v>1441</v>
      </c>
      <c r="E43" s="46" t="str">
        <f>IFERROR(__xludf.DUMMYFUNCTION("VLOOKUP(C43,IMPORTRANGE(""https://docs.google.com/spreadsheets/d/1SQRLoxD_LXfQNfB7NOxI5jlxbkDlcNPwla_2gSTySP8/edit#gid=274515254"",""Login!$C$2:$D$56""),2,0)"),"フィードバック")</f>
        <v>フィードバック</v>
      </c>
    </row>
    <row r="44">
      <c r="B44" s="71" t="s">
        <v>1433</v>
      </c>
      <c r="C44" s="66" t="s">
        <v>1442</v>
      </c>
      <c r="D44" s="67" t="s">
        <v>1443</v>
      </c>
      <c r="E44" s="46" t="str">
        <f>IFERROR(__xludf.DUMMYFUNCTION("VLOOKUP(C44,IMPORTRANGE(""https://docs.google.com/spreadsheets/d/1SQRLoxD_LXfQNfB7NOxI5jlxbkDlcNPwla_2gSTySP8/edit#gid=274515254"",""Login!$C$2:$D$56""),2,0)"),"スマートフォンサイトはこちら")</f>
        <v>スマートフォンサイトはこちら</v>
      </c>
    </row>
    <row r="45">
      <c r="B45" s="71" t="s">
        <v>1433</v>
      </c>
      <c r="C45" s="66" t="s">
        <v>1444</v>
      </c>
      <c r="D45" s="66" t="s">
        <v>1445</v>
      </c>
      <c r="E45" s="46" t="str">
        <f>IFERROR(__xludf.DUMMYFUNCTION("VLOOKUP(C45,IMPORTRANGE(""https://docs.google.com/spreadsheets/d/1SQRLoxD_LXfQNfB7NOxI5jlxbkDlcNPwla_2gSTySP8/edit#gid=274515254"",""Login!$C$2:$D$56""),2,0)"),"ヘルプ＆フィードバック")</f>
        <v>ヘルプ＆フィードバック</v>
      </c>
    </row>
    <row r="46">
      <c r="B46" s="8" t="s">
        <v>1446</v>
      </c>
      <c r="C46" s="72" t="s">
        <v>1447</v>
      </c>
      <c r="D46" s="66" t="s">
        <v>1448</v>
      </c>
      <c r="E46" s="46" t="str">
        <f>IFERROR(__xludf.DUMMYFUNCTION("VLOOKUP(C46,IMPORTRANGE(""https://docs.google.com/spreadsheets/d/1SQRLoxD_LXfQNfB7NOxI5jlxbkDlcNPwla_2gSTySP8/edit#gid=274515254"",""Login!$C$2:$D$56""),2,0)"),"メッセージを送信")</f>
        <v>メッセージを送信</v>
      </c>
    </row>
    <row r="47">
      <c r="C47" s="73" t="s">
        <v>1449</v>
      </c>
      <c r="D47" s="67" t="s">
        <v>1450</v>
      </c>
      <c r="E47" s="46" t="str">
        <f>IFERROR(__xludf.DUMMYFUNCTION("VLOOKUP(C47,IMPORTRANGE(""https://docs.google.com/spreadsheets/d/1SQRLoxD_LXfQNfB7NOxI5jlxbkDlcNPwla_2gSTySP8/edit#gid=274515254"",""Login!$C$2:$D$56""),2,0)"),"連絡先メールアドレス")</f>
        <v>連絡先メールアドレス</v>
      </c>
    </row>
    <row r="48">
      <c r="C48" s="73" t="s">
        <v>1451</v>
      </c>
      <c r="D48" s="67" t="s">
        <v>1452</v>
      </c>
      <c r="E48" s="46" t="str">
        <f>IFERROR(__xludf.DUMMYFUNCTION("VLOOKUP(C48,IMPORTRANGE(""https://docs.google.com/spreadsheets/d/1SQRLoxD_LXfQNfB7NOxI5jlxbkDlcNPwla_2gSTySP8/edit#gid=274515254"",""Login!$C$2:$D$56""),2,0)"),"お困りですか？")</f>
        <v>お困りですか？</v>
      </c>
    </row>
    <row r="49">
      <c r="C49" s="72" t="s">
        <v>1453</v>
      </c>
      <c r="D49" s="66" t="s">
        <v>1454</v>
      </c>
      <c r="E49" s="46" t="str">
        <f>IFERROR(__xludf.DUMMYFUNCTION("VLOOKUP(C49,IMPORTRANGE(""https://docs.google.com/spreadsheets/d/1SQRLoxD_LXfQNfB7NOxI5jlxbkDlcNPwla_2gSTySP8/edit#gid=274515254"",""Login!$C$2:$D$56""),2,0)"),"システムの使い方について")</f>
        <v>システムの使い方について</v>
      </c>
    </row>
    <row r="50">
      <c r="B50" s="8" t="s">
        <v>1455</v>
      </c>
      <c r="C50" s="72" t="s">
        <v>1456</v>
      </c>
      <c r="D50" s="66" t="s">
        <v>1457</v>
      </c>
      <c r="E50" s="46" t="str">
        <f>IFERROR(__xludf.DUMMYFUNCTION("VLOOKUP(C50,IMPORTRANGE(""https://docs.google.com/spreadsheets/d/1SQRLoxD_LXfQNfB7NOxI5jlxbkDlcNPwla_2gSTySP8/edit#gid=274515254"",""Login!$C$2:$D$56""),2,0)"),"ログイン出来ません")</f>
        <v>ログイン出来ません</v>
      </c>
    </row>
    <row r="51">
      <c r="C51" s="72" t="s">
        <v>1458</v>
      </c>
      <c r="D51" s="66" t="s">
        <v>1459</v>
      </c>
      <c r="E51" s="46" t="str">
        <f>IFERROR(__xludf.DUMMYFUNCTION("VLOOKUP(C51,IMPORTRANGE(""https://docs.google.com/spreadsheets/d/1SQRLoxD_LXfQNfB7NOxI5jlxbkDlcNPwla_2gSTySP8/edit#gid=274515254"",""Login!$C$2:$D$56""),2,0)"),"セキュリティに関する報告")</f>
        <v>セキュリティに関する報告</v>
      </c>
    </row>
    <row r="52">
      <c r="C52" s="72" t="s">
        <v>1460</v>
      </c>
      <c r="D52" s="67" t="s">
        <v>1461</v>
      </c>
      <c r="E52" s="46" t="str">
        <f>IFERROR(__xludf.DUMMYFUNCTION("VLOOKUP(C52,IMPORTRANGE(""https://docs.google.com/spreadsheets/d/1SQRLoxD_LXfQNfB7NOxI5jlxbkDlcNPwla_2gSTySP8/edit#gid=274515254"",""Login!$C$2:$D$56""),2,0)"),"アプリにアクセスをリクエスト")</f>
        <v>アプリにアクセスをリクエスト</v>
      </c>
    </row>
    <row r="53">
      <c r="C53" s="72" t="s">
        <v>1462</v>
      </c>
      <c r="D53" s="66" t="s">
        <v>1463</v>
      </c>
      <c r="E53" s="46" t="str">
        <f>IFERROR(__xludf.DUMMYFUNCTION("VLOOKUP(C53,IMPORTRANGE(""https://docs.google.com/spreadsheets/d/1SQRLoxD_LXfQNfB7NOxI5jlxbkDlcNPwla_2gSTySP8/edit#gid=274515254"",""Login!$C$2:$D$56""),2,0)"),"システムについてのフィードバックを送信")</f>
        <v>システムについてのフィードバックを送信</v>
      </c>
    </row>
    <row r="54">
      <c r="C54" s="72" t="s">
        <v>1464</v>
      </c>
      <c r="D54" s="66" t="s">
        <v>1465</v>
      </c>
      <c r="E54" s="46" t="str">
        <f>IFERROR(__xludf.DUMMYFUNCTION("VLOOKUP(C54,IMPORTRANGE(""https://docs.google.com/spreadsheets/d/1SQRLoxD_LXfQNfB7NOxI5jlxbkDlcNPwla_2gSTySP8/edit#gid=274515254"",""Login!$C$2:$D$56""),2,0)"),"システム不具合の報告")</f>
        <v>システム不具合の報告</v>
      </c>
    </row>
    <row r="55" ht="19.5" customHeight="1">
      <c r="B55" s="8" t="s">
        <v>1446</v>
      </c>
      <c r="C55" s="72" t="s">
        <v>1466</v>
      </c>
      <c r="D55" s="66" t="s">
        <v>1467</v>
      </c>
      <c r="E55" s="46" t="str">
        <f>IFERROR(__xludf.DUMMYFUNCTION("VLOOKUP(C55,IMPORTRANGE(""https://docs.google.com/spreadsheets/d/1SQRLoxD_LXfQNfB7NOxI5jlxbkDlcNPwla_2gSTySP8/edit#gid=274515254"",""Login!$C$2:$D$56""),2,0)"),"メッセージ")</f>
        <v>メッセージ</v>
      </c>
    </row>
    <row r="56" ht="19.5" customHeight="1">
      <c r="C56" s="72" t="s">
        <v>1468</v>
      </c>
      <c r="D56" s="66" t="s">
        <v>1469</v>
      </c>
      <c r="E56" s="46" t="str">
        <f>IFERROR(__xludf.DUMMYFUNCTION("VLOOKUP(C56,IMPORTRANGE(""https://docs.google.com/spreadsheets/d/1SQRLoxD_LXfQNfB7NOxI5jlxbkDlcNPwla_2gSTySP8/edit#gid=274515254"",""Login!$C$2:$D$56""),2,0)"),"終了する")</f>
        <v>終了する</v>
      </c>
    </row>
    <row r="57">
      <c r="B57" s="7"/>
      <c r="C57" s="74"/>
      <c r="D57" s="74"/>
    </row>
    <row r="58">
      <c r="B58" s="7"/>
      <c r="C58" s="74"/>
      <c r="D58" s="74"/>
    </row>
    <row r="59">
      <c r="B59" s="7"/>
      <c r="D59" s="74"/>
    </row>
    <row r="60">
      <c r="B60" s="7"/>
      <c r="D60" s="74"/>
    </row>
    <row r="61">
      <c r="B61" s="7"/>
      <c r="C61" s="74"/>
      <c r="D61" s="74"/>
    </row>
    <row r="62">
      <c r="B62" s="7"/>
      <c r="C62" s="74"/>
      <c r="D62" s="74"/>
    </row>
    <row r="63">
      <c r="B63" s="7"/>
      <c r="C63" s="74"/>
      <c r="D63" s="74"/>
    </row>
    <row r="64">
      <c r="B64" s="7"/>
      <c r="C64" s="74"/>
      <c r="D64" s="74"/>
    </row>
    <row r="65">
      <c r="B65" s="7"/>
      <c r="C65" s="74"/>
      <c r="D65" s="74"/>
    </row>
    <row r="66">
      <c r="B66" s="7"/>
      <c r="C66" s="74"/>
      <c r="D66" s="74"/>
    </row>
    <row r="67">
      <c r="B67" s="7"/>
      <c r="C67" s="74"/>
      <c r="D67" s="74"/>
    </row>
    <row r="68">
      <c r="B68" s="7"/>
      <c r="C68" s="74"/>
      <c r="D68" s="74"/>
    </row>
    <row r="69">
      <c r="B69" s="7"/>
      <c r="C69" s="74"/>
      <c r="D69" s="74"/>
    </row>
    <row r="70">
      <c r="B70" s="7"/>
      <c r="C70" s="74"/>
      <c r="D70" s="74"/>
    </row>
    <row r="71">
      <c r="B71" s="7"/>
      <c r="C71" s="74"/>
      <c r="D71" s="74"/>
    </row>
    <row r="72">
      <c r="B72" s="7"/>
      <c r="C72" s="74"/>
      <c r="D72" s="74"/>
    </row>
    <row r="73">
      <c r="B73" s="7"/>
      <c r="C73" s="74"/>
      <c r="D73" s="74"/>
    </row>
    <row r="74">
      <c r="B74" s="7"/>
      <c r="C74" s="74"/>
      <c r="D74" s="74"/>
    </row>
    <row r="75">
      <c r="B75" s="7"/>
      <c r="C75" s="74"/>
      <c r="D75" s="74"/>
    </row>
    <row r="76">
      <c r="B76" s="7"/>
      <c r="C76" s="74"/>
      <c r="D76" s="74"/>
    </row>
    <row r="77">
      <c r="B77" s="7"/>
      <c r="C77" s="74"/>
      <c r="D77" s="74"/>
    </row>
    <row r="78">
      <c r="B78" s="7"/>
      <c r="C78" s="74"/>
      <c r="D78" s="74"/>
    </row>
    <row r="79">
      <c r="B79" s="7"/>
      <c r="C79" s="74"/>
      <c r="D79" s="74"/>
    </row>
    <row r="80">
      <c r="B80" s="7"/>
      <c r="C80" s="74"/>
      <c r="D80" s="74"/>
    </row>
    <row r="81">
      <c r="B81" s="7"/>
      <c r="C81" s="74"/>
      <c r="D81" s="74"/>
    </row>
    <row r="82">
      <c r="B82" s="7"/>
      <c r="C82" s="74"/>
      <c r="D82" s="74"/>
    </row>
    <row r="83">
      <c r="B83" s="7"/>
      <c r="C83" s="74"/>
      <c r="D83" s="74"/>
    </row>
    <row r="84">
      <c r="B84" s="7"/>
      <c r="C84" s="74"/>
      <c r="D84" s="74"/>
    </row>
    <row r="85">
      <c r="B85" s="7"/>
      <c r="C85" s="74"/>
      <c r="D85" s="74"/>
    </row>
    <row r="86">
      <c r="B86" s="7"/>
      <c r="C86" s="74"/>
      <c r="D86" s="74"/>
    </row>
    <row r="87">
      <c r="B87" s="7"/>
      <c r="C87" s="74"/>
      <c r="D87" s="74"/>
    </row>
    <row r="88">
      <c r="B88" s="7"/>
      <c r="C88" s="74"/>
      <c r="D88" s="74"/>
    </row>
    <row r="89">
      <c r="B89" s="7"/>
      <c r="C89" s="74"/>
      <c r="D89" s="74"/>
    </row>
    <row r="90">
      <c r="B90" s="7"/>
      <c r="C90" s="74"/>
      <c r="D90" s="74"/>
    </row>
    <row r="91">
      <c r="B91" s="7"/>
      <c r="C91" s="74"/>
      <c r="D91" s="74"/>
    </row>
    <row r="92">
      <c r="B92" s="7"/>
      <c r="C92" s="74"/>
      <c r="D92" s="74"/>
    </row>
    <row r="93">
      <c r="B93" s="7"/>
      <c r="C93" s="74"/>
      <c r="D93" s="74"/>
    </row>
    <row r="94">
      <c r="B94" s="7"/>
      <c r="C94" s="74"/>
      <c r="D94" s="74"/>
    </row>
    <row r="95">
      <c r="B95" s="7"/>
      <c r="C95" s="74"/>
      <c r="D95" s="74"/>
    </row>
    <row r="96">
      <c r="B96" s="7"/>
      <c r="C96" s="74"/>
      <c r="D96" s="74"/>
    </row>
    <row r="97">
      <c r="B97" s="7"/>
      <c r="C97" s="74"/>
      <c r="D97" s="74"/>
    </row>
    <row r="98">
      <c r="B98" s="7"/>
      <c r="C98" s="74"/>
      <c r="D98" s="74"/>
    </row>
    <row r="99">
      <c r="B99" s="7"/>
      <c r="C99" s="74"/>
      <c r="D99" s="74"/>
    </row>
    <row r="100">
      <c r="B100" s="7"/>
      <c r="C100" s="74"/>
      <c r="D100" s="74"/>
    </row>
    <row r="101">
      <c r="B101" s="7"/>
      <c r="C101" s="74"/>
      <c r="D101" s="74"/>
    </row>
    <row r="102">
      <c r="B102" s="7"/>
      <c r="C102" s="74"/>
      <c r="D102" s="74"/>
    </row>
    <row r="103">
      <c r="B103" s="7"/>
      <c r="C103" s="74"/>
      <c r="D103" s="74"/>
    </row>
    <row r="104">
      <c r="B104" s="7"/>
      <c r="C104" s="74"/>
      <c r="D104" s="74"/>
    </row>
    <row r="105">
      <c r="B105" s="7"/>
      <c r="C105" s="74"/>
      <c r="D105" s="74"/>
    </row>
    <row r="106">
      <c r="B106" s="7"/>
      <c r="C106" s="74"/>
      <c r="D106" s="74"/>
    </row>
    <row r="107">
      <c r="B107" s="7"/>
      <c r="C107" s="74"/>
      <c r="D107" s="74"/>
    </row>
    <row r="108">
      <c r="B108" s="7"/>
      <c r="C108" s="74"/>
      <c r="D108" s="74"/>
    </row>
    <row r="109">
      <c r="B109" s="7"/>
      <c r="C109" s="74"/>
      <c r="D109" s="74"/>
    </row>
    <row r="110">
      <c r="B110" s="7"/>
      <c r="C110" s="74"/>
      <c r="D110" s="74"/>
    </row>
    <row r="111">
      <c r="B111" s="7"/>
      <c r="C111" s="74"/>
      <c r="D111" s="74"/>
    </row>
    <row r="112">
      <c r="B112" s="7"/>
      <c r="C112" s="74"/>
      <c r="D112" s="74"/>
    </row>
    <row r="113">
      <c r="B113" s="7"/>
      <c r="C113" s="74"/>
      <c r="D113" s="74"/>
    </row>
    <row r="114">
      <c r="B114" s="7"/>
      <c r="C114" s="74"/>
      <c r="D114" s="74"/>
    </row>
    <row r="115">
      <c r="B115" s="7"/>
      <c r="C115" s="74"/>
      <c r="D115" s="74"/>
    </row>
    <row r="116">
      <c r="B116" s="7"/>
      <c r="C116" s="74"/>
      <c r="D116" s="74"/>
    </row>
    <row r="117">
      <c r="B117" s="7"/>
      <c r="C117" s="74"/>
      <c r="D117" s="74"/>
    </row>
    <row r="118">
      <c r="B118" s="7"/>
      <c r="C118" s="74"/>
      <c r="D118" s="74"/>
    </row>
    <row r="119">
      <c r="B119" s="7"/>
      <c r="C119" s="74"/>
      <c r="D119" s="74"/>
    </row>
    <row r="120">
      <c r="B120" s="7"/>
      <c r="C120" s="74"/>
      <c r="D120" s="74"/>
    </row>
    <row r="121">
      <c r="B121" s="7"/>
      <c r="C121" s="74"/>
      <c r="D121" s="74"/>
    </row>
    <row r="122">
      <c r="B122" s="7"/>
      <c r="C122" s="74"/>
      <c r="D122" s="74"/>
    </row>
    <row r="123">
      <c r="B123" s="7"/>
      <c r="C123" s="74"/>
      <c r="D123" s="74"/>
    </row>
    <row r="124">
      <c r="B124" s="7"/>
      <c r="C124" s="74"/>
      <c r="D124" s="74"/>
    </row>
    <row r="125">
      <c r="B125" s="7"/>
      <c r="C125" s="74"/>
      <c r="D125" s="74"/>
    </row>
    <row r="126">
      <c r="B126" s="7"/>
      <c r="C126" s="74"/>
      <c r="D126" s="74"/>
    </row>
    <row r="127">
      <c r="B127" s="7"/>
      <c r="C127" s="74"/>
      <c r="D127" s="74"/>
    </row>
    <row r="128">
      <c r="B128" s="7"/>
      <c r="C128" s="74"/>
      <c r="D128" s="74"/>
    </row>
    <row r="129">
      <c r="B129" s="7"/>
      <c r="C129" s="74"/>
      <c r="D129" s="74"/>
    </row>
    <row r="130">
      <c r="B130" s="7"/>
      <c r="C130" s="74"/>
      <c r="D130" s="74"/>
    </row>
    <row r="131">
      <c r="B131" s="7"/>
      <c r="C131" s="74"/>
      <c r="D131" s="74"/>
    </row>
    <row r="132">
      <c r="B132" s="7"/>
      <c r="C132" s="74"/>
      <c r="D132" s="74"/>
    </row>
    <row r="133">
      <c r="B133" s="7"/>
      <c r="C133" s="74"/>
      <c r="D133" s="74"/>
    </row>
    <row r="134">
      <c r="B134" s="7"/>
      <c r="C134" s="74"/>
      <c r="D134" s="74"/>
    </row>
    <row r="135">
      <c r="B135" s="7"/>
      <c r="C135" s="74"/>
      <c r="D135" s="74"/>
    </row>
    <row r="136">
      <c r="B136" s="7"/>
      <c r="C136" s="74"/>
      <c r="D136" s="74"/>
    </row>
    <row r="137">
      <c r="B137" s="7"/>
      <c r="C137" s="74"/>
      <c r="D137" s="74"/>
    </row>
    <row r="138">
      <c r="B138" s="7"/>
      <c r="C138" s="74"/>
      <c r="D138" s="74"/>
    </row>
    <row r="139">
      <c r="B139" s="7"/>
      <c r="C139" s="74"/>
      <c r="D139" s="74"/>
    </row>
    <row r="140">
      <c r="B140" s="7"/>
      <c r="C140" s="74"/>
      <c r="D140" s="74"/>
    </row>
    <row r="141">
      <c r="B141" s="7"/>
      <c r="C141" s="74"/>
      <c r="D141" s="74"/>
    </row>
    <row r="142">
      <c r="B142" s="7"/>
      <c r="C142" s="74"/>
      <c r="D142" s="74"/>
    </row>
    <row r="143">
      <c r="B143" s="7"/>
      <c r="C143" s="74"/>
      <c r="D143" s="74"/>
    </row>
    <row r="144">
      <c r="B144" s="7"/>
      <c r="C144" s="74"/>
      <c r="D144" s="74"/>
    </row>
    <row r="145">
      <c r="B145" s="7"/>
      <c r="C145" s="74"/>
      <c r="D145" s="74"/>
    </row>
    <row r="146">
      <c r="B146" s="7"/>
      <c r="C146" s="74"/>
      <c r="D146" s="74"/>
    </row>
    <row r="147">
      <c r="B147" s="7"/>
      <c r="C147" s="74"/>
      <c r="D147" s="74"/>
    </row>
    <row r="148">
      <c r="B148" s="7"/>
      <c r="C148" s="74"/>
      <c r="D148" s="74"/>
    </row>
    <row r="149">
      <c r="B149" s="7"/>
      <c r="C149" s="74"/>
      <c r="D149" s="74"/>
    </row>
    <row r="150">
      <c r="B150" s="7"/>
      <c r="C150" s="74"/>
      <c r="D150" s="74"/>
    </row>
    <row r="151">
      <c r="B151" s="7"/>
      <c r="C151" s="74"/>
      <c r="D151" s="74"/>
    </row>
    <row r="152">
      <c r="B152" s="7"/>
      <c r="C152" s="74"/>
      <c r="D152" s="74"/>
    </row>
    <row r="153">
      <c r="B153" s="7"/>
      <c r="C153" s="74"/>
      <c r="D153" s="74"/>
    </row>
    <row r="154">
      <c r="B154" s="7"/>
      <c r="C154" s="74"/>
      <c r="D154" s="74"/>
    </row>
    <row r="155">
      <c r="B155" s="7"/>
      <c r="C155" s="74"/>
      <c r="D155" s="74"/>
    </row>
    <row r="156">
      <c r="B156" s="7"/>
      <c r="C156" s="74"/>
      <c r="D156" s="74"/>
    </row>
    <row r="157">
      <c r="B157" s="7"/>
      <c r="C157" s="74"/>
      <c r="D157" s="74"/>
    </row>
    <row r="158">
      <c r="B158" s="7"/>
      <c r="C158" s="74"/>
      <c r="D158" s="74"/>
    </row>
    <row r="159">
      <c r="B159" s="7"/>
      <c r="C159" s="74"/>
      <c r="D159" s="74"/>
    </row>
    <row r="160">
      <c r="B160" s="7"/>
      <c r="C160" s="74"/>
      <c r="D160" s="74"/>
    </row>
    <row r="161">
      <c r="B161" s="7"/>
      <c r="C161" s="74"/>
      <c r="D161" s="74"/>
    </row>
    <row r="162">
      <c r="B162" s="7"/>
      <c r="C162" s="74"/>
      <c r="D162" s="74"/>
    </row>
    <row r="163">
      <c r="B163" s="7"/>
      <c r="C163" s="74"/>
      <c r="D163" s="74"/>
    </row>
    <row r="164">
      <c r="B164" s="7"/>
      <c r="C164" s="74"/>
      <c r="D164" s="74"/>
    </row>
    <row r="165">
      <c r="B165" s="7"/>
      <c r="C165" s="74"/>
      <c r="D165" s="74"/>
    </row>
    <row r="166">
      <c r="B166" s="7"/>
      <c r="C166" s="74"/>
      <c r="D166" s="74"/>
    </row>
    <row r="167">
      <c r="B167" s="7"/>
      <c r="C167" s="74"/>
      <c r="D167" s="74"/>
    </row>
    <row r="168">
      <c r="B168" s="7"/>
      <c r="C168" s="74"/>
      <c r="D168" s="74"/>
    </row>
    <row r="169">
      <c r="B169" s="7"/>
      <c r="C169" s="74"/>
      <c r="D169" s="74"/>
    </row>
    <row r="170">
      <c r="B170" s="7"/>
      <c r="C170" s="74"/>
      <c r="D170" s="74"/>
    </row>
    <row r="171">
      <c r="B171" s="7"/>
      <c r="C171" s="74"/>
      <c r="D171" s="74"/>
    </row>
    <row r="172">
      <c r="B172" s="7"/>
      <c r="C172" s="74"/>
      <c r="D172" s="74"/>
    </row>
    <row r="173">
      <c r="B173" s="7"/>
      <c r="C173" s="74"/>
      <c r="D173" s="74"/>
    </row>
    <row r="174">
      <c r="B174" s="7"/>
      <c r="C174" s="74"/>
      <c r="D174" s="74"/>
    </row>
    <row r="175">
      <c r="B175" s="7"/>
      <c r="C175" s="74"/>
      <c r="D175" s="74"/>
    </row>
    <row r="176">
      <c r="B176" s="7"/>
      <c r="C176" s="74"/>
      <c r="D176" s="74"/>
    </row>
    <row r="177">
      <c r="B177" s="7"/>
      <c r="C177" s="74"/>
      <c r="D177" s="74"/>
    </row>
    <row r="178">
      <c r="B178" s="7"/>
      <c r="C178" s="74"/>
      <c r="D178" s="74"/>
    </row>
    <row r="179">
      <c r="B179" s="7"/>
      <c r="C179" s="74"/>
      <c r="D179" s="74"/>
    </row>
    <row r="180">
      <c r="B180" s="7"/>
      <c r="C180" s="74"/>
      <c r="D180" s="74"/>
    </row>
    <row r="181">
      <c r="B181" s="7"/>
      <c r="C181" s="74"/>
      <c r="D181" s="74"/>
    </row>
    <row r="182">
      <c r="B182" s="7"/>
      <c r="C182" s="74"/>
      <c r="D182" s="74"/>
    </row>
    <row r="183">
      <c r="B183" s="7"/>
      <c r="C183" s="74"/>
      <c r="D183" s="74"/>
    </row>
    <row r="184">
      <c r="B184" s="7"/>
      <c r="C184" s="74"/>
      <c r="D184" s="74"/>
    </row>
    <row r="185">
      <c r="B185" s="7"/>
      <c r="C185" s="74"/>
      <c r="D185" s="74"/>
    </row>
    <row r="186">
      <c r="B186" s="7"/>
      <c r="C186" s="74"/>
      <c r="D186" s="74"/>
    </row>
    <row r="187">
      <c r="B187" s="7"/>
      <c r="C187" s="74"/>
      <c r="D187" s="74"/>
    </row>
    <row r="188">
      <c r="B188" s="7"/>
      <c r="C188" s="74"/>
      <c r="D188" s="74"/>
    </row>
    <row r="189">
      <c r="B189" s="7"/>
      <c r="C189" s="74"/>
      <c r="D189" s="74"/>
    </row>
    <row r="190">
      <c r="B190" s="7"/>
      <c r="C190" s="74"/>
      <c r="D190" s="74"/>
    </row>
    <row r="191">
      <c r="B191" s="7"/>
      <c r="C191" s="74"/>
      <c r="D191" s="74"/>
    </row>
    <row r="192">
      <c r="B192" s="7"/>
      <c r="C192" s="74"/>
      <c r="D192" s="74"/>
    </row>
    <row r="193">
      <c r="B193" s="7"/>
      <c r="C193" s="74"/>
      <c r="D193" s="74"/>
    </row>
    <row r="194">
      <c r="B194" s="7"/>
      <c r="C194" s="74"/>
      <c r="D194" s="74"/>
    </row>
    <row r="195">
      <c r="B195" s="7"/>
      <c r="C195" s="74"/>
      <c r="D195" s="74"/>
    </row>
    <row r="196">
      <c r="B196" s="7"/>
      <c r="C196" s="74"/>
      <c r="D196" s="74"/>
    </row>
    <row r="197">
      <c r="B197" s="7"/>
      <c r="C197" s="74"/>
      <c r="D197" s="74"/>
    </row>
    <row r="198">
      <c r="B198" s="7"/>
      <c r="C198" s="74"/>
      <c r="D198" s="74"/>
    </row>
    <row r="199">
      <c r="B199" s="7"/>
      <c r="C199" s="74"/>
      <c r="D199" s="74"/>
    </row>
    <row r="200">
      <c r="B200" s="7"/>
      <c r="C200" s="74"/>
      <c r="D200" s="74"/>
    </row>
    <row r="201">
      <c r="B201" s="7"/>
      <c r="C201" s="74"/>
      <c r="D201" s="74"/>
    </row>
    <row r="202">
      <c r="B202" s="7"/>
      <c r="C202" s="74"/>
      <c r="D202" s="74"/>
    </row>
    <row r="203">
      <c r="B203" s="7"/>
      <c r="C203" s="74"/>
      <c r="D203" s="74"/>
    </row>
    <row r="204">
      <c r="B204" s="7"/>
      <c r="C204" s="74"/>
      <c r="D204" s="74"/>
    </row>
    <row r="205">
      <c r="B205" s="7"/>
      <c r="C205" s="74"/>
      <c r="D205" s="74"/>
    </row>
    <row r="206">
      <c r="B206" s="7"/>
      <c r="C206" s="74"/>
      <c r="D206" s="74"/>
    </row>
    <row r="207">
      <c r="B207" s="7"/>
      <c r="C207" s="74"/>
      <c r="D207" s="74"/>
    </row>
    <row r="208">
      <c r="B208" s="7"/>
      <c r="C208" s="74"/>
      <c r="D208" s="74"/>
    </row>
    <row r="209">
      <c r="B209" s="7"/>
      <c r="C209" s="74"/>
      <c r="D209" s="74"/>
    </row>
    <row r="210">
      <c r="B210" s="7"/>
      <c r="C210" s="74"/>
      <c r="D210" s="74"/>
    </row>
    <row r="211">
      <c r="B211" s="7"/>
      <c r="C211" s="74"/>
      <c r="D211" s="74"/>
    </row>
    <row r="212">
      <c r="B212" s="7"/>
      <c r="C212" s="74"/>
      <c r="D212" s="74"/>
    </row>
    <row r="213">
      <c r="B213" s="7"/>
      <c r="C213" s="74"/>
      <c r="D213" s="74"/>
    </row>
    <row r="214">
      <c r="B214" s="7"/>
      <c r="C214" s="74"/>
      <c r="D214" s="74"/>
    </row>
    <row r="215">
      <c r="B215" s="7"/>
      <c r="C215" s="74"/>
      <c r="D215" s="74"/>
    </row>
    <row r="216">
      <c r="B216" s="7"/>
      <c r="C216" s="74"/>
      <c r="D216" s="74"/>
    </row>
    <row r="217">
      <c r="B217" s="7"/>
      <c r="C217" s="74"/>
      <c r="D217" s="74"/>
    </row>
    <row r="218">
      <c r="B218" s="7"/>
      <c r="C218" s="74"/>
      <c r="D218" s="74"/>
    </row>
    <row r="219">
      <c r="B219" s="7"/>
      <c r="C219" s="74"/>
      <c r="D219" s="74"/>
    </row>
    <row r="220">
      <c r="B220" s="7"/>
      <c r="C220" s="74"/>
      <c r="D220" s="74"/>
    </row>
    <row r="221">
      <c r="B221" s="7"/>
      <c r="C221" s="74"/>
      <c r="D221" s="74"/>
    </row>
    <row r="222">
      <c r="B222" s="7"/>
      <c r="C222" s="74"/>
      <c r="D222" s="74"/>
    </row>
    <row r="223">
      <c r="B223" s="7"/>
      <c r="C223" s="74"/>
      <c r="D223" s="74"/>
    </row>
    <row r="224">
      <c r="B224" s="7"/>
      <c r="C224" s="74"/>
      <c r="D224" s="74"/>
    </row>
    <row r="225">
      <c r="B225" s="7"/>
      <c r="C225" s="74"/>
      <c r="D225" s="74"/>
    </row>
    <row r="226">
      <c r="B226" s="7"/>
      <c r="C226" s="74"/>
      <c r="D226" s="74"/>
    </row>
    <row r="227">
      <c r="B227" s="7"/>
      <c r="C227" s="74"/>
      <c r="D227" s="74"/>
    </row>
    <row r="228">
      <c r="B228" s="7"/>
      <c r="C228" s="74"/>
      <c r="D228" s="74"/>
    </row>
    <row r="229">
      <c r="B229" s="7"/>
      <c r="C229" s="74"/>
      <c r="D229" s="74"/>
    </row>
    <row r="230">
      <c r="B230" s="7"/>
      <c r="C230" s="74"/>
      <c r="D230" s="74"/>
    </row>
    <row r="231">
      <c r="B231" s="7"/>
      <c r="C231" s="74"/>
      <c r="D231" s="74"/>
    </row>
    <row r="232">
      <c r="B232" s="7"/>
      <c r="C232" s="74"/>
      <c r="D232" s="74"/>
    </row>
    <row r="233">
      <c r="B233" s="7"/>
      <c r="C233" s="74"/>
      <c r="D233" s="74"/>
    </row>
    <row r="234">
      <c r="B234" s="7"/>
      <c r="C234" s="74"/>
      <c r="D234" s="74"/>
    </row>
    <row r="235">
      <c r="B235" s="7"/>
      <c r="C235" s="74"/>
      <c r="D235" s="74"/>
    </row>
    <row r="236">
      <c r="B236" s="7"/>
      <c r="C236" s="74"/>
      <c r="D236" s="74"/>
    </row>
    <row r="237">
      <c r="B237" s="7"/>
      <c r="C237" s="74"/>
      <c r="D237" s="74"/>
    </row>
    <row r="238">
      <c r="B238" s="7"/>
      <c r="C238" s="74"/>
      <c r="D238" s="74"/>
    </row>
    <row r="239">
      <c r="B239" s="7"/>
      <c r="C239" s="74"/>
      <c r="D239" s="74"/>
    </row>
    <row r="240">
      <c r="B240" s="7"/>
      <c r="C240" s="74"/>
      <c r="D240" s="74"/>
    </row>
    <row r="241">
      <c r="B241" s="7"/>
      <c r="C241" s="74"/>
      <c r="D241" s="74"/>
    </row>
    <row r="242">
      <c r="B242" s="7"/>
      <c r="C242" s="74"/>
      <c r="D242" s="74"/>
    </row>
    <row r="243">
      <c r="B243" s="7"/>
      <c r="C243" s="74"/>
      <c r="D243" s="74"/>
    </row>
    <row r="244">
      <c r="B244" s="7"/>
      <c r="C244" s="74"/>
      <c r="D244" s="74"/>
    </row>
    <row r="245">
      <c r="B245" s="7"/>
      <c r="C245" s="74"/>
      <c r="D245" s="74"/>
    </row>
    <row r="246">
      <c r="B246" s="7"/>
      <c r="C246" s="74"/>
      <c r="D246" s="74"/>
    </row>
    <row r="247">
      <c r="B247" s="7"/>
      <c r="C247" s="74"/>
      <c r="D247" s="74"/>
    </row>
    <row r="248">
      <c r="B248" s="7"/>
      <c r="C248" s="74"/>
      <c r="D248" s="74"/>
    </row>
    <row r="249">
      <c r="B249" s="7"/>
      <c r="C249" s="74"/>
      <c r="D249" s="74"/>
    </row>
    <row r="250">
      <c r="B250" s="7"/>
      <c r="C250" s="74"/>
      <c r="D250" s="74"/>
    </row>
    <row r="251">
      <c r="B251" s="7"/>
      <c r="C251" s="74"/>
      <c r="D251" s="74"/>
    </row>
    <row r="252">
      <c r="B252" s="7"/>
      <c r="C252" s="74"/>
      <c r="D252" s="74"/>
    </row>
    <row r="253">
      <c r="B253" s="7"/>
      <c r="C253" s="74"/>
      <c r="D253" s="74"/>
    </row>
    <row r="254">
      <c r="B254" s="7"/>
      <c r="C254" s="74"/>
      <c r="D254" s="74"/>
    </row>
    <row r="255">
      <c r="B255" s="7"/>
      <c r="C255" s="74"/>
      <c r="D255" s="74"/>
    </row>
    <row r="256">
      <c r="B256" s="7"/>
      <c r="C256" s="74"/>
      <c r="D256" s="74"/>
    </row>
    <row r="257">
      <c r="B257" s="7"/>
      <c r="C257" s="74"/>
      <c r="D257" s="74"/>
    </row>
    <row r="258">
      <c r="B258" s="7"/>
      <c r="C258" s="74"/>
      <c r="D258" s="74"/>
    </row>
    <row r="259">
      <c r="B259" s="7"/>
      <c r="C259" s="74"/>
      <c r="D259" s="74"/>
    </row>
    <row r="260">
      <c r="B260" s="7"/>
      <c r="C260" s="74"/>
      <c r="D260" s="74"/>
    </row>
    <row r="261">
      <c r="B261" s="7"/>
      <c r="C261" s="74"/>
      <c r="D261" s="74"/>
    </row>
    <row r="262">
      <c r="B262" s="7"/>
      <c r="C262" s="74"/>
      <c r="D262" s="74"/>
    </row>
    <row r="263">
      <c r="B263" s="7"/>
      <c r="C263" s="74"/>
      <c r="D263" s="74"/>
    </row>
    <row r="264">
      <c r="B264" s="7"/>
      <c r="C264" s="74"/>
      <c r="D264" s="74"/>
    </row>
    <row r="265">
      <c r="B265" s="7"/>
      <c r="C265" s="74"/>
      <c r="D265" s="74"/>
    </row>
    <row r="266">
      <c r="B266" s="7"/>
      <c r="C266" s="74"/>
      <c r="D266" s="74"/>
    </row>
    <row r="267">
      <c r="B267" s="7"/>
      <c r="C267" s="74"/>
      <c r="D267" s="74"/>
    </row>
    <row r="268">
      <c r="B268" s="7"/>
      <c r="C268" s="74"/>
      <c r="D268" s="74"/>
    </row>
    <row r="269">
      <c r="B269" s="7"/>
      <c r="C269" s="74"/>
      <c r="D269" s="74"/>
    </row>
    <row r="270">
      <c r="B270" s="7"/>
      <c r="C270" s="74"/>
      <c r="D270" s="74"/>
    </row>
    <row r="271">
      <c r="B271" s="7"/>
      <c r="C271" s="74"/>
      <c r="D271" s="74"/>
    </row>
    <row r="272">
      <c r="B272" s="7"/>
      <c r="C272" s="74"/>
      <c r="D272" s="74"/>
    </row>
    <row r="273">
      <c r="B273" s="7"/>
      <c r="C273" s="74"/>
      <c r="D273" s="74"/>
    </row>
    <row r="274">
      <c r="B274" s="7"/>
      <c r="C274" s="74"/>
      <c r="D274" s="74"/>
    </row>
    <row r="275">
      <c r="B275" s="7"/>
      <c r="C275" s="74"/>
      <c r="D275" s="74"/>
    </row>
    <row r="276">
      <c r="B276" s="7"/>
      <c r="C276" s="74"/>
      <c r="D276" s="74"/>
    </row>
    <row r="277">
      <c r="B277" s="7"/>
      <c r="C277" s="74"/>
      <c r="D277" s="74"/>
    </row>
    <row r="278">
      <c r="B278" s="7"/>
      <c r="C278" s="74"/>
      <c r="D278" s="74"/>
    </row>
    <row r="279">
      <c r="B279" s="7"/>
      <c r="C279" s="74"/>
      <c r="D279" s="74"/>
    </row>
    <row r="280">
      <c r="B280" s="7"/>
      <c r="C280" s="74"/>
      <c r="D280" s="74"/>
    </row>
    <row r="281">
      <c r="B281" s="7"/>
      <c r="C281" s="74"/>
      <c r="D281" s="74"/>
    </row>
    <row r="282">
      <c r="B282" s="7"/>
      <c r="C282" s="74"/>
      <c r="D282" s="74"/>
    </row>
    <row r="283">
      <c r="B283" s="7"/>
      <c r="C283" s="74"/>
      <c r="D283" s="74"/>
    </row>
    <row r="284">
      <c r="B284" s="7"/>
      <c r="C284" s="74"/>
      <c r="D284" s="74"/>
    </row>
    <row r="285">
      <c r="B285" s="7"/>
      <c r="C285" s="74"/>
      <c r="D285" s="74"/>
    </row>
    <row r="286">
      <c r="B286" s="7"/>
      <c r="C286" s="74"/>
      <c r="D286" s="74"/>
    </row>
    <row r="287">
      <c r="B287" s="7"/>
      <c r="C287" s="74"/>
      <c r="D287" s="74"/>
    </row>
    <row r="288">
      <c r="B288" s="7"/>
      <c r="C288" s="74"/>
      <c r="D288" s="74"/>
    </row>
    <row r="289">
      <c r="B289" s="7"/>
      <c r="C289" s="74"/>
      <c r="D289" s="74"/>
    </row>
    <row r="290">
      <c r="B290" s="7"/>
      <c r="C290" s="74"/>
      <c r="D290" s="74"/>
    </row>
    <row r="291">
      <c r="B291" s="7"/>
      <c r="C291" s="74"/>
      <c r="D291" s="74"/>
    </row>
    <row r="292">
      <c r="B292" s="7"/>
      <c r="C292" s="74"/>
      <c r="D292" s="74"/>
    </row>
    <row r="293">
      <c r="B293" s="7"/>
      <c r="C293" s="74"/>
      <c r="D293" s="74"/>
    </row>
    <row r="294">
      <c r="B294" s="7"/>
      <c r="C294" s="74"/>
      <c r="D294" s="74"/>
    </row>
    <row r="295">
      <c r="B295" s="7"/>
      <c r="C295" s="74"/>
      <c r="D295" s="74"/>
    </row>
    <row r="296">
      <c r="B296" s="7"/>
      <c r="C296" s="74"/>
      <c r="D296" s="74"/>
    </row>
    <row r="297">
      <c r="B297" s="7"/>
      <c r="C297" s="74"/>
      <c r="D297" s="74"/>
    </row>
    <row r="298">
      <c r="B298" s="7"/>
      <c r="C298" s="74"/>
      <c r="D298" s="74"/>
    </row>
    <row r="299">
      <c r="B299" s="7"/>
      <c r="C299" s="74"/>
      <c r="D299" s="74"/>
    </row>
    <row r="300">
      <c r="B300" s="7"/>
      <c r="C300" s="74"/>
      <c r="D300" s="74"/>
    </row>
    <row r="301">
      <c r="B301" s="7"/>
      <c r="C301" s="74"/>
      <c r="D301" s="74"/>
    </row>
    <row r="302">
      <c r="B302" s="7"/>
      <c r="C302" s="74"/>
      <c r="D302" s="74"/>
    </row>
    <row r="303">
      <c r="B303" s="7"/>
      <c r="C303" s="74"/>
      <c r="D303" s="74"/>
    </row>
    <row r="304">
      <c r="B304" s="7"/>
      <c r="C304" s="74"/>
      <c r="D304" s="74"/>
    </row>
    <row r="305">
      <c r="B305" s="7"/>
      <c r="C305" s="74"/>
      <c r="D305" s="74"/>
    </row>
    <row r="306">
      <c r="B306" s="7"/>
      <c r="C306" s="74"/>
      <c r="D306" s="74"/>
    </row>
    <row r="307">
      <c r="B307" s="7"/>
      <c r="C307" s="74"/>
      <c r="D307" s="74"/>
    </row>
    <row r="308">
      <c r="B308" s="7"/>
      <c r="C308" s="74"/>
      <c r="D308" s="74"/>
    </row>
    <row r="309">
      <c r="B309" s="7"/>
      <c r="C309" s="74"/>
      <c r="D309" s="74"/>
    </row>
    <row r="310">
      <c r="B310" s="7"/>
      <c r="C310" s="74"/>
      <c r="D310" s="74"/>
    </row>
    <row r="311">
      <c r="B311" s="7"/>
      <c r="C311" s="74"/>
      <c r="D311" s="74"/>
    </row>
    <row r="312">
      <c r="B312" s="7"/>
      <c r="C312" s="74"/>
      <c r="D312" s="74"/>
    </row>
    <row r="313">
      <c r="B313" s="7"/>
      <c r="C313" s="74"/>
      <c r="D313" s="74"/>
    </row>
    <row r="314">
      <c r="B314" s="7"/>
      <c r="C314" s="74"/>
      <c r="D314" s="74"/>
    </row>
    <row r="315">
      <c r="B315" s="7"/>
      <c r="C315" s="74"/>
      <c r="D315" s="74"/>
    </row>
    <row r="316">
      <c r="B316" s="7"/>
      <c r="C316" s="74"/>
      <c r="D316" s="74"/>
    </row>
    <row r="317">
      <c r="B317" s="7"/>
      <c r="C317" s="74"/>
      <c r="D317" s="74"/>
    </row>
    <row r="318">
      <c r="B318" s="7"/>
      <c r="C318" s="74"/>
      <c r="D318" s="74"/>
    </row>
    <row r="319">
      <c r="B319" s="7"/>
      <c r="C319" s="74"/>
      <c r="D319" s="74"/>
    </row>
    <row r="320">
      <c r="B320" s="7"/>
      <c r="C320" s="74"/>
      <c r="D320" s="74"/>
    </row>
    <row r="321">
      <c r="B321" s="7"/>
      <c r="C321" s="74"/>
      <c r="D321" s="74"/>
    </row>
    <row r="322">
      <c r="B322" s="7"/>
      <c r="C322" s="74"/>
      <c r="D322" s="74"/>
    </row>
    <row r="323">
      <c r="B323" s="7"/>
      <c r="C323" s="74"/>
      <c r="D323" s="74"/>
    </row>
    <row r="324">
      <c r="B324" s="7"/>
      <c r="C324" s="74"/>
      <c r="D324" s="74"/>
    </row>
    <row r="325">
      <c r="B325" s="7"/>
      <c r="C325" s="74"/>
      <c r="D325" s="74"/>
    </row>
    <row r="326">
      <c r="B326" s="7"/>
      <c r="C326" s="74"/>
      <c r="D326" s="74"/>
    </row>
    <row r="327">
      <c r="B327" s="7"/>
      <c r="C327" s="74"/>
      <c r="D327" s="74"/>
    </row>
    <row r="328">
      <c r="B328" s="7"/>
      <c r="C328" s="74"/>
      <c r="D328" s="74"/>
    </row>
    <row r="329">
      <c r="B329" s="7"/>
      <c r="C329" s="74"/>
      <c r="D329" s="74"/>
    </row>
    <row r="330">
      <c r="B330" s="7"/>
      <c r="C330" s="74"/>
      <c r="D330" s="74"/>
    </row>
    <row r="331">
      <c r="B331" s="7"/>
      <c r="C331" s="74"/>
      <c r="D331" s="74"/>
    </row>
    <row r="332">
      <c r="B332" s="7"/>
      <c r="C332" s="74"/>
      <c r="D332" s="74"/>
    </row>
    <row r="333">
      <c r="B333" s="7"/>
      <c r="C333" s="74"/>
      <c r="D333" s="74"/>
    </row>
    <row r="334">
      <c r="B334" s="7"/>
      <c r="C334" s="74"/>
      <c r="D334" s="74"/>
    </row>
    <row r="335">
      <c r="B335" s="7"/>
      <c r="C335" s="74"/>
      <c r="D335" s="74"/>
    </row>
    <row r="336">
      <c r="B336" s="7"/>
      <c r="C336" s="74"/>
      <c r="D336" s="74"/>
    </row>
    <row r="337">
      <c r="B337" s="7"/>
      <c r="C337" s="74"/>
      <c r="D337" s="74"/>
    </row>
    <row r="338">
      <c r="B338" s="7"/>
      <c r="C338" s="74"/>
      <c r="D338" s="74"/>
    </row>
    <row r="339">
      <c r="B339" s="7"/>
      <c r="C339" s="74"/>
      <c r="D339" s="74"/>
    </row>
    <row r="340">
      <c r="B340" s="7"/>
      <c r="C340" s="74"/>
      <c r="D340" s="74"/>
    </row>
    <row r="341">
      <c r="B341" s="7"/>
      <c r="C341" s="74"/>
      <c r="D341" s="74"/>
    </row>
    <row r="342">
      <c r="B342" s="7"/>
      <c r="C342" s="74"/>
      <c r="D342" s="74"/>
    </row>
    <row r="343">
      <c r="B343" s="7"/>
      <c r="C343" s="74"/>
      <c r="D343" s="74"/>
    </row>
    <row r="344">
      <c r="B344" s="7"/>
      <c r="C344" s="74"/>
      <c r="D344" s="74"/>
    </row>
    <row r="345">
      <c r="B345" s="7"/>
      <c r="C345" s="74"/>
      <c r="D345" s="74"/>
    </row>
    <row r="346">
      <c r="B346" s="7"/>
      <c r="C346" s="74"/>
      <c r="D346" s="74"/>
    </row>
    <row r="347">
      <c r="B347" s="7"/>
      <c r="C347" s="74"/>
      <c r="D347" s="74"/>
    </row>
    <row r="348">
      <c r="B348" s="7"/>
      <c r="C348" s="74"/>
      <c r="D348" s="74"/>
    </row>
    <row r="349">
      <c r="B349" s="7"/>
      <c r="C349" s="74"/>
      <c r="D349" s="74"/>
    </row>
    <row r="350">
      <c r="B350" s="7"/>
      <c r="C350" s="74"/>
      <c r="D350" s="74"/>
    </row>
    <row r="351">
      <c r="B351" s="7"/>
      <c r="C351" s="74"/>
      <c r="D351" s="74"/>
    </row>
    <row r="352">
      <c r="B352" s="7"/>
      <c r="C352" s="74"/>
      <c r="D352" s="74"/>
    </row>
    <row r="353">
      <c r="B353" s="7"/>
      <c r="C353" s="74"/>
      <c r="D353" s="74"/>
    </row>
    <row r="354">
      <c r="B354" s="7"/>
      <c r="C354" s="74"/>
      <c r="D354" s="74"/>
    </row>
    <row r="355">
      <c r="B355" s="7"/>
      <c r="C355" s="74"/>
      <c r="D355" s="74"/>
    </row>
    <row r="356">
      <c r="B356" s="7"/>
      <c r="C356" s="74"/>
      <c r="D356" s="74"/>
    </row>
    <row r="357">
      <c r="B357" s="7"/>
      <c r="C357" s="74"/>
      <c r="D357" s="74"/>
    </row>
    <row r="358">
      <c r="B358" s="7"/>
      <c r="C358" s="74"/>
      <c r="D358" s="74"/>
    </row>
    <row r="359">
      <c r="B359" s="7"/>
      <c r="C359" s="74"/>
      <c r="D359" s="74"/>
    </row>
    <row r="360">
      <c r="B360" s="7"/>
      <c r="C360" s="74"/>
      <c r="D360" s="74"/>
    </row>
    <row r="361">
      <c r="B361" s="7"/>
      <c r="C361" s="74"/>
      <c r="D361" s="74"/>
    </row>
    <row r="362">
      <c r="B362" s="7"/>
      <c r="C362" s="74"/>
      <c r="D362" s="74"/>
    </row>
    <row r="363">
      <c r="B363" s="7"/>
      <c r="C363" s="74"/>
      <c r="D363" s="74"/>
    </row>
    <row r="364">
      <c r="B364" s="7"/>
      <c r="C364" s="74"/>
      <c r="D364" s="74"/>
    </row>
    <row r="365">
      <c r="B365" s="7"/>
      <c r="C365" s="74"/>
      <c r="D365" s="74"/>
    </row>
    <row r="366">
      <c r="B366" s="7"/>
      <c r="C366" s="74"/>
      <c r="D366" s="74"/>
    </row>
    <row r="367">
      <c r="B367" s="7"/>
      <c r="C367" s="74"/>
      <c r="D367" s="74"/>
    </row>
    <row r="368">
      <c r="B368" s="7"/>
      <c r="C368" s="74"/>
      <c r="D368" s="74"/>
    </row>
    <row r="369">
      <c r="B369" s="7"/>
      <c r="C369" s="74"/>
      <c r="D369" s="74"/>
    </row>
    <row r="370">
      <c r="B370" s="7"/>
      <c r="C370" s="74"/>
      <c r="D370" s="74"/>
    </row>
    <row r="371">
      <c r="B371" s="7"/>
      <c r="C371" s="74"/>
      <c r="D371" s="74"/>
    </row>
    <row r="372">
      <c r="B372" s="7"/>
      <c r="C372" s="74"/>
      <c r="D372" s="74"/>
    </row>
    <row r="373">
      <c r="B373" s="7"/>
      <c r="C373" s="74"/>
      <c r="D373" s="74"/>
    </row>
    <row r="374">
      <c r="B374" s="7"/>
      <c r="C374" s="74"/>
      <c r="D374" s="74"/>
    </row>
    <row r="375">
      <c r="B375" s="7"/>
      <c r="C375" s="74"/>
      <c r="D375" s="74"/>
    </row>
    <row r="376">
      <c r="B376" s="7"/>
      <c r="C376" s="74"/>
      <c r="D376" s="74"/>
    </row>
    <row r="377">
      <c r="B377" s="7"/>
      <c r="C377" s="74"/>
      <c r="D377" s="74"/>
    </row>
    <row r="378">
      <c r="B378" s="7"/>
      <c r="C378" s="74"/>
      <c r="D378" s="74"/>
    </row>
    <row r="379">
      <c r="B379" s="7"/>
      <c r="C379" s="74"/>
      <c r="D379" s="74"/>
    </row>
    <row r="380">
      <c r="B380" s="7"/>
      <c r="C380" s="74"/>
      <c r="D380" s="74"/>
    </row>
    <row r="381">
      <c r="B381" s="7"/>
      <c r="C381" s="74"/>
      <c r="D381" s="74"/>
    </row>
    <row r="382">
      <c r="B382" s="7"/>
      <c r="C382" s="74"/>
      <c r="D382" s="74"/>
    </row>
    <row r="383">
      <c r="B383" s="7"/>
      <c r="C383" s="74"/>
      <c r="D383" s="74"/>
    </row>
    <row r="384">
      <c r="B384" s="7"/>
      <c r="C384" s="74"/>
      <c r="D384" s="74"/>
    </row>
    <row r="385">
      <c r="B385" s="7"/>
      <c r="C385" s="74"/>
      <c r="D385" s="74"/>
    </row>
    <row r="386">
      <c r="B386" s="7"/>
      <c r="C386" s="74"/>
      <c r="D386" s="74"/>
    </row>
    <row r="387">
      <c r="B387" s="7"/>
      <c r="C387" s="74"/>
      <c r="D387" s="74"/>
    </row>
    <row r="388">
      <c r="B388" s="7"/>
      <c r="C388" s="74"/>
      <c r="D388" s="74"/>
    </row>
    <row r="389">
      <c r="B389" s="7"/>
      <c r="C389" s="74"/>
      <c r="D389" s="74"/>
    </row>
    <row r="390">
      <c r="B390" s="7"/>
      <c r="C390" s="74"/>
      <c r="D390" s="74"/>
    </row>
    <row r="391">
      <c r="B391" s="7"/>
      <c r="C391" s="74"/>
      <c r="D391" s="74"/>
    </row>
    <row r="392">
      <c r="B392" s="7"/>
      <c r="C392" s="74"/>
      <c r="D392" s="74"/>
    </row>
    <row r="393">
      <c r="B393" s="7"/>
      <c r="C393" s="74"/>
      <c r="D393" s="74"/>
    </row>
    <row r="394">
      <c r="B394" s="7"/>
      <c r="C394" s="74"/>
      <c r="D394" s="74"/>
    </row>
    <row r="395">
      <c r="B395" s="7"/>
      <c r="C395" s="74"/>
      <c r="D395" s="74"/>
    </row>
    <row r="396">
      <c r="B396" s="7"/>
      <c r="C396" s="74"/>
      <c r="D396" s="74"/>
    </row>
    <row r="397">
      <c r="B397" s="7"/>
      <c r="C397" s="74"/>
      <c r="D397" s="74"/>
    </row>
    <row r="398">
      <c r="B398" s="7"/>
      <c r="C398" s="74"/>
      <c r="D398" s="74"/>
    </row>
    <row r="399">
      <c r="B399" s="7"/>
      <c r="C399" s="74"/>
      <c r="D399" s="74"/>
    </row>
    <row r="400">
      <c r="B400" s="7"/>
      <c r="C400" s="74"/>
      <c r="D400" s="74"/>
    </row>
    <row r="401">
      <c r="B401" s="7"/>
      <c r="C401" s="74"/>
      <c r="D401" s="74"/>
    </row>
    <row r="402">
      <c r="B402" s="7"/>
      <c r="C402" s="74"/>
      <c r="D402" s="74"/>
    </row>
    <row r="403">
      <c r="B403" s="7"/>
      <c r="C403" s="74"/>
      <c r="D403" s="74"/>
    </row>
    <row r="404">
      <c r="B404" s="7"/>
      <c r="C404" s="74"/>
      <c r="D404" s="74"/>
    </row>
    <row r="405">
      <c r="B405" s="7"/>
      <c r="C405" s="74"/>
      <c r="D405" s="74"/>
    </row>
    <row r="406">
      <c r="B406" s="7"/>
      <c r="C406" s="74"/>
      <c r="D406" s="74"/>
    </row>
    <row r="407">
      <c r="B407" s="7"/>
      <c r="C407" s="74"/>
      <c r="D407" s="74"/>
    </row>
    <row r="408">
      <c r="B408" s="7"/>
      <c r="C408" s="74"/>
      <c r="D408" s="74"/>
    </row>
    <row r="409">
      <c r="B409" s="7"/>
      <c r="C409" s="74"/>
      <c r="D409" s="74"/>
    </row>
    <row r="410">
      <c r="B410" s="7"/>
      <c r="C410" s="74"/>
      <c r="D410" s="74"/>
    </row>
    <row r="411">
      <c r="B411" s="7"/>
      <c r="C411" s="74"/>
      <c r="D411" s="74"/>
    </row>
    <row r="412">
      <c r="B412" s="7"/>
      <c r="C412" s="74"/>
      <c r="D412" s="74"/>
    </row>
    <row r="413">
      <c r="B413" s="7"/>
      <c r="C413" s="74"/>
      <c r="D413" s="74"/>
    </row>
    <row r="414">
      <c r="B414" s="7"/>
      <c r="C414" s="74"/>
      <c r="D414" s="74"/>
    </row>
    <row r="415">
      <c r="B415" s="7"/>
      <c r="C415" s="74"/>
      <c r="D415" s="74"/>
    </row>
    <row r="416">
      <c r="B416" s="7"/>
      <c r="C416" s="74"/>
      <c r="D416" s="74"/>
    </row>
    <row r="417">
      <c r="B417" s="7"/>
      <c r="C417" s="74"/>
      <c r="D417" s="74"/>
    </row>
    <row r="418">
      <c r="B418" s="7"/>
      <c r="C418" s="74"/>
      <c r="D418" s="74"/>
    </row>
    <row r="419">
      <c r="B419" s="7"/>
      <c r="C419" s="74"/>
      <c r="D419" s="74"/>
    </row>
    <row r="420">
      <c r="B420" s="7"/>
      <c r="C420" s="74"/>
      <c r="D420" s="74"/>
    </row>
    <row r="421">
      <c r="B421" s="7"/>
      <c r="C421" s="74"/>
      <c r="D421" s="74"/>
    </row>
    <row r="422">
      <c r="B422" s="7"/>
      <c r="C422" s="74"/>
      <c r="D422" s="74"/>
    </row>
    <row r="423">
      <c r="B423" s="7"/>
      <c r="C423" s="74"/>
      <c r="D423" s="74"/>
    </row>
    <row r="424">
      <c r="B424" s="7"/>
      <c r="C424" s="74"/>
      <c r="D424" s="74"/>
    </row>
    <row r="425">
      <c r="B425" s="7"/>
      <c r="C425" s="74"/>
      <c r="D425" s="74"/>
    </row>
    <row r="426">
      <c r="B426" s="7"/>
      <c r="C426" s="74"/>
      <c r="D426" s="74"/>
    </row>
    <row r="427">
      <c r="B427" s="7"/>
      <c r="C427" s="74"/>
      <c r="D427" s="74"/>
    </row>
    <row r="428">
      <c r="B428" s="7"/>
      <c r="C428" s="74"/>
      <c r="D428" s="74"/>
    </row>
    <row r="429">
      <c r="B429" s="7"/>
      <c r="C429" s="74"/>
      <c r="D429" s="74"/>
    </row>
    <row r="430">
      <c r="B430" s="7"/>
      <c r="C430" s="74"/>
      <c r="D430" s="74"/>
    </row>
    <row r="431">
      <c r="B431" s="7"/>
      <c r="C431" s="74"/>
      <c r="D431" s="74"/>
    </row>
    <row r="432">
      <c r="B432" s="7"/>
      <c r="C432" s="74"/>
      <c r="D432" s="74"/>
    </row>
    <row r="433">
      <c r="B433" s="7"/>
      <c r="C433" s="74"/>
      <c r="D433" s="74"/>
    </row>
    <row r="434">
      <c r="B434" s="7"/>
      <c r="C434" s="74"/>
      <c r="D434" s="74"/>
    </row>
    <row r="435">
      <c r="B435" s="7"/>
      <c r="C435" s="74"/>
      <c r="D435" s="74"/>
    </row>
    <row r="436">
      <c r="B436" s="7"/>
      <c r="C436" s="74"/>
      <c r="D436" s="74"/>
    </row>
    <row r="437">
      <c r="B437" s="7"/>
      <c r="C437" s="74"/>
      <c r="D437" s="74"/>
    </row>
    <row r="438">
      <c r="B438" s="7"/>
      <c r="C438" s="74"/>
      <c r="D438" s="74"/>
    </row>
    <row r="439">
      <c r="B439" s="7"/>
      <c r="C439" s="74"/>
      <c r="D439" s="74"/>
    </row>
    <row r="440">
      <c r="B440" s="7"/>
      <c r="C440" s="74"/>
      <c r="D440" s="74"/>
    </row>
    <row r="441">
      <c r="B441" s="7"/>
      <c r="C441" s="74"/>
      <c r="D441" s="74"/>
    </row>
    <row r="442">
      <c r="B442" s="7"/>
      <c r="C442" s="74"/>
      <c r="D442" s="74"/>
    </row>
    <row r="443">
      <c r="B443" s="7"/>
      <c r="C443" s="74"/>
      <c r="D443" s="74"/>
    </row>
    <row r="444">
      <c r="B444" s="7"/>
      <c r="C444" s="74"/>
      <c r="D444" s="74"/>
    </row>
    <row r="445">
      <c r="B445" s="7"/>
      <c r="C445" s="74"/>
      <c r="D445" s="74"/>
    </row>
    <row r="446">
      <c r="B446" s="7"/>
      <c r="C446" s="74"/>
      <c r="D446" s="74"/>
    </row>
    <row r="447">
      <c r="B447" s="7"/>
      <c r="C447" s="74"/>
      <c r="D447" s="74"/>
    </row>
    <row r="448">
      <c r="B448" s="7"/>
      <c r="C448" s="74"/>
      <c r="D448" s="74"/>
    </row>
    <row r="449">
      <c r="B449" s="7"/>
      <c r="C449" s="74"/>
      <c r="D449" s="74"/>
    </row>
    <row r="450">
      <c r="B450" s="7"/>
      <c r="C450" s="74"/>
      <c r="D450" s="74"/>
    </row>
    <row r="451">
      <c r="B451" s="7"/>
      <c r="C451" s="74"/>
      <c r="D451" s="74"/>
    </row>
    <row r="452">
      <c r="B452" s="7"/>
      <c r="C452" s="74"/>
      <c r="D452" s="74"/>
    </row>
    <row r="453">
      <c r="B453" s="7"/>
      <c r="C453" s="74"/>
      <c r="D453" s="74"/>
    </row>
    <row r="454">
      <c r="B454" s="7"/>
      <c r="C454" s="74"/>
      <c r="D454" s="74"/>
    </row>
    <row r="455">
      <c r="B455" s="7"/>
      <c r="C455" s="74"/>
      <c r="D455" s="74"/>
    </row>
    <row r="456">
      <c r="B456" s="7"/>
      <c r="C456" s="74"/>
      <c r="D456" s="74"/>
    </row>
    <row r="457">
      <c r="B457" s="7"/>
      <c r="C457" s="74"/>
      <c r="D457" s="74"/>
    </row>
    <row r="458">
      <c r="B458" s="7"/>
      <c r="C458" s="74"/>
      <c r="D458" s="74"/>
    </row>
    <row r="459">
      <c r="B459" s="7"/>
      <c r="C459" s="74"/>
      <c r="D459" s="74"/>
    </row>
    <row r="460">
      <c r="B460" s="7"/>
      <c r="C460" s="74"/>
      <c r="D460" s="74"/>
    </row>
    <row r="461">
      <c r="B461" s="7"/>
      <c r="C461" s="74"/>
      <c r="D461" s="74"/>
    </row>
    <row r="462">
      <c r="B462" s="7"/>
      <c r="C462" s="74"/>
      <c r="D462" s="74"/>
    </row>
    <row r="463">
      <c r="B463" s="7"/>
      <c r="C463" s="74"/>
      <c r="D463" s="74"/>
    </row>
    <row r="464">
      <c r="B464" s="7"/>
      <c r="C464" s="74"/>
      <c r="D464" s="74"/>
    </row>
    <row r="465">
      <c r="B465" s="7"/>
      <c r="C465" s="74"/>
      <c r="D465" s="74"/>
    </row>
    <row r="466">
      <c r="B466" s="7"/>
      <c r="C466" s="74"/>
      <c r="D466" s="74"/>
    </row>
    <row r="467">
      <c r="B467" s="7"/>
      <c r="C467" s="74"/>
      <c r="D467" s="74"/>
    </row>
    <row r="468">
      <c r="B468" s="7"/>
      <c r="C468" s="74"/>
      <c r="D468" s="74"/>
    </row>
    <row r="469">
      <c r="B469" s="7"/>
      <c r="C469" s="74"/>
      <c r="D469" s="74"/>
    </row>
    <row r="470">
      <c r="B470" s="7"/>
      <c r="C470" s="74"/>
      <c r="D470" s="74"/>
    </row>
    <row r="471">
      <c r="B471" s="7"/>
      <c r="C471" s="74"/>
      <c r="D471" s="74"/>
    </row>
    <row r="472">
      <c r="B472" s="7"/>
      <c r="C472" s="74"/>
      <c r="D472" s="74"/>
    </row>
    <row r="473">
      <c r="B473" s="7"/>
      <c r="C473" s="74"/>
      <c r="D473" s="74"/>
    </row>
    <row r="474">
      <c r="B474" s="7"/>
      <c r="C474" s="74"/>
      <c r="D474" s="74"/>
    </row>
    <row r="475">
      <c r="B475" s="7"/>
      <c r="C475" s="74"/>
      <c r="D475" s="74"/>
    </row>
    <row r="476">
      <c r="B476" s="7"/>
      <c r="C476" s="74"/>
      <c r="D476" s="74"/>
    </row>
    <row r="477">
      <c r="B477" s="7"/>
      <c r="C477" s="74"/>
      <c r="D477" s="74"/>
    </row>
    <row r="478">
      <c r="B478" s="7"/>
      <c r="C478" s="74"/>
      <c r="D478" s="74"/>
    </row>
    <row r="479">
      <c r="B479" s="7"/>
      <c r="C479" s="74"/>
      <c r="D479" s="74"/>
    </row>
    <row r="480">
      <c r="B480" s="7"/>
      <c r="C480" s="74"/>
      <c r="D480" s="74"/>
    </row>
    <row r="481">
      <c r="B481" s="7"/>
      <c r="C481" s="74"/>
      <c r="D481" s="74"/>
    </row>
    <row r="482">
      <c r="B482" s="7"/>
      <c r="C482" s="74"/>
      <c r="D482" s="74"/>
    </row>
    <row r="483">
      <c r="B483" s="7"/>
      <c r="C483" s="74"/>
      <c r="D483" s="74"/>
    </row>
    <row r="484">
      <c r="B484" s="7"/>
      <c r="C484" s="74"/>
      <c r="D484" s="74"/>
    </row>
    <row r="485">
      <c r="B485" s="7"/>
      <c r="C485" s="74"/>
      <c r="D485" s="74"/>
    </row>
    <row r="486">
      <c r="B486" s="7"/>
      <c r="C486" s="74"/>
      <c r="D486" s="74"/>
    </row>
    <row r="487">
      <c r="B487" s="7"/>
      <c r="C487" s="74"/>
      <c r="D487" s="74"/>
    </row>
    <row r="488">
      <c r="B488" s="7"/>
      <c r="C488" s="74"/>
      <c r="D488" s="74"/>
    </row>
    <row r="489">
      <c r="B489" s="7"/>
      <c r="C489" s="74"/>
      <c r="D489" s="74"/>
    </row>
    <row r="490">
      <c r="B490" s="7"/>
      <c r="C490" s="74"/>
      <c r="D490" s="74"/>
    </row>
    <row r="491">
      <c r="B491" s="7"/>
      <c r="C491" s="74"/>
      <c r="D491" s="74"/>
    </row>
    <row r="492">
      <c r="B492" s="7"/>
      <c r="C492" s="74"/>
      <c r="D492" s="74"/>
    </row>
    <row r="493">
      <c r="B493" s="7"/>
      <c r="C493" s="74"/>
      <c r="D493" s="74"/>
    </row>
    <row r="494">
      <c r="B494" s="7"/>
      <c r="C494" s="74"/>
      <c r="D494" s="74"/>
    </row>
    <row r="495">
      <c r="B495" s="7"/>
      <c r="C495" s="74"/>
      <c r="D495" s="74"/>
    </row>
    <row r="496">
      <c r="B496" s="7"/>
      <c r="C496" s="74"/>
      <c r="D496" s="74"/>
    </row>
    <row r="497">
      <c r="B497" s="7"/>
      <c r="C497" s="74"/>
      <c r="D497" s="74"/>
    </row>
    <row r="498">
      <c r="B498" s="7"/>
      <c r="C498" s="74"/>
      <c r="D498" s="74"/>
    </row>
    <row r="499">
      <c r="B499" s="7"/>
      <c r="C499" s="74"/>
      <c r="D499" s="74"/>
    </row>
    <row r="500">
      <c r="B500" s="7"/>
      <c r="C500" s="74"/>
      <c r="D500" s="74"/>
    </row>
    <row r="501">
      <c r="B501" s="7"/>
      <c r="C501" s="74"/>
      <c r="D501" s="74"/>
    </row>
    <row r="502">
      <c r="B502" s="7"/>
      <c r="C502" s="74"/>
      <c r="D502" s="74"/>
    </row>
    <row r="503">
      <c r="B503" s="7"/>
      <c r="C503" s="74"/>
      <c r="D503" s="74"/>
    </row>
    <row r="504">
      <c r="B504" s="7"/>
      <c r="C504" s="74"/>
      <c r="D504" s="74"/>
    </row>
    <row r="505">
      <c r="B505" s="7"/>
      <c r="C505" s="74"/>
      <c r="D505" s="74"/>
    </row>
    <row r="506">
      <c r="B506" s="7"/>
      <c r="C506" s="74"/>
      <c r="D506" s="74"/>
    </row>
    <row r="507">
      <c r="B507" s="7"/>
      <c r="C507" s="74"/>
      <c r="D507" s="74"/>
    </row>
    <row r="508">
      <c r="B508" s="7"/>
      <c r="C508" s="74"/>
      <c r="D508" s="74"/>
    </row>
    <row r="509">
      <c r="B509" s="7"/>
      <c r="C509" s="74"/>
      <c r="D509" s="74"/>
    </row>
    <row r="510">
      <c r="B510" s="7"/>
      <c r="C510" s="74"/>
      <c r="D510" s="74"/>
    </row>
    <row r="511">
      <c r="B511" s="7"/>
      <c r="C511" s="74"/>
      <c r="D511" s="74"/>
    </row>
    <row r="512">
      <c r="B512" s="7"/>
      <c r="C512" s="74"/>
      <c r="D512" s="74"/>
    </row>
    <row r="513">
      <c r="B513" s="7"/>
      <c r="C513" s="74"/>
      <c r="D513" s="74"/>
    </row>
    <row r="514">
      <c r="B514" s="7"/>
      <c r="C514" s="74"/>
      <c r="D514" s="74"/>
    </row>
    <row r="515">
      <c r="B515" s="7"/>
      <c r="C515" s="74"/>
      <c r="D515" s="74"/>
    </row>
    <row r="516">
      <c r="B516" s="7"/>
      <c r="C516" s="74"/>
      <c r="D516" s="74"/>
    </row>
    <row r="517">
      <c r="B517" s="7"/>
      <c r="C517" s="74"/>
      <c r="D517" s="74"/>
    </row>
    <row r="518">
      <c r="B518" s="7"/>
      <c r="C518" s="74"/>
      <c r="D518" s="74"/>
    </row>
    <row r="519">
      <c r="B519" s="7"/>
      <c r="C519" s="74"/>
      <c r="D519" s="74"/>
    </row>
    <row r="520">
      <c r="B520" s="7"/>
      <c r="C520" s="74"/>
      <c r="D520" s="74"/>
    </row>
    <row r="521">
      <c r="B521" s="7"/>
      <c r="C521" s="74"/>
      <c r="D521" s="74"/>
    </row>
    <row r="522">
      <c r="B522" s="7"/>
      <c r="C522" s="74"/>
      <c r="D522" s="74"/>
    </row>
    <row r="523">
      <c r="B523" s="7"/>
      <c r="C523" s="74"/>
      <c r="D523" s="74"/>
    </row>
    <row r="524">
      <c r="B524" s="7"/>
      <c r="C524" s="74"/>
      <c r="D524" s="74"/>
    </row>
    <row r="525">
      <c r="B525" s="7"/>
      <c r="C525" s="74"/>
      <c r="D525" s="74"/>
    </row>
    <row r="526">
      <c r="B526" s="7"/>
      <c r="C526" s="74"/>
      <c r="D526" s="74"/>
    </row>
    <row r="527">
      <c r="B527" s="7"/>
      <c r="C527" s="74"/>
      <c r="D527" s="74"/>
    </row>
    <row r="528">
      <c r="B528" s="7"/>
      <c r="C528" s="74"/>
      <c r="D528" s="74"/>
    </row>
    <row r="529">
      <c r="B529" s="7"/>
      <c r="C529" s="74"/>
      <c r="D529" s="74"/>
    </row>
    <row r="530">
      <c r="B530" s="7"/>
      <c r="C530" s="74"/>
      <c r="D530" s="74"/>
    </row>
    <row r="531">
      <c r="B531" s="7"/>
      <c r="C531" s="74"/>
      <c r="D531" s="74"/>
    </row>
    <row r="532">
      <c r="B532" s="7"/>
      <c r="C532" s="74"/>
      <c r="D532" s="74"/>
    </row>
    <row r="533">
      <c r="B533" s="7"/>
      <c r="C533" s="74"/>
      <c r="D533" s="74"/>
    </row>
    <row r="534">
      <c r="B534" s="7"/>
      <c r="C534" s="74"/>
      <c r="D534" s="74"/>
    </row>
    <row r="535">
      <c r="B535" s="7"/>
      <c r="C535" s="74"/>
      <c r="D535" s="74"/>
    </row>
    <row r="536">
      <c r="B536" s="7"/>
      <c r="C536" s="74"/>
      <c r="D536" s="74"/>
    </row>
    <row r="537">
      <c r="B537" s="7"/>
      <c r="C537" s="74"/>
      <c r="D537" s="74"/>
    </row>
    <row r="538">
      <c r="B538" s="7"/>
      <c r="C538" s="74"/>
      <c r="D538" s="74"/>
    </row>
    <row r="539">
      <c r="B539" s="7"/>
      <c r="C539" s="74"/>
      <c r="D539" s="74"/>
    </row>
    <row r="540">
      <c r="B540" s="7"/>
      <c r="C540" s="74"/>
      <c r="D540" s="74"/>
    </row>
    <row r="541">
      <c r="B541" s="7"/>
      <c r="C541" s="74"/>
      <c r="D541" s="74"/>
    </row>
    <row r="542">
      <c r="B542" s="7"/>
      <c r="C542" s="74"/>
      <c r="D542" s="74"/>
    </row>
    <row r="543">
      <c r="B543" s="7"/>
      <c r="C543" s="74"/>
      <c r="D543" s="74"/>
    </row>
    <row r="544">
      <c r="B544" s="7"/>
      <c r="C544" s="74"/>
      <c r="D544" s="74"/>
    </row>
    <row r="545">
      <c r="B545" s="7"/>
      <c r="C545" s="74"/>
      <c r="D545" s="74"/>
    </row>
    <row r="546">
      <c r="B546" s="7"/>
      <c r="C546" s="74"/>
      <c r="D546" s="74"/>
    </row>
    <row r="547">
      <c r="B547" s="7"/>
      <c r="C547" s="74"/>
      <c r="D547" s="74"/>
    </row>
    <row r="548">
      <c r="B548" s="7"/>
      <c r="C548" s="74"/>
      <c r="D548" s="74"/>
    </row>
    <row r="549">
      <c r="B549" s="7"/>
      <c r="C549" s="74"/>
      <c r="D549" s="74"/>
    </row>
    <row r="550">
      <c r="B550" s="7"/>
      <c r="C550" s="74"/>
      <c r="D550" s="74"/>
    </row>
    <row r="551">
      <c r="B551" s="7"/>
      <c r="C551" s="74"/>
      <c r="D551" s="74"/>
    </row>
    <row r="552">
      <c r="B552" s="7"/>
      <c r="C552" s="74"/>
      <c r="D552" s="74"/>
    </row>
    <row r="553">
      <c r="B553" s="7"/>
      <c r="C553" s="74"/>
      <c r="D553" s="74"/>
    </row>
    <row r="554">
      <c r="B554" s="7"/>
      <c r="C554" s="74"/>
      <c r="D554" s="74"/>
    </row>
    <row r="555">
      <c r="B555" s="7"/>
      <c r="C555" s="74"/>
      <c r="D555" s="74"/>
    </row>
    <row r="556">
      <c r="B556" s="7"/>
      <c r="C556" s="74"/>
      <c r="D556" s="74"/>
    </row>
    <row r="557">
      <c r="B557" s="7"/>
      <c r="C557" s="74"/>
      <c r="D557" s="74"/>
    </row>
    <row r="558">
      <c r="B558" s="7"/>
      <c r="C558" s="74"/>
      <c r="D558" s="74"/>
    </row>
    <row r="559">
      <c r="B559" s="7"/>
      <c r="C559" s="74"/>
      <c r="D559" s="74"/>
    </row>
    <row r="560">
      <c r="B560" s="7"/>
      <c r="C560" s="74"/>
      <c r="D560" s="74"/>
    </row>
    <row r="561">
      <c r="B561" s="7"/>
      <c r="C561" s="74"/>
      <c r="D561" s="74"/>
    </row>
    <row r="562">
      <c r="B562" s="7"/>
      <c r="C562" s="74"/>
      <c r="D562" s="74"/>
    </row>
    <row r="563">
      <c r="B563" s="7"/>
      <c r="C563" s="74"/>
      <c r="D563" s="74"/>
    </row>
    <row r="564">
      <c r="B564" s="7"/>
      <c r="C564" s="74"/>
      <c r="D564" s="74"/>
    </row>
    <row r="565">
      <c r="B565" s="7"/>
      <c r="C565" s="74"/>
      <c r="D565" s="74"/>
    </row>
    <row r="566">
      <c r="B566" s="7"/>
      <c r="C566" s="74"/>
      <c r="D566" s="74"/>
    </row>
    <row r="567">
      <c r="B567" s="7"/>
      <c r="C567" s="74"/>
      <c r="D567" s="74"/>
    </row>
    <row r="568">
      <c r="B568" s="7"/>
      <c r="C568" s="74"/>
      <c r="D568" s="74"/>
    </row>
    <row r="569">
      <c r="B569" s="7"/>
      <c r="C569" s="74"/>
      <c r="D569" s="74"/>
    </row>
    <row r="570">
      <c r="B570" s="7"/>
      <c r="C570" s="74"/>
      <c r="D570" s="74"/>
    </row>
    <row r="571">
      <c r="B571" s="7"/>
      <c r="C571" s="74"/>
      <c r="D571" s="74"/>
    </row>
    <row r="572">
      <c r="B572" s="7"/>
      <c r="C572" s="74"/>
      <c r="D572" s="74"/>
    </row>
    <row r="573">
      <c r="B573" s="7"/>
      <c r="C573" s="74"/>
      <c r="D573" s="74"/>
    </row>
    <row r="574">
      <c r="B574" s="7"/>
      <c r="C574" s="74"/>
      <c r="D574" s="74"/>
    </row>
    <row r="575">
      <c r="B575" s="7"/>
      <c r="C575" s="74"/>
      <c r="D575" s="74"/>
    </row>
    <row r="576">
      <c r="B576" s="7"/>
      <c r="C576" s="74"/>
      <c r="D576" s="74"/>
    </row>
    <row r="577">
      <c r="B577" s="7"/>
      <c r="C577" s="74"/>
      <c r="D577" s="74"/>
    </row>
    <row r="578">
      <c r="B578" s="7"/>
      <c r="C578" s="74"/>
      <c r="D578" s="74"/>
    </row>
    <row r="579">
      <c r="B579" s="7"/>
      <c r="C579" s="74"/>
      <c r="D579" s="74"/>
    </row>
    <row r="580">
      <c r="B580" s="7"/>
      <c r="C580" s="74"/>
      <c r="D580" s="74"/>
    </row>
    <row r="581">
      <c r="B581" s="7"/>
      <c r="C581" s="74"/>
      <c r="D581" s="74"/>
    </row>
    <row r="582">
      <c r="B582" s="7"/>
      <c r="C582" s="74"/>
      <c r="D582" s="74"/>
    </row>
    <row r="583">
      <c r="B583" s="7"/>
      <c r="C583" s="74"/>
      <c r="D583" s="74"/>
    </row>
    <row r="584">
      <c r="B584" s="7"/>
      <c r="C584" s="74"/>
      <c r="D584" s="74"/>
    </row>
    <row r="585">
      <c r="B585" s="7"/>
      <c r="C585" s="74"/>
      <c r="D585" s="74"/>
    </row>
    <row r="586">
      <c r="B586" s="7"/>
      <c r="C586" s="74"/>
      <c r="D586" s="74"/>
    </row>
    <row r="587">
      <c r="B587" s="7"/>
      <c r="C587" s="74"/>
      <c r="D587" s="74"/>
    </row>
    <row r="588">
      <c r="B588" s="7"/>
      <c r="C588" s="74"/>
      <c r="D588" s="74"/>
    </row>
    <row r="589">
      <c r="B589" s="7"/>
      <c r="C589" s="74"/>
      <c r="D589" s="74"/>
    </row>
    <row r="590">
      <c r="B590" s="7"/>
      <c r="C590" s="74"/>
      <c r="D590" s="74"/>
    </row>
    <row r="591">
      <c r="B591" s="7"/>
      <c r="C591" s="74"/>
      <c r="D591" s="74"/>
    </row>
    <row r="592">
      <c r="B592" s="7"/>
      <c r="C592" s="74"/>
      <c r="D592" s="74"/>
    </row>
    <row r="593">
      <c r="B593" s="7"/>
      <c r="C593" s="74"/>
      <c r="D593" s="74"/>
    </row>
    <row r="594">
      <c r="B594" s="7"/>
      <c r="C594" s="74"/>
      <c r="D594" s="74"/>
    </row>
    <row r="595">
      <c r="B595" s="7"/>
      <c r="C595" s="74"/>
      <c r="D595" s="74"/>
    </row>
    <row r="596">
      <c r="B596" s="7"/>
      <c r="C596" s="74"/>
      <c r="D596" s="74"/>
    </row>
    <row r="597">
      <c r="B597" s="7"/>
      <c r="C597" s="74"/>
      <c r="D597" s="74"/>
    </row>
    <row r="598">
      <c r="B598" s="7"/>
      <c r="C598" s="74"/>
      <c r="D598" s="74"/>
    </row>
    <row r="599">
      <c r="B599" s="7"/>
      <c r="C599" s="74"/>
      <c r="D599" s="74"/>
    </row>
    <row r="600">
      <c r="B600" s="7"/>
      <c r="C600" s="74"/>
      <c r="D600" s="74"/>
    </row>
    <row r="601">
      <c r="B601" s="7"/>
      <c r="C601" s="74"/>
      <c r="D601" s="74"/>
    </row>
    <row r="602">
      <c r="B602" s="7"/>
      <c r="C602" s="74"/>
      <c r="D602" s="74"/>
    </row>
    <row r="603">
      <c r="B603" s="7"/>
      <c r="C603" s="74"/>
      <c r="D603" s="74"/>
    </row>
    <row r="604">
      <c r="B604" s="7"/>
      <c r="C604" s="74"/>
      <c r="D604" s="74"/>
    </row>
    <row r="605">
      <c r="B605" s="7"/>
      <c r="C605" s="74"/>
      <c r="D605" s="74"/>
    </row>
    <row r="606">
      <c r="B606" s="7"/>
      <c r="C606" s="74"/>
      <c r="D606" s="74"/>
    </row>
    <row r="607">
      <c r="B607" s="7"/>
      <c r="C607" s="74"/>
      <c r="D607" s="74"/>
    </row>
    <row r="608">
      <c r="B608" s="7"/>
      <c r="C608" s="74"/>
      <c r="D608" s="74"/>
    </row>
    <row r="609">
      <c r="B609" s="7"/>
      <c r="C609" s="74"/>
      <c r="D609" s="74"/>
    </row>
    <row r="610">
      <c r="B610" s="7"/>
      <c r="C610" s="74"/>
      <c r="D610" s="74"/>
    </row>
    <row r="611">
      <c r="B611" s="7"/>
      <c r="C611" s="74"/>
      <c r="D611" s="74"/>
    </row>
    <row r="612">
      <c r="B612" s="7"/>
      <c r="C612" s="74"/>
      <c r="D612" s="74"/>
    </row>
    <row r="613">
      <c r="B613" s="7"/>
      <c r="C613" s="74"/>
      <c r="D613" s="74"/>
    </row>
    <row r="614">
      <c r="B614" s="7"/>
      <c r="C614" s="74"/>
      <c r="D614" s="74"/>
    </row>
    <row r="615">
      <c r="B615" s="7"/>
      <c r="C615" s="74"/>
      <c r="D615" s="74"/>
    </row>
    <row r="616">
      <c r="B616" s="7"/>
      <c r="C616" s="74"/>
      <c r="D616" s="74"/>
    </row>
    <row r="617">
      <c r="B617" s="7"/>
      <c r="C617" s="74"/>
      <c r="D617" s="74"/>
    </row>
    <row r="618">
      <c r="B618" s="7"/>
      <c r="C618" s="74"/>
      <c r="D618" s="74"/>
    </row>
    <row r="619">
      <c r="B619" s="7"/>
      <c r="C619" s="74"/>
      <c r="D619" s="74"/>
    </row>
    <row r="620">
      <c r="B620" s="7"/>
      <c r="C620" s="74"/>
      <c r="D620" s="74"/>
    </row>
    <row r="621">
      <c r="B621" s="7"/>
      <c r="C621" s="74"/>
      <c r="D621" s="74"/>
    </row>
    <row r="622">
      <c r="B622" s="7"/>
      <c r="C622" s="74"/>
      <c r="D622" s="74"/>
    </row>
    <row r="623">
      <c r="B623" s="7"/>
      <c r="C623" s="74"/>
      <c r="D623" s="74"/>
    </row>
    <row r="624">
      <c r="B624" s="7"/>
      <c r="C624" s="74"/>
      <c r="D624" s="74"/>
    </row>
    <row r="625">
      <c r="B625" s="7"/>
      <c r="C625" s="74"/>
      <c r="D625" s="74"/>
    </row>
    <row r="626">
      <c r="B626" s="7"/>
      <c r="C626" s="74"/>
      <c r="D626" s="74"/>
    </row>
    <row r="627">
      <c r="B627" s="7"/>
      <c r="C627" s="74"/>
      <c r="D627" s="74"/>
    </row>
    <row r="628">
      <c r="B628" s="7"/>
      <c r="C628" s="74"/>
      <c r="D628" s="74"/>
    </row>
    <row r="629">
      <c r="B629" s="7"/>
      <c r="C629" s="74"/>
      <c r="D629" s="74"/>
    </row>
    <row r="630">
      <c r="B630" s="7"/>
      <c r="C630" s="74"/>
      <c r="D630" s="74"/>
    </row>
    <row r="631">
      <c r="B631" s="7"/>
      <c r="C631" s="74"/>
      <c r="D631" s="74"/>
    </row>
    <row r="632">
      <c r="B632" s="7"/>
      <c r="C632" s="74"/>
      <c r="D632" s="74"/>
    </row>
    <row r="633">
      <c r="B633" s="7"/>
      <c r="C633" s="74"/>
      <c r="D633" s="74"/>
    </row>
    <row r="634">
      <c r="B634" s="7"/>
      <c r="C634" s="74"/>
      <c r="D634" s="74"/>
    </row>
    <row r="635">
      <c r="B635" s="7"/>
      <c r="C635" s="74"/>
      <c r="D635" s="74"/>
    </row>
    <row r="636">
      <c r="B636" s="7"/>
      <c r="C636" s="74"/>
      <c r="D636" s="74"/>
    </row>
    <row r="637">
      <c r="B637" s="7"/>
      <c r="C637" s="74"/>
      <c r="D637" s="74"/>
    </row>
    <row r="638">
      <c r="B638" s="7"/>
      <c r="C638" s="74"/>
      <c r="D638" s="74"/>
    </row>
    <row r="639">
      <c r="B639" s="7"/>
      <c r="C639" s="74"/>
      <c r="D639" s="74"/>
    </row>
    <row r="640">
      <c r="B640" s="7"/>
      <c r="C640" s="74"/>
      <c r="D640" s="74"/>
    </row>
    <row r="641">
      <c r="B641" s="7"/>
      <c r="C641" s="74"/>
      <c r="D641" s="74"/>
    </row>
    <row r="642">
      <c r="B642" s="7"/>
      <c r="C642" s="74"/>
      <c r="D642" s="74"/>
    </row>
    <row r="643">
      <c r="B643" s="7"/>
      <c r="C643" s="74"/>
      <c r="D643" s="74"/>
    </row>
    <row r="644">
      <c r="B644" s="7"/>
      <c r="C644" s="74"/>
      <c r="D644" s="74"/>
    </row>
    <row r="645">
      <c r="B645" s="7"/>
      <c r="C645" s="74"/>
      <c r="D645" s="74"/>
    </row>
    <row r="646">
      <c r="B646" s="7"/>
      <c r="C646" s="74"/>
      <c r="D646" s="74"/>
    </row>
    <row r="647">
      <c r="B647" s="7"/>
      <c r="C647" s="74"/>
      <c r="D647" s="74"/>
    </row>
    <row r="648">
      <c r="B648" s="7"/>
      <c r="C648" s="74"/>
      <c r="D648" s="74"/>
    </row>
    <row r="649">
      <c r="B649" s="7"/>
      <c r="C649" s="74"/>
      <c r="D649" s="74"/>
    </row>
    <row r="650">
      <c r="B650" s="7"/>
      <c r="C650" s="74"/>
      <c r="D650" s="74"/>
    </row>
    <row r="651">
      <c r="B651" s="7"/>
      <c r="C651" s="74"/>
      <c r="D651" s="74"/>
    </row>
    <row r="652">
      <c r="B652" s="7"/>
      <c r="C652" s="74"/>
      <c r="D652" s="74"/>
    </row>
    <row r="653">
      <c r="B653" s="7"/>
      <c r="C653" s="74"/>
      <c r="D653" s="74"/>
    </row>
    <row r="654">
      <c r="B654" s="7"/>
      <c r="C654" s="74"/>
      <c r="D654" s="74"/>
    </row>
    <row r="655">
      <c r="B655" s="7"/>
      <c r="C655" s="74"/>
      <c r="D655" s="74"/>
    </row>
    <row r="656">
      <c r="B656" s="7"/>
      <c r="C656" s="74"/>
      <c r="D656" s="74"/>
    </row>
    <row r="657">
      <c r="B657" s="7"/>
      <c r="C657" s="74"/>
      <c r="D657" s="74"/>
    </row>
    <row r="658">
      <c r="B658" s="7"/>
      <c r="C658" s="74"/>
      <c r="D658" s="74"/>
    </row>
    <row r="659">
      <c r="B659" s="7"/>
      <c r="C659" s="74"/>
      <c r="D659" s="74"/>
    </row>
    <row r="660">
      <c r="B660" s="7"/>
      <c r="C660" s="74"/>
      <c r="D660" s="74"/>
    </row>
    <row r="661">
      <c r="B661" s="7"/>
      <c r="C661" s="74"/>
      <c r="D661" s="74"/>
    </row>
    <row r="662">
      <c r="B662" s="7"/>
      <c r="C662" s="74"/>
      <c r="D662" s="74"/>
    </row>
    <row r="663">
      <c r="B663" s="7"/>
      <c r="C663" s="74"/>
      <c r="D663" s="74"/>
    </row>
    <row r="664">
      <c r="B664" s="7"/>
      <c r="C664" s="74"/>
      <c r="D664" s="74"/>
    </row>
    <row r="665">
      <c r="B665" s="7"/>
      <c r="C665" s="74"/>
      <c r="D665" s="74"/>
    </row>
    <row r="666">
      <c r="B666" s="7"/>
      <c r="C666" s="74"/>
      <c r="D666" s="74"/>
    </row>
    <row r="667">
      <c r="B667" s="7"/>
      <c r="C667" s="74"/>
      <c r="D667" s="74"/>
    </row>
    <row r="668">
      <c r="B668" s="7"/>
      <c r="C668" s="74"/>
      <c r="D668" s="74"/>
    </row>
    <row r="669">
      <c r="B669" s="7"/>
      <c r="C669" s="74"/>
      <c r="D669" s="74"/>
    </row>
    <row r="670">
      <c r="B670" s="7"/>
      <c r="C670" s="74"/>
      <c r="D670" s="74"/>
    </row>
    <row r="671">
      <c r="B671" s="7"/>
      <c r="C671" s="74"/>
      <c r="D671" s="74"/>
    </row>
    <row r="672">
      <c r="B672" s="7"/>
      <c r="C672" s="74"/>
      <c r="D672" s="74"/>
    </row>
    <row r="673">
      <c r="B673" s="7"/>
      <c r="C673" s="74"/>
      <c r="D673" s="74"/>
    </row>
    <row r="674">
      <c r="B674" s="7"/>
      <c r="C674" s="74"/>
      <c r="D674" s="74"/>
    </row>
    <row r="675">
      <c r="B675" s="7"/>
      <c r="C675" s="74"/>
      <c r="D675" s="74"/>
    </row>
    <row r="676">
      <c r="B676" s="7"/>
      <c r="C676" s="74"/>
      <c r="D676" s="74"/>
    </row>
    <row r="677">
      <c r="B677" s="7"/>
      <c r="C677" s="74"/>
      <c r="D677" s="74"/>
    </row>
    <row r="678">
      <c r="B678" s="7"/>
      <c r="C678" s="74"/>
      <c r="D678" s="74"/>
    </row>
    <row r="679">
      <c r="B679" s="7"/>
      <c r="C679" s="74"/>
      <c r="D679" s="74"/>
    </row>
    <row r="680">
      <c r="B680" s="7"/>
      <c r="C680" s="74"/>
      <c r="D680" s="74"/>
    </row>
    <row r="681">
      <c r="B681" s="7"/>
      <c r="C681" s="74"/>
      <c r="D681" s="74"/>
    </row>
    <row r="682">
      <c r="B682" s="7"/>
      <c r="C682" s="74"/>
      <c r="D682" s="74"/>
    </row>
    <row r="683">
      <c r="B683" s="7"/>
      <c r="C683" s="74"/>
      <c r="D683" s="74"/>
    </row>
    <row r="684">
      <c r="B684" s="7"/>
      <c r="C684" s="74"/>
      <c r="D684" s="74"/>
    </row>
    <row r="685">
      <c r="B685" s="7"/>
      <c r="C685" s="74"/>
      <c r="D685" s="74"/>
    </row>
    <row r="686">
      <c r="B686" s="7"/>
      <c r="C686" s="74"/>
      <c r="D686" s="74"/>
    </row>
    <row r="687">
      <c r="B687" s="7"/>
      <c r="C687" s="74"/>
      <c r="D687" s="74"/>
    </row>
    <row r="688">
      <c r="B688" s="7"/>
      <c r="C688" s="74"/>
      <c r="D688" s="74"/>
    </row>
    <row r="689">
      <c r="B689" s="7"/>
      <c r="C689" s="74"/>
      <c r="D689" s="74"/>
    </row>
    <row r="690">
      <c r="B690" s="7"/>
      <c r="C690" s="74"/>
      <c r="D690" s="74"/>
    </row>
    <row r="691">
      <c r="B691" s="7"/>
      <c r="C691" s="74"/>
      <c r="D691" s="74"/>
    </row>
    <row r="692">
      <c r="B692" s="7"/>
      <c r="C692" s="74"/>
      <c r="D692" s="74"/>
    </row>
    <row r="693">
      <c r="B693" s="7"/>
      <c r="C693" s="74"/>
      <c r="D693" s="74"/>
    </row>
    <row r="694">
      <c r="B694" s="7"/>
      <c r="C694" s="74"/>
      <c r="D694" s="74"/>
    </row>
    <row r="695">
      <c r="B695" s="7"/>
      <c r="C695" s="74"/>
      <c r="D695" s="74"/>
    </row>
    <row r="696">
      <c r="B696" s="7"/>
      <c r="C696" s="74"/>
      <c r="D696" s="74"/>
    </row>
    <row r="697">
      <c r="B697" s="7"/>
      <c r="C697" s="74"/>
      <c r="D697" s="74"/>
    </row>
    <row r="698">
      <c r="B698" s="7"/>
      <c r="C698" s="74"/>
      <c r="D698" s="74"/>
    </row>
    <row r="699">
      <c r="B699" s="7"/>
      <c r="C699" s="74"/>
      <c r="D699" s="74"/>
    </row>
    <row r="700">
      <c r="B700" s="7"/>
      <c r="C700" s="74"/>
      <c r="D700" s="74"/>
    </row>
    <row r="701">
      <c r="B701" s="7"/>
      <c r="C701" s="74"/>
      <c r="D701" s="74"/>
    </row>
    <row r="702">
      <c r="B702" s="7"/>
      <c r="C702" s="74"/>
      <c r="D702" s="74"/>
    </row>
    <row r="703">
      <c r="B703" s="7"/>
      <c r="C703" s="74"/>
      <c r="D703" s="74"/>
    </row>
    <row r="704">
      <c r="B704" s="7"/>
      <c r="C704" s="74"/>
      <c r="D704" s="74"/>
    </row>
    <row r="705">
      <c r="B705" s="7"/>
      <c r="C705" s="74"/>
      <c r="D705" s="74"/>
    </row>
    <row r="706">
      <c r="B706" s="7"/>
      <c r="C706" s="74"/>
      <c r="D706" s="74"/>
    </row>
    <row r="707">
      <c r="B707" s="7"/>
      <c r="C707" s="74"/>
      <c r="D707" s="74"/>
    </row>
    <row r="708">
      <c r="B708" s="7"/>
      <c r="C708" s="74"/>
      <c r="D708" s="74"/>
    </row>
    <row r="709">
      <c r="B709" s="7"/>
      <c r="C709" s="74"/>
      <c r="D709" s="74"/>
    </row>
    <row r="710">
      <c r="B710" s="7"/>
      <c r="C710" s="74"/>
      <c r="D710" s="74"/>
    </row>
    <row r="711">
      <c r="B711" s="7"/>
      <c r="C711" s="74"/>
      <c r="D711" s="74"/>
    </row>
    <row r="712">
      <c r="B712" s="7"/>
      <c r="C712" s="74"/>
      <c r="D712" s="74"/>
    </row>
    <row r="713">
      <c r="B713" s="7"/>
      <c r="C713" s="74"/>
      <c r="D713" s="74"/>
    </row>
    <row r="714">
      <c r="B714" s="7"/>
      <c r="C714" s="74"/>
      <c r="D714" s="74"/>
    </row>
    <row r="715">
      <c r="B715" s="7"/>
      <c r="C715" s="74"/>
      <c r="D715" s="74"/>
    </row>
    <row r="716">
      <c r="B716" s="7"/>
      <c r="C716" s="74"/>
      <c r="D716" s="74"/>
    </row>
    <row r="717">
      <c r="B717" s="7"/>
      <c r="C717" s="74"/>
      <c r="D717" s="74"/>
    </row>
    <row r="718">
      <c r="B718" s="7"/>
      <c r="C718" s="74"/>
      <c r="D718" s="74"/>
    </row>
    <row r="719">
      <c r="B719" s="7"/>
      <c r="C719" s="74"/>
      <c r="D719" s="74"/>
    </row>
    <row r="720">
      <c r="B720" s="7"/>
      <c r="C720" s="74"/>
      <c r="D720" s="74"/>
    </row>
    <row r="721">
      <c r="B721" s="7"/>
      <c r="C721" s="74"/>
      <c r="D721" s="74"/>
    </row>
    <row r="722">
      <c r="B722" s="7"/>
      <c r="C722" s="74"/>
      <c r="D722" s="74"/>
    </row>
    <row r="723">
      <c r="B723" s="7"/>
      <c r="C723" s="74"/>
      <c r="D723" s="74"/>
    </row>
    <row r="724">
      <c r="B724" s="7"/>
      <c r="C724" s="74"/>
      <c r="D724" s="74"/>
    </row>
    <row r="725">
      <c r="B725" s="7"/>
      <c r="C725" s="74"/>
      <c r="D725" s="74"/>
    </row>
    <row r="726">
      <c r="B726" s="7"/>
      <c r="C726" s="74"/>
      <c r="D726" s="74"/>
    </row>
    <row r="727">
      <c r="B727" s="7"/>
      <c r="C727" s="74"/>
      <c r="D727" s="74"/>
    </row>
    <row r="728">
      <c r="B728" s="7"/>
      <c r="C728" s="74"/>
      <c r="D728" s="74"/>
    </row>
    <row r="729">
      <c r="B729" s="7"/>
      <c r="C729" s="74"/>
      <c r="D729" s="74"/>
    </row>
    <row r="730">
      <c r="B730" s="7"/>
      <c r="C730" s="74"/>
      <c r="D730" s="74"/>
    </row>
    <row r="731">
      <c r="B731" s="7"/>
      <c r="C731" s="74"/>
      <c r="D731" s="74"/>
    </row>
    <row r="732">
      <c r="B732" s="7"/>
      <c r="C732" s="74"/>
      <c r="D732" s="74"/>
    </row>
    <row r="733">
      <c r="B733" s="7"/>
      <c r="C733" s="74"/>
      <c r="D733" s="74"/>
    </row>
    <row r="734">
      <c r="B734" s="7"/>
      <c r="C734" s="74"/>
      <c r="D734" s="74"/>
    </row>
    <row r="735">
      <c r="B735" s="7"/>
      <c r="C735" s="74"/>
      <c r="D735" s="74"/>
    </row>
    <row r="736">
      <c r="B736" s="7"/>
      <c r="C736" s="74"/>
      <c r="D736" s="74"/>
    </row>
    <row r="737">
      <c r="B737" s="7"/>
      <c r="C737" s="74"/>
      <c r="D737" s="74"/>
    </row>
    <row r="738">
      <c r="B738" s="7"/>
      <c r="C738" s="74"/>
      <c r="D738" s="74"/>
    </row>
    <row r="739">
      <c r="B739" s="7"/>
      <c r="C739" s="74"/>
      <c r="D739" s="74"/>
    </row>
    <row r="740">
      <c r="B740" s="7"/>
      <c r="C740" s="74"/>
      <c r="D740" s="74"/>
    </row>
    <row r="741">
      <c r="B741" s="7"/>
      <c r="C741" s="74"/>
      <c r="D741" s="74"/>
    </row>
    <row r="742">
      <c r="B742" s="7"/>
      <c r="C742" s="74"/>
      <c r="D742" s="74"/>
    </row>
    <row r="743">
      <c r="B743" s="7"/>
      <c r="C743" s="74"/>
      <c r="D743" s="74"/>
    </row>
    <row r="744">
      <c r="B744" s="7"/>
      <c r="C744" s="74"/>
      <c r="D744" s="74"/>
    </row>
    <row r="745">
      <c r="B745" s="7"/>
      <c r="C745" s="74"/>
      <c r="D745" s="74"/>
    </row>
    <row r="746">
      <c r="B746" s="7"/>
      <c r="C746" s="74"/>
      <c r="D746" s="74"/>
    </row>
    <row r="747">
      <c r="B747" s="7"/>
      <c r="C747" s="74"/>
      <c r="D747" s="74"/>
    </row>
    <row r="748">
      <c r="B748" s="7"/>
      <c r="C748" s="74"/>
      <c r="D748" s="74"/>
    </row>
    <row r="749">
      <c r="B749" s="7"/>
      <c r="C749" s="74"/>
      <c r="D749" s="74"/>
    </row>
    <row r="750">
      <c r="B750" s="7"/>
      <c r="C750" s="74"/>
      <c r="D750" s="74"/>
    </row>
    <row r="751">
      <c r="B751" s="7"/>
      <c r="C751" s="74"/>
      <c r="D751" s="74"/>
    </row>
    <row r="752">
      <c r="B752" s="7"/>
      <c r="C752" s="74"/>
      <c r="D752" s="74"/>
    </row>
    <row r="753">
      <c r="B753" s="7"/>
      <c r="C753" s="74"/>
      <c r="D753" s="74"/>
    </row>
    <row r="754">
      <c r="B754" s="7"/>
      <c r="C754" s="74"/>
      <c r="D754" s="74"/>
    </row>
    <row r="755">
      <c r="B755" s="7"/>
      <c r="C755" s="74"/>
      <c r="D755" s="74"/>
    </row>
    <row r="756">
      <c r="B756" s="7"/>
      <c r="C756" s="74"/>
      <c r="D756" s="74"/>
    </row>
    <row r="757">
      <c r="B757" s="7"/>
      <c r="C757" s="74"/>
      <c r="D757" s="74"/>
    </row>
    <row r="758">
      <c r="B758" s="7"/>
      <c r="C758" s="74"/>
      <c r="D758" s="74"/>
    </row>
    <row r="759">
      <c r="B759" s="7"/>
      <c r="C759" s="74"/>
      <c r="D759" s="74"/>
    </row>
    <row r="760">
      <c r="B760" s="7"/>
      <c r="C760" s="74"/>
      <c r="D760" s="74"/>
    </row>
    <row r="761">
      <c r="B761" s="7"/>
      <c r="C761" s="74"/>
      <c r="D761" s="74"/>
    </row>
    <row r="762">
      <c r="B762" s="7"/>
      <c r="C762" s="74"/>
      <c r="D762" s="74"/>
    </row>
    <row r="763">
      <c r="B763" s="7"/>
      <c r="C763" s="74"/>
      <c r="D763" s="74"/>
    </row>
    <row r="764">
      <c r="B764" s="7"/>
      <c r="C764" s="74"/>
      <c r="D764" s="74"/>
    </row>
    <row r="765">
      <c r="B765" s="7"/>
      <c r="C765" s="74"/>
      <c r="D765" s="74"/>
    </row>
    <row r="766">
      <c r="B766" s="7"/>
      <c r="C766" s="74"/>
      <c r="D766" s="74"/>
    </row>
    <row r="767">
      <c r="B767" s="7"/>
      <c r="C767" s="74"/>
      <c r="D767" s="74"/>
    </row>
    <row r="768">
      <c r="B768" s="7"/>
      <c r="C768" s="74"/>
      <c r="D768" s="74"/>
    </row>
    <row r="769">
      <c r="B769" s="7"/>
      <c r="C769" s="74"/>
      <c r="D769" s="74"/>
    </row>
    <row r="770">
      <c r="B770" s="7"/>
      <c r="C770" s="74"/>
      <c r="D770" s="74"/>
    </row>
    <row r="771">
      <c r="B771" s="7"/>
      <c r="C771" s="74"/>
      <c r="D771" s="74"/>
    </row>
    <row r="772">
      <c r="B772" s="7"/>
      <c r="C772" s="74"/>
      <c r="D772" s="74"/>
    </row>
    <row r="773">
      <c r="B773" s="7"/>
      <c r="C773" s="74"/>
      <c r="D773" s="74"/>
    </row>
    <row r="774">
      <c r="B774" s="7"/>
      <c r="C774" s="74"/>
      <c r="D774" s="74"/>
    </row>
    <row r="775">
      <c r="B775" s="7"/>
      <c r="C775" s="74"/>
      <c r="D775" s="74"/>
    </row>
    <row r="776">
      <c r="B776" s="7"/>
      <c r="C776" s="74"/>
      <c r="D776" s="74"/>
    </row>
    <row r="777">
      <c r="B777" s="7"/>
      <c r="C777" s="74"/>
      <c r="D777" s="74"/>
    </row>
    <row r="778">
      <c r="B778" s="7"/>
      <c r="C778" s="74"/>
      <c r="D778" s="74"/>
    </row>
    <row r="779">
      <c r="B779" s="7"/>
      <c r="C779" s="74"/>
      <c r="D779" s="74"/>
    </row>
    <row r="780">
      <c r="B780" s="7"/>
      <c r="C780" s="74"/>
      <c r="D780" s="74"/>
    </row>
    <row r="781">
      <c r="B781" s="7"/>
      <c r="C781" s="74"/>
      <c r="D781" s="74"/>
    </row>
    <row r="782">
      <c r="B782" s="7"/>
      <c r="C782" s="74"/>
      <c r="D782" s="74"/>
    </row>
    <row r="783">
      <c r="B783" s="7"/>
      <c r="C783" s="74"/>
      <c r="D783" s="74"/>
    </row>
    <row r="784">
      <c r="B784" s="7"/>
      <c r="C784" s="74"/>
      <c r="D784" s="74"/>
    </row>
    <row r="785">
      <c r="B785" s="7"/>
      <c r="C785" s="74"/>
      <c r="D785" s="74"/>
    </row>
    <row r="786">
      <c r="B786" s="7"/>
      <c r="C786" s="74"/>
      <c r="D786" s="74"/>
    </row>
    <row r="787">
      <c r="B787" s="7"/>
      <c r="C787" s="74"/>
      <c r="D787" s="74"/>
    </row>
    <row r="788">
      <c r="B788" s="7"/>
      <c r="C788" s="74"/>
      <c r="D788" s="74"/>
    </row>
    <row r="789">
      <c r="B789" s="7"/>
      <c r="C789" s="74"/>
      <c r="D789" s="74"/>
    </row>
    <row r="790">
      <c r="B790" s="7"/>
      <c r="C790" s="74"/>
      <c r="D790" s="74"/>
    </row>
    <row r="791">
      <c r="B791" s="7"/>
      <c r="C791" s="74"/>
      <c r="D791" s="74"/>
    </row>
    <row r="792">
      <c r="B792" s="7"/>
      <c r="C792" s="74"/>
      <c r="D792" s="74"/>
    </row>
    <row r="793">
      <c r="B793" s="7"/>
      <c r="C793" s="74"/>
      <c r="D793" s="74"/>
    </row>
    <row r="794">
      <c r="B794" s="7"/>
      <c r="C794" s="74"/>
      <c r="D794" s="74"/>
    </row>
    <row r="795">
      <c r="B795" s="7"/>
      <c r="C795" s="74"/>
      <c r="D795" s="74"/>
    </row>
    <row r="796">
      <c r="B796" s="7"/>
      <c r="C796" s="74"/>
      <c r="D796" s="74"/>
    </row>
    <row r="797">
      <c r="B797" s="7"/>
      <c r="C797" s="74"/>
      <c r="D797" s="74"/>
    </row>
    <row r="798">
      <c r="B798" s="7"/>
      <c r="C798" s="74"/>
      <c r="D798" s="74"/>
    </row>
    <row r="799">
      <c r="B799" s="7"/>
      <c r="C799" s="74"/>
      <c r="D799" s="74"/>
    </row>
    <row r="800">
      <c r="B800" s="7"/>
      <c r="C800" s="74"/>
      <c r="D800" s="74"/>
    </row>
    <row r="801">
      <c r="B801" s="7"/>
      <c r="C801" s="74"/>
      <c r="D801" s="74"/>
    </row>
    <row r="802">
      <c r="B802" s="7"/>
      <c r="C802" s="74"/>
      <c r="D802" s="74"/>
    </row>
    <row r="803">
      <c r="B803" s="7"/>
      <c r="C803" s="74"/>
      <c r="D803" s="74"/>
    </row>
    <row r="804">
      <c r="B804" s="7"/>
      <c r="C804" s="74"/>
      <c r="D804" s="74"/>
    </row>
    <row r="805">
      <c r="B805" s="7"/>
      <c r="C805" s="74"/>
      <c r="D805" s="74"/>
    </row>
    <row r="806">
      <c r="B806" s="7"/>
      <c r="C806" s="74"/>
      <c r="D806" s="74"/>
    </row>
    <row r="807">
      <c r="B807" s="7"/>
      <c r="C807" s="74"/>
      <c r="D807" s="74"/>
    </row>
    <row r="808">
      <c r="B808" s="7"/>
      <c r="C808" s="74"/>
      <c r="D808" s="74"/>
    </row>
    <row r="809">
      <c r="B809" s="7"/>
      <c r="C809" s="74"/>
      <c r="D809" s="74"/>
    </row>
    <row r="810">
      <c r="B810" s="7"/>
      <c r="C810" s="74"/>
      <c r="D810" s="74"/>
    </row>
    <row r="811">
      <c r="B811" s="7"/>
      <c r="C811" s="74"/>
      <c r="D811" s="74"/>
    </row>
    <row r="812">
      <c r="B812" s="7"/>
      <c r="C812" s="74"/>
      <c r="D812" s="74"/>
    </row>
    <row r="813">
      <c r="B813" s="7"/>
      <c r="C813" s="74"/>
      <c r="D813" s="74"/>
    </row>
    <row r="814">
      <c r="B814" s="7"/>
      <c r="C814" s="74"/>
      <c r="D814" s="74"/>
    </row>
    <row r="815">
      <c r="B815" s="7"/>
      <c r="C815" s="74"/>
      <c r="D815" s="74"/>
    </row>
    <row r="816">
      <c r="B816" s="7"/>
      <c r="C816" s="74"/>
      <c r="D816" s="74"/>
    </row>
    <row r="817">
      <c r="B817" s="7"/>
      <c r="C817" s="74"/>
      <c r="D817" s="74"/>
    </row>
    <row r="818">
      <c r="B818" s="7"/>
      <c r="C818" s="74"/>
      <c r="D818" s="74"/>
    </row>
    <row r="819">
      <c r="B819" s="7"/>
      <c r="C819" s="74"/>
      <c r="D819" s="74"/>
    </row>
    <row r="820">
      <c r="B820" s="7"/>
      <c r="C820" s="74"/>
      <c r="D820" s="74"/>
    </row>
    <row r="821">
      <c r="B821" s="7"/>
      <c r="C821" s="74"/>
      <c r="D821" s="74"/>
    </row>
    <row r="822">
      <c r="B822" s="7"/>
      <c r="C822" s="74"/>
      <c r="D822" s="74"/>
    </row>
    <row r="823">
      <c r="B823" s="7"/>
      <c r="C823" s="74"/>
      <c r="D823" s="74"/>
    </row>
    <row r="824">
      <c r="B824" s="7"/>
      <c r="C824" s="74"/>
      <c r="D824" s="74"/>
    </row>
    <row r="825">
      <c r="B825" s="7"/>
      <c r="C825" s="74"/>
      <c r="D825" s="74"/>
    </row>
    <row r="826">
      <c r="B826" s="7"/>
      <c r="C826" s="74"/>
      <c r="D826" s="74"/>
    </row>
    <row r="827">
      <c r="B827" s="7"/>
      <c r="C827" s="74"/>
      <c r="D827" s="74"/>
    </row>
    <row r="828">
      <c r="B828" s="7"/>
      <c r="C828" s="74"/>
      <c r="D828" s="74"/>
    </row>
    <row r="829">
      <c r="B829" s="7"/>
      <c r="C829" s="74"/>
      <c r="D829" s="74"/>
    </row>
    <row r="830">
      <c r="B830" s="7"/>
      <c r="C830" s="74"/>
      <c r="D830" s="74"/>
    </row>
    <row r="831">
      <c r="B831" s="7"/>
      <c r="C831" s="74"/>
      <c r="D831" s="74"/>
    </row>
    <row r="832">
      <c r="B832" s="7"/>
      <c r="C832" s="74"/>
      <c r="D832" s="74"/>
    </row>
    <row r="833">
      <c r="B833" s="7"/>
      <c r="C833" s="74"/>
      <c r="D833" s="74"/>
    </row>
    <row r="834">
      <c r="B834" s="7"/>
      <c r="C834" s="74"/>
      <c r="D834" s="74"/>
    </row>
    <row r="835">
      <c r="B835" s="7"/>
      <c r="C835" s="74"/>
      <c r="D835" s="74"/>
    </row>
    <row r="836">
      <c r="B836" s="7"/>
      <c r="C836" s="74"/>
      <c r="D836" s="74"/>
    </row>
    <row r="837">
      <c r="B837" s="7"/>
      <c r="C837" s="74"/>
      <c r="D837" s="74"/>
    </row>
    <row r="838">
      <c r="B838" s="7"/>
      <c r="C838" s="74"/>
      <c r="D838" s="74"/>
    </row>
    <row r="839">
      <c r="B839" s="7"/>
      <c r="C839" s="74"/>
      <c r="D839" s="74"/>
    </row>
    <row r="840">
      <c r="B840" s="7"/>
      <c r="C840" s="74"/>
      <c r="D840" s="74"/>
    </row>
    <row r="841">
      <c r="B841" s="7"/>
      <c r="C841" s="74"/>
      <c r="D841" s="74"/>
    </row>
    <row r="842">
      <c r="B842" s="7"/>
      <c r="C842" s="74"/>
      <c r="D842" s="74"/>
    </row>
    <row r="843">
      <c r="B843" s="7"/>
      <c r="C843" s="74"/>
      <c r="D843" s="74"/>
    </row>
    <row r="844">
      <c r="B844" s="7"/>
      <c r="C844" s="74"/>
      <c r="D844" s="74"/>
    </row>
    <row r="845">
      <c r="B845" s="7"/>
      <c r="C845" s="74"/>
      <c r="D845" s="74"/>
    </row>
    <row r="846">
      <c r="B846" s="7"/>
      <c r="C846" s="74"/>
      <c r="D846" s="74"/>
    </row>
    <row r="847">
      <c r="B847" s="7"/>
      <c r="C847" s="74"/>
      <c r="D847" s="74"/>
    </row>
    <row r="848">
      <c r="B848" s="7"/>
      <c r="C848" s="74"/>
      <c r="D848" s="74"/>
    </row>
    <row r="849">
      <c r="B849" s="7"/>
      <c r="C849" s="74"/>
      <c r="D849" s="74"/>
    </row>
    <row r="850">
      <c r="B850" s="7"/>
      <c r="C850" s="74"/>
      <c r="D850" s="74"/>
    </row>
    <row r="851">
      <c r="B851" s="7"/>
      <c r="C851" s="74"/>
      <c r="D851" s="74"/>
    </row>
    <row r="852">
      <c r="B852" s="7"/>
      <c r="C852" s="74"/>
      <c r="D852" s="74"/>
    </row>
    <row r="853">
      <c r="B853" s="7"/>
      <c r="C853" s="74"/>
      <c r="D853" s="74"/>
    </row>
    <row r="854">
      <c r="B854" s="7"/>
      <c r="C854" s="74"/>
      <c r="D854" s="74"/>
    </row>
    <row r="855">
      <c r="B855" s="7"/>
      <c r="C855" s="74"/>
      <c r="D855" s="74"/>
    </row>
    <row r="856">
      <c r="B856" s="7"/>
      <c r="C856" s="74"/>
      <c r="D856" s="74"/>
    </row>
    <row r="857">
      <c r="B857" s="7"/>
      <c r="C857" s="74"/>
      <c r="D857" s="74"/>
    </row>
    <row r="858">
      <c r="B858" s="7"/>
      <c r="C858" s="74"/>
      <c r="D858" s="74"/>
    </row>
    <row r="859">
      <c r="B859" s="7"/>
      <c r="C859" s="74"/>
      <c r="D859" s="74"/>
    </row>
    <row r="860">
      <c r="B860" s="7"/>
      <c r="C860" s="74"/>
      <c r="D860" s="74"/>
    </row>
    <row r="861">
      <c r="B861" s="7"/>
      <c r="C861" s="74"/>
      <c r="D861" s="74"/>
    </row>
    <row r="862">
      <c r="B862" s="7"/>
      <c r="C862" s="74"/>
      <c r="D862" s="74"/>
    </row>
    <row r="863">
      <c r="B863" s="7"/>
      <c r="C863" s="74"/>
      <c r="D863" s="74"/>
    </row>
    <row r="864">
      <c r="B864" s="7"/>
      <c r="C864" s="74"/>
      <c r="D864" s="74"/>
    </row>
    <row r="865">
      <c r="B865" s="7"/>
      <c r="C865" s="74"/>
      <c r="D865" s="74"/>
    </row>
    <row r="866">
      <c r="B866" s="7"/>
      <c r="C866" s="74"/>
      <c r="D866" s="74"/>
    </row>
    <row r="867">
      <c r="B867" s="7"/>
      <c r="C867" s="74"/>
      <c r="D867" s="74"/>
    </row>
    <row r="868">
      <c r="B868" s="7"/>
      <c r="C868" s="74"/>
      <c r="D868" s="74"/>
    </row>
    <row r="869">
      <c r="B869" s="7"/>
      <c r="C869" s="74"/>
      <c r="D869" s="74"/>
    </row>
    <row r="870">
      <c r="B870" s="7"/>
      <c r="C870" s="74"/>
      <c r="D870" s="74"/>
    </row>
    <row r="871">
      <c r="B871" s="7"/>
      <c r="C871" s="74"/>
      <c r="D871" s="74"/>
    </row>
    <row r="872">
      <c r="B872" s="7"/>
      <c r="C872" s="74"/>
      <c r="D872" s="74"/>
    </row>
    <row r="873">
      <c r="B873" s="7"/>
      <c r="C873" s="74"/>
      <c r="D873" s="74"/>
    </row>
    <row r="874">
      <c r="B874" s="7"/>
      <c r="C874" s="74"/>
      <c r="D874" s="74"/>
    </row>
    <row r="875">
      <c r="B875" s="7"/>
      <c r="C875" s="74"/>
      <c r="D875" s="74"/>
    </row>
    <row r="876">
      <c r="B876" s="7"/>
      <c r="C876" s="74"/>
      <c r="D876" s="74"/>
    </row>
    <row r="877">
      <c r="B877" s="7"/>
      <c r="C877" s="74"/>
      <c r="D877" s="74"/>
    </row>
    <row r="878">
      <c r="B878" s="7"/>
      <c r="C878" s="74"/>
      <c r="D878" s="74"/>
    </row>
    <row r="879">
      <c r="B879" s="7"/>
      <c r="C879" s="74"/>
      <c r="D879" s="74"/>
    </row>
    <row r="880">
      <c r="B880" s="7"/>
      <c r="C880" s="74"/>
      <c r="D880" s="74"/>
    </row>
    <row r="881">
      <c r="B881" s="7"/>
      <c r="C881" s="74"/>
      <c r="D881" s="74"/>
    </row>
    <row r="882">
      <c r="B882" s="7"/>
      <c r="C882" s="74"/>
      <c r="D882" s="74"/>
    </row>
    <row r="883">
      <c r="B883" s="7"/>
      <c r="C883" s="74"/>
      <c r="D883" s="74"/>
    </row>
    <row r="884">
      <c r="B884" s="7"/>
      <c r="C884" s="74"/>
      <c r="D884" s="74"/>
    </row>
    <row r="885">
      <c r="B885" s="7"/>
      <c r="C885" s="74"/>
      <c r="D885" s="74"/>
    </row>
    <row r="886">
      <c r="B886" s="7"/>
      <c r="C886" s="74"/>
      <c r="D886" s="74"/>
    </row>
    <row r="887">
      <c r="B887" s="7"/>
      <c r="C887" s="74"/>
      <c r="D887" s="74"/>
    </row>
    <row r="888">
      <c r="B888" s="7"/>
      <c r="C888" s="74"/>
      <c r="D888" s="74"/>
    </row>
    <row r="889">
      <c r="B889" s="7"/>
      <c r="C889" s="74"/>
      <c r="D889" s="74"/>
    </row>
    <row r="890">
      <c r="B890" s="7"/>
      <c r="C890" s="74"/>
      <c r="D890" s="74"/>
    </row>
    <row r="891">
      <c r="B891" s="7"/>
      <c r="C891" s="74"/>
      <c r="D891" s="74"/>
    </row>
    <row r="892">
      <c r="B892" s="7"/>
      <c r="C892" s="74"/>
      <c r="D892" s="74"/>
    </row>
    <row r="893">
      <c r="B893" s="7"/>
      <c r="C893" s="74"/>
      <c r="D893" s="74"/>
    </row>
    <row r="894">
      <c r="B894" s="7"/>
      <c r="C894" s="74"/>
      <c r="D894" s="74"/>
    </row>
    <row r="895">
      <c r="B895" s="7"/>
      <c r="C895" s="74"/>
      <c r="D895" s="74"/>
    </row>
    <row r="896">
      <c r="B896" s="7"/>
      <c r="C896" s="74"/>
      <c r="D896" s="74"/>
    </row>
    <row r="897">
      <c r="B897" s="7"/>
      <c r="C897" s="74"/>
      <c r="D897" s="74"/>
    </row>
    <row r="898">
      <c r="B898" s="7"/>
      <c r="C898" s="74"/>
      <c r="D898" s="74"/>
    </row>
    <row r="899">
      <c r="B899" s="7"/>
      <c r="C899" s="74"/>
      <c r="D899" s="74"/>
    </row>
    <row r="900">
      <c r="B900" s="7"/>
      <c r="C900" s="74"/>
      <c r="D900" s="74"/>
    </row>
    <row r="901">
      <c r="B901" s="7"/>
      <c r="C901" s="74"/>
      <c r="D901" s="74"/>
    </row>
    <row r="902">
      <c r="B902" s="7"/>
      <c r="C902" s="74"/>
      <c r="D902" s="74"/>
    </row>
    <row r="903">
      <c r="B903" s="7"/>
      <c r="C903" s="74"/>
      <c r="D903" s="74"/>
    </row>
    <row r="904">
      <c r="B904" s="7"/>
      <c r="C904" s="74"/>
      <c r="D904" s="74"/>
    </row>
    <row r="905">
      <c r="B905" s="7"/>
      <c r="C905" s="74"/>
      <c r="D905" s="74"/>
    </row>
    <row r="906">
      <c r="B906" s="7"/>
      <c r="C906" s="74"/>
      <c r="D906" s="74"/>
    </row>
    <row r="907">
      <c r="B907" s="7"/>
      <c r="C907" s="74"/>
      <c r="D907" s="74"/>
    </row>
    <row r="908">
      <c r="B908" s="7"/>
      <c r="C908" s="74"/>
      <c r="D908" s="74"/>
    </row>
    <row r="909">
      <c r="B909" s="7"/>
      <c r="C909" s="74"/>
      <c r="D909" s="74"/>
    </row>
    <row r="910">
      <c r="B910" s="7"/>
      <c r="C910" s="74"/>
      <c r="D910" s="74"/>
    </row>
    <row r="911">
      <c r="B911" s="7"/>
      <c r="C911" s="74"/>
      <c r="D911" s="74"/>
    </row>
    <row r="912">
      <c r="B912" s="7"/>
      <c r="C912" s="74"/>
      <c r="D912" s="74"/>
    </row>
    <row r="913">
      <c r="B913" s="7"/>
      <c r="C913" s="74"/>
      <c r="D913" s="74"/>
    </row>
    <row r="914">
      <c r="B914" s="7"/>
      <c r="C914" s="74"/>
      <c r="D914" s="74"/>
    </row>
    <row r="915">
      <c r="B915" s="7"/>
      <c r="C915" s="74"/>
      <c r="D915" s="74"/>
    </row>
    <row r="916">
      <c r="B916" s="7"/>
      <c r="C916" s="74"/>
      <c r="D916" s="74"/>
    </row>
    <row r="917">
      <c r="B917" s="7"/>
      <c r="C917" s="74"/>
      <c r="D917" s="74"/>
    </row>
    <row r="918">
      <c r="B918" s="7"/>
      <c r="C918" s="74"/>
      <c r="D918" s="74"/>
    </row>
    <row r="919">
      <c r="B919" s="7"/>
      <c r="C919" s="74"/>
      <c r="D919" s="74"/>
    </row>
    <row r="920">
      <c r="B920" s="7"/>
      <c r="C920" s="74"/>
      <c r="D920" s="74"/>
    </row>
    <row r="921">
      <c r="B921" s="7"/>
      <c r="C921" s="74"/>
      <c r="D921" s="74"/>
    </row>
    <row r="922">
      <c r="B922" s="7"/>
      <c r="C922" s="74"/>
      <c r="D922" s="74"/>
    </row>
    <row r="923">
      <c r="B923" s="7"/>
      <c r="C923" s="74"/>
      <c r="D923" s="74"/>
    </row>
    <row r="924">
      <c r="B924" s="7"/>
      <c r="C924" s="74"/>
      <c r="D924" s="74"/>
    </row>
    <row r="925">
      <c r="B925" s="7"/>
      <c r="C925" s="74"/>
      <c r="D925" s="74"/>
    </row>
    <row r="926">
      <c r="B926" s="7"/>
      <c r="C926" s="74"/>
      <c r="D926" s="74"/>
    </row>
    <row r="927">
      <c r="B927" s="7"/>
      <c r="C927" s="74"/>
      <c r="D927" s="74"/>
    </row>
    <row r="928">
      <c r="B928" s="7"/>
      <c r="C928" s="74"/>
      <c r="D928" s="74"/>
    </row>
    <row r="929">
      <c r="B929" s="7"/>
      <c r="C929" s="74"/>
      <c r="D929" s="74"/>
    </row>
    <row r="930">
      <c r="B930" s="7"/>
      <c r="C930" s="74"/>
      <c r="D930" s="74"/>
    </row>
    <row r="931">
      <c r="B931" s="7"/>
      <c r="C931" s="74"/>
      <c r="D931" s="74"/>
    </row>
    <row r="932">
      <c r="B932" s="7"/>
      <c r="C932" s="74"/>
      <c r="D932" s="74"/>
    </row>
    <row r="933">
      <c r="B933" s="7"/>
      <c r="C933" s="74"/>
      <c r="D933" s="74"/>
    </row>
    <row r="934">
      <c r="B934" s="7"/>
      <c r="C934" s="74"/>
      <c r="D934" s="74"/>
    </row>
    <row r="935">
      <c r="B935" s="7"/>
      <c r="C935" s="74"/>
      <c r="D935" s="74"/>
    </row>
    <row r="936">
      <c r="B936" s="7"/>
      <c r="C936" s="74"/>
      <c r="D936" s="74"/>
    </row>
    <row r="937">
      <c r="B937" s="7"/>
      <c r="C937" s="74"/>
      <c r="D937" s="74"/>
    </row>
    <row r="938">
      <c r="B938" s="7"/>
      <c r="C938" s="74"/>
      <c r="D938" s="74"/>
    </row>
    <row r="939">
      <c r="B939" s="7"/>
      <c r="C939" s="74"/>
      <c r="D939" s="74"/>
    </row>
    <row r="940">
      <c r="B940" s="7"/>
      <c r="C940" s="74"/>
      <c r="D940" s="74"/>
    </row>
    <row r="941">
      <c r="B941" s="7"/>
      <c r="C941" s="74"/>
      <c r="D941" s="74"/>
    </row>
    <row r="942">
      <c r="B942" s="7"/>
      <c r="C942" s="74"/>
      <c r="D942" s="74"/>
    </row>
    <row r="943">
      <c r="B943" s="7"/>
      <c r="C943" s="74"/>
      <c r="D943" s="74"/>
    </row>
    <row r="944">
      <c r="B944" s="7"/>
      <c r="C944" s="74"/>
      <c r="D944" s="74"/>
    </row>
    <row r="945">
      <c r="B945" s="7"/>
      <c r="C945" s="74"/>
      <c r="D945" s="74"/>
    </row>
    <row r="946">
      <c r="B946" s="7"/>
      <c r="C946" s="74"/>
      <c r="D946" s="74"/>
    </row>
    <row r="947">
      <c r="B947" s="7"/>
      <c r="C947" s="74"/>
      <c r="D947" s="74"/>
    </row>
    <row r="948">
      <c r="B948" s="7"/>
      <c r="C948" s="74"/>
      <c r="D948" s="74"/>
    </row>
    <row r="949">
      <c r="B949" s="7"/>
      <c r="C949" s="74"/>
      <c r="D949" s="74"/>
    </row>
    <row r="950">
      <c r="B950" s="7"/>
      <c r="C950" s="74"/>
      <c r="D950" s="74"/>
    </row>
    <row r="951">
      <c r="B951" s="7"/>
      <c r="C951" s="74"/>
      <c r="D951" s="74"/>
    </row>
    <row r="952">
      <c r="B952" s="7"/>
      <c r="C952" s="74"/>
      <c r="D952" s="74"/>
    </row>
    <row r="953">
      <c r="B953" s="7"/>
      <c r="C953" s="74"/>
      <c r="D953" s="74"/>
    </row>
    <row r="954">
      <c r="B954" s="7"/>
      <c r="C954" s="74"/>
      <c r="D954" s="74"/>
    </row>
    <row r="955">
      <c r="B955" s="7"/>
      <c r="C955" s="74"/>
      <c r="D955" s="74"/>
    </row>
    <row r="956">
      <c r="B956" s="7"/>
      <c r="C956" s="74"/>
      <c r="D956" s="74"/>
    </row>
    <row r="957">
      <c r="B957" s="7"/>
      <c r="C957" s="74"/>
      <c r="D957" s="74"/>
    </row>
    <row r="958">
      <c r="B958" s="7"/>
      <c r="C958" s="74"/>
      <c r="D958" s="74"/>
    </row>
    <row r="959">
      <c r="B959" s="7"/>
      <c r="C959" s="74"/>
      <c r="D959" s="74"/>
    </row>
    <row r="960">
      <c r="B960" s="7"/>
      <c r="C960" s="74"/>
      <c r="D960" s="74"/>
    </row>
    <row r="961">
      <c r="B961" s="7"/>
      <c r="C961" s="74"/>
      <c r="D961" s="74"/>
    </row>
    <row r="962">
      <c r="B962" s="7"/>
      <c r="C962" s="74"/>
      <c r="D962" s="74"/>
    </row>
    <row r="963">
      <c r="B963" s="7"/>
      <c r="C963" s="74"/>
      <c r="D963" s="74"/>
    </row>
    <row r="964">
      <c r="B964" s="7"/>
      <c r="C964" s="74"/>
      <c r="D964" s="74"/>
    </row>
    <row r="965">
      <c r="B965" s="7"/>
      <c r="C965" s="74"/>
      <c r="D965" s="74"/>
    </row>
    <row r="966">
      <c r="B966" s="7"/>
      <c r="C966" s="74"/>
      <c r="D966" s="74"/>
    </row>
    <row r="967">
      <c r="B967" s="7"/>
      <c r="C967" s="74"/>
      <c r="D967" s="74"/>
    </row>
    <row r="968">
      <c r="B968" s="7"/>
      <c r="C968" s="74"/>
      <c r="D968" s="74"/>
    </row>
    <row r="969">
      <c r="B969" s="7"/>
      <c r="C969" s="74"/>
      <c r="D969" s="74"/>
    </row>
    <row r="970">
      <c r="B970" s="7"/>
      <c r="C970" s="74"/>
      <c r="D970" s="74"/>
    </row>
    <row r="971">
      <c r="B971" s="7"/>
      <c r="C971" s="74"/>
      <c r="D971" s="74"/>
    </row>
    <row r="972">
      <c r="B972" s="7"/>
      <c r="C972" s="74"/>
      <c r="D972" s="74"/>
    </row>
    <row r="973">
      <c r="B973" s="7"/>
      <c r="C973" s="74"/>
      <c r="D973" s="74"/>
    </row>
    <row r="974">
      <c r="B974" s="7"/>
      <c r="C974" s="74"/>
      <c r="D974" s="74"/>
    </row>
    <row r="975">
      <c r="B975" s="7"/>
      <c r="C975" s="74"/>
      <c r="D975" s="74"/>
    </row>
    <row r="976">
      <c r="B976" s="7"/>
      <c r="C976" s="74"/>
      <c r="D976" s="74"/>
    </row>
    <row r="977">
      <c r="B977" s="7"/>
      <c r="C977" s="74"/>
      <c r="D977" s="74"/>
    </row>
    <row r="978">
      <c r="B978" s="7"/>
      <c r="C978" s="74"/>
      <c r="D978" s="74"/>
    </row>
    <row r="979">
      <c r="B979" s="7"/>
      <c r="C979" s="74"/>
      <c r="D979" s="74"/>
    </row>
    <row r="980">
      <c r="B980" s="7"/>
      <c r="C980" s="74"/>
      <c r="D980" s="74"/>
    </row>
    <row r="981">
      <c r="B981" s="7"/>
      <c r="C981" s="74"/>
      <c r="D981" s="74"/>
    </row>
    <row r="982">
      <c r="B982" s="7"/>
      <c r="C982" s="74"/>
      <c r="D982" s="74"/>
    </row>
    <row r="983">
      <c r="B983" s="7"/>
      <c r="C983" s="74"/>
      <c r="D983" s="74"/>
    </row>
    <row r="984">
      <c r="B984" s="7"/>
      <c r="C984" s="74"/>
      <c r="D984" s="74"/>
    </row>
    <row r="985">
      <c r="B985" s="7"/>
      <c r="C985" s="74"/>
      <c r="D985" s="74"/>
    </row>
    <row r="986">
      <c r="B986" s="7"/>
      <c r="C986" s="74"/>
      <c r="D986" s="74"/>
    </row>
    <row r="987">
      <c r="B987" s="7"/>
      <c r="C987" s="74"/>
      <c r="D987" s="74"/>
    </row>
    <row r="988">
      <c r="B988" s="7"/>
      <c r="C988" s="74"/>
      <c r="D988" s="74"/>
    </row>
    <row r="989">
      <c r="B989" s="7"/>
      <c r="C989" s="74"/>
      <c r="D989" s="74"/>
    </row>
    <row r="990">
      <c r="B990" s="7"/>
      <c r="C990" s="74"/>
      <c r="D990" s="74"/>
    </row>
    <row r="991">
      <c r="B991" s="7"/>
      <c r="C991" s="74"/>
      <c r="D991" s="74"/>
    </row>
    <row r="992">
      <c r="B992" s="7"/>
      <c r="C992" s="74"/>
      <c r="D992" s="74"/>
    </row>
    <row r="993">
      <c r="B993" s="7"/>
      <c r="C993" s="74"/>
      <c r="D993" s="74"/>
    </row>
    <row r="994">
      <c r="B994" s="7"/>
      <c r="C994" s="74"/>
      <c r="D994" s="74"/>
    </row>
    <row r="995">
      <c r="B995" s="7"/>
      <c r="C995" s="74"/>
      <c r="D995" s="74"/>
    </row>
    <row r="996">
      <c r="B996" s="7"/>
      <c r="C996" s="74"/>
      <c r="D996" s="74"/>
    </row>
    <row r="997">
      <c r="B997" s="7"/>
      <c r="C997" s="74"/>
      <c r="D997" s="74"/>
    </row>
    <row r="998">
      <c r="B998" s="7"/>
      <c r="C998" s="74"/>
      <c r="D998" s="74"/>
    </row>
    <row r="999">
      <c r="B999" s="7"/>
      <c r="C999" s="74"/>
      <c r="D999" s="74"/>
    </row>
    <row r="1000">
      <c r="B1000" s="7"/>
      <c r="C1000" s="74"/>
      <c r="D1000" s="74"/>
    </row>
  </sheetData>
  <mergeCells count="6">
    <mergeCell ref="B2:B7"/>
    <mergeCell ref="B8:B9"/>
    <mergeCell ref="B10:B13"/>
    <mergeCell ref="B46:B49"/>
    <mergeCell ref="B50:B54"/>
    <mergeCell ref="B55:B56"/>
  </mergeCells>
  <hyperlinks>
    <hyperlink r:id="rId1" ref="B2"/>
    <hyperlink r:id="rId2" ref="B8"/>
    <hyperlink r:id="rId3" ref="B10"/>
    <hyperlink r:id="rId4" ref="B14"/>
    <hyperlink r:id="rId5" ref="B15"/>
    <hyperlink r:id="rId6" ref="B16"/>
    <hyperlink r:id="rId7" ref="B17"/>
    <hyperlink r:id="rId8" ref="B18"/>
    <hyperlink r:id="rId9" ref="B19"/>
    <hyperlink r:id="rId10" ref="B20"/>
    <hyperlink r:id="rId11" ref="B21"/>
    <hyperlink r:id="rId12" ref="B22"/>
    <hyperlink r:id="rId13" ref="B23"/>
    <hyperlink r:id="rId14" ref="B24"/>
    <hyperlink r:id="rId15" ref="B25"/>
    <hyperlink r:id="rId16" ref="B26"/>
    <hyperlink r:id="rId17" ref="B27"/>
    <hyperlink r:id="rId18" ref="B28"/>
    <hyperlink r:id="rId19" ref="B29"/>
    <hyperlink r:id="rId20" ref="B30"/>
    <hyperlink r:id="rId21" ref="B31"/>
    <hyperlink r:id="rId22" ref="B32"/>
    <hyperlink r:id="rId23" ref="B33"/>
    <hyperlink r:id="rId24" ref="B34"/>
    <hyperlink r:id="rId25" ref="B35"/>
    <hyperlink r:id="rId26" ref="B36"/>
    <hyperlink r:id="rId27" ref="B37"/>
    <hyperlink r:id="rId28" ref="B38"/>
    <hyperlink r:id="rId29" ref="B39"/>
    <hyperlink r:id="rId30" ref="B40"/>
    <hyperlink r:id="rId31" ref="B41"/>
    <hyperlink r:id="rId32" ref="B42"/>
    <hyperlink r:id="rId33" ref="B43"/>
    <hyperlink r:id="rId34" ref="B44"/>
    <hyperlink r:id="rId35" ref="B45"/>
    <hyperlink r:id="rId36" ref="B46"/>
    <hyperlink r:id="rId37" ref="B50"/>
    <hyperlink r:id="rId38" ref="B55"/>
  </hyperlinks>
  <drawing r:id="rId3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86"/>
    <col customWidth="1" min="2" max="2" width="40.14"/>
    <col customWidth="1" min="3" max="3" width="26.14"/>
    <col customWidth="1" min="4" max="4" width="29.43"/>
  </cols>
  <sheetData>
    <row r="1">
      <c r="A1" s="56" t="s">
        <v>1208</v>
      </c>
      <c r="B1" s="57" t="s">
        <v>6</v>
      </c>
      <c r="C1" s="5" t="s">
        <v>7</v>
      </c>
      <c r="D1" s="5" t="s">
        <v>8</v>
      </c>
    </row>
    <row r="2">
      <c r="A2" s="9" t="s">
        <v>392</v>
      </c>
      <c r="B2" s="31" t="s">
        <v>1470</v>
      </c>
      <c r="C2" s="9" t="s">
        <v>12</v>
      </c>
      <c r="D2" s="9" t="s">
        <v>13</v>
      </c>
    </row>
    <row r="3">
      <c r="A3" s="7" t="str">
        <f>IFERROR(__xludf.DUMMYFUNCTION("JOIN(""-"",""app"",SPLIT(LOWER( C3),"" ""))"),"app-manage-data-with-ease!")</f>
        <v>app-manage-data-with-ease!</v>
      </c>
      <c r="C3" s="9" t="s">
        <v>1471</v>
      </c>
      <c r="D3" s="9" t="s">
        <v>1472</v>
      </c>
    </row>
    <row r="4">
      <c r="A4" s="9" t="s">
        <v>837</v>
      </c>
      <c r="B4" s="31" t="s">
        <v>1473</v>
      </c>
      <c r="C4" s="9" t="s">
        <v>841</v>
      </c>
      <c r="D4" s="9" t="s">
        <v>842</v>
      </c>
    </row>
    <row r="5">
      <c r="A5" s="9" t="s">
        <v>673</v>
      </c>
      <c r="C5" s="9" t="s">
        <v>446</v>
      </c>
      <c r="D5" s="9" t="s">
        <v>447</v>
      </c>
    </row>
    <row r="6">
      <c r="A6" s="9" t="s">
        <v>1474</v>
      </c>
      <c r="B6" s="31" t="s">
        <v>1475</v>
      </c>
      <c r="C6" s="9" t="s">
        <v>1476</v>
      </c>
      <c r="D6" s="9" t="s">
        <v>1477</v>
      </c>
    </row>
    <row r="7">
      <c r="A7" s="7" t="str">
        <f>IFERROR(__xludf.DUMMYFUNCTION("JOIN(""-"",""app"",SPLIT(LOWER( C7),"" ""))"),"app-due-date")</f>
        <v>app-due-date</v>
      </c>
      <c r="C7" s="9" t="s">
        <v>443</v>
      </c>
      <c r="D7" s="9" t="s">
        <v>1478</v>
      </c>
    </row>
    <row r="8">
      <c r="A8" s="9" t="s">
        <v>338</v>
      </c>
      <c r="C8" s="9" t="s">
        <v>339</v>
      </c>
      <c r="D8" s="9" t="s">
        <v>340</v>
      </c>
    </row>
    <row r="9">
      <c r="A9" s="9" t="s">
        <v>1479</v>
      </c>
      <c r="C9" s="9" t="s">
        <v>1480</v>
      </c>
      <c r="D9" s="9" t="s">
        <v>1481</v>
      </c>
    </row>
    <row r="10">
      <c r="A10" s="9" t="s">
        <v>1482</v>
      </c>
      <c r="C10" s="9" t="s">
        <v>1483</v>
      </c>
      <c r="D10" s="9" t="s">
        <v>1484</v>
      </c>
    </row>
    <row r="11">
      <c r="A11" s="75" t="str">
        <f>IFERROR(__xludf.DUMMYFUNCTION("JOIN(""-"",""app"",SPLIT(LOWER( C11),"" ""))"),"app-select-due-date-range")</f>
        <v>app-select-due-date-range</v>
      </c>
      <c r="B11" s="31" t="s">
        <v>1485</v>
      </c>
      <c r="C11" s="9" t="s">
        <v>1486</v>
      </c>
      <c r="D11" s="9" t="s">
        <v>1487</v>
      </c>
    </row>
    <row r="12">
      <c r="A12" s="9" t="s">
        <v>926</v>
      </c>
      <c r="B12" s="31" t="s">
        <v>1488</v>
      </c>
      <c r="C12" s="9" t="s">
        <v>927</v>
      </c>
      <c r="D12" s="9" t="s">
        <v>1034</v>
      </c>
    </row>
    <row r="13">
      <c r="A13" s="7" t="str">
        <f>IFERROR(__xludf.DUMMYFUNCTION("JOIN(""-"",""app"",SPLIT(LOWER( C13),"" ""))"),"app-overdue")</f>
        <v>app-overdue</v>
      </c>
      <c r="C13" s="9" t="s">
        <v>1489</v>
      </c>
      <c r="D13" s="9" t="s">
        <v>1490</v>
      </c>
    </row>
    <row r="14">
      <c r="A14" s="7" t="str">
        <f>IFERROR(__xludf.DUMMYFUNCTION("JOIN(""-"",""app"",SPLIT(LOWER( C14),"" ""))"),"app-today")</f>
        <v>app-today</v>
      </c>
      <c r="B14" s="31" t="s">
        <v>1491</v>
      </c>
      <c r="C14" s="9" t="s">
        <v>1492</v>
      </c>
      <c r="D14" s="9" t="s">
        <v>1493</v>
      </c>
      <c r="F14" s="76"/>
    </row>
    <row r="15">
      <c r="A15" s="7" t="str">
        <f>IFERROR(__xludf.DUMMYFUNCTION("JOIN(""-"",""app"",SPLIT(LOWER( C15),"" ""))"),"app-upcoming")</f>
        <v>app-upcoming</v>
      </c>
      <c r="C15" s="9" t="s">
        <v>1494</v>
      </c>
      <c r="D15" s="9" t="s">
        <v>1495</v>
      </c>
    </row>
    <row r="16">
      <c r="A16" s="7" t="str">
        <f>IFERROR(__xludf.DUMMYFUNCTION("JOIN(""-"",""app"",SPLIT(LOWER( C16),"" ""))"),"app-unscheduled")</f>
        <v>app-unscheduled</v>
      </c>
      <c r="B16" s="31" t="s">
        <v>1496</v>
      </c>
      <c r="C16" s="9" t="s">
        <v>1497</v>
      </c>
      <c r="D16" s="9" t="s">
        <v>1498</v>
      </c>
    </row>
    <row r="17">
      <c r="A17" s="7" t="str">
        <f>IFERROR(__xludf.DUMMYFUNCTION("JOIN(""-"",""app"",SPLIT(LOWER( C17),"" ""))"),"app-submitted")</f>
        <v>app-submitted</v>
      </c>
      <c r="B17" s="31" t="s">
        <v>1499</v>
      </c>
      <c r="C17" s="9" t="s">
        <v>448</v>
      </c>
      <c r="D17" s="9" t="s">
        <v>449</v>
      </c>
    </row>
    <row r="18">
      <c r="A18" s="7" t="str">
        <f>IFERROR(__xludf.DUMMYFUNCTION("JOIN(""-"",""app"",SPLIT(LOWER( C18),"" ""))"),"app-submitted-by")</f>
        <v>app-submitted-by</v>
      </c>
      <c r="C18" s="9" t="s">
        <v>1500</v>
      </c>
      <c r="D18" s="9" t="s">
        <v>1501</v>
      </c>
    </row>
    <row r="19">
      <c r="A19" s="7" t="str">
        <f>IFERROR(__xludf.DUMMYFUNCTION("JOIN(""-"",""app"",SPLIT(LOWER( C19),"" ""))"),"app-submitted-on")</f>
        <v>app-submitted-on</v>
      </c>
      <c r="C19" s="9" t="s">
        <v>1502</v>
      </c>
      <c r="D19" s="9" t="s">
        <v>1503</v>
      </c>
    </row>
    <row r="20">
      <c r="A20" s="7" t="str">
        <f>IFERROR(__xludf.DUMMYFUNCTION("JOIN(""-"",""app"",SPLIT(LOWER( C20),"" ""))"),"app-uh-oh,-looks-like-you-haven't-submitted-any-forms")</f>
        <v>app-uh-oh,-looks-like-you-haven't-submitted-any-forms</v>
      </c>
      <c r="B20" s="31" t="s">
        <v>1504</v>
      </c>
      <c r="C20" s="9" t="s">
        <v>1505</v>
      </c>
      <c r="D20" s="9" t="s">
        <v>1506</v>
      </c>
    </row>
    <row r="21">
      <c r="A21" s="7" t="str">
        <f>IFERROR(__xludf.DUMMYFUNCTION("JOIN(""-"",""app"",SPLIT(LOWER( C21),"" ""))"),"app-all-the-forms-that-you-submit-will-be-displayed-here")</f>
        <v>app-all-the-forms-that-you-submit-will-be-displayed-here</v>
      </c>
      <c r="C21" s="9" t="s">
        <v>1507</v>
      </c>
      <c r="D21" s="9" t="s">
        <v>1508</v>
      </c>
    </row>
    <row r="22">
      <c r="A22" s="7" t="str">
        <f>IFERROR(__xludf.DUMMYFUNCTION("JOIN(""-"",""app"",SPLIT(LOWER( C22),"" ""))"),"app-published")</f>
        <v>app-published</v>
      </c>
      <c r="B22" s="31" t="s">
        <v>1509</v>
      </c>
      <c r="C22" s="9" t="s">
        <v>450</v>
      </c>
      <c r="D22" s="9" t="s">
        <v>451</v>
      </c>
    </row>
    <row r="23">
      <c r="A23" s="7" t="str">
        <f>IFERROR(__xludf.DUMMYFUNCTION("JOIN(""-"",""app"",SPLIT(LOWER( C23),"" ""))"),"app-draft")</f>
        <v>app-draft</v>
      </c>
      <c r="C23" s="9" t="s">
        <v>452</v>
      </c>
      <c r="D23" s="9" t="s">
        <v>453</v>
      </c>
    </row>
    <row r="24">
      <c r="A24" s="7" t="str">
        <f>IFERROR(__xludf.DUMMYFUNCTION("JOIN(""-"",""app"",SPLIT(LOWER( C24),"" ""))"),"app-you-are-yet-to-publish-forms")</f>
        <v>app-you-are-yet-to-publish-forms</v>
      </c>
      <c r="C24" s="9" t="s">
        <v>1510</v>
      </c>
      <c r="D24" s="9" t="s">
        <v>1511</v>
      </c>
    </row>
    <row r="25">
      <c r="A25" s="7" t="str">
        <f>IFERROR(__xludf.DUMMYFUNCTION("JOIN(""-"",""app"",SPLIT(LOWER( C25),"" ""))"),"app-please-come-back-once-you-have-published-a-form")</f>
        <v>app-please-come-back-once-you-have-published-a-form</v>
      </c>
      <c r="C25" s="9" t="s">
        <v>1512</v>
      </c>
      <c r="D25" s="9" t="s">
        <v>1513</v>
      </c>
    </row>
    <row r="26">
      <c r="A26" s="7" t="str">
        <f>IFERROR(__xludf.DUMMYFUNCTION("JOIN(""-"",""app"",SPLIT(LOWER( C26),"" ""))"),"app-new-form")</f>
        <v>app-new-form</v>
      </c>
      <c r="C26" s="9" t="s">
        <v>465</v>
      </c>
      <c r="D26" s="9" t="s">
        <v>466</v>
      </c>
    </row>
    <row r="27">
      <c r="A27" s="7" t="str">
        <f>IFERROR(__xludf.DUMMYFUNCTION("JOIN(""-"",""app"",SPLIT(LOWER( C27),"" ""))"),"app-untitled-form")</f>
        <v>app-untitled-form</v>
      </c>
      <c r="B27" s="31" t="s">
        <v>1514</v>
      </c>
      <c r="C27" s="9" t="s">
        <v>1515</v>
      </c>
      <c r="D27" s="9" t="s">
        <v>1516</v>
      </c>
    </row>
    <row r="28">
      <c r="A28" s="7" t="str">
        <f>IFERROR(__xludf.DUMMYFUNCTION("JOIN(""-"",""app"",SPLIT(LOWER( C28),"" ""))"),"app-all-changes-saved")</f>
        <v>app-all-changes-saved</v>
      </c>
      <c r="C28" s="9" t="s">
        <v>1517</v>
      </c>
      <c r="D28" s="9" t="s">
        <v>1518</v>
      </c>
    </row>
    <row r="29">
      <c r="A29" s="7" t="str">
        <f>IFERROR(__xludf.DUMMYFUNCTION("JOIN(""-"",""app"",SPLIT(LOWER( C29),"" ""))"),"app-created-by")</f>
        <v>app-created-by</v>
      </c>
      <c r="C29" s="9" t="s">
        <v>1476</v>
      </c>
      <c r="D29" s="9" t="s">
        <v>1477</v>
      </c>
    </row>
    <row r="30">
      <c r="A30" s="7" t="str">
        <f>IFERROR(__xludf.DUMMYFUNCTION("JOIN(""-"",""app"",SPLIT(LOWER( C30),"" ""))"),"app-add-logo")</f>
        <v>app-add-logo</v>
      </c>
      <c r="C30" s="9" t="s">
        <v>1519</v>
      </c>
      <c r="D30" s="9" t="s">
        <v>1520</v>
      </c>
    </row>
    <row r="31">
      <c r="A31" s="7" t="str">
        <f>IFERROR(__xludf.DUMMYFUNCTION("JOIN(""-"",""app"",SPLIT(LOWER( C31),"" ""))"),"app-loading")</f>
        <v>app-loading</v>
      </c>
      <c r="C31" s="9" t="s">
        <v>1521</v>
      </c>
      <c r="D31" s="9" t="s">
        <v>1522</v>
      </c>
    </row>
    <row r="32">
      <c r="A32" s="7" t="str">
        <f>IFERROR(__xludf.DUMMYFUNCTION("JOIN(""-"",""app"",SPLIT(LOWER( C32),"" ""))"),"app-description-about-the-form-here")</f>
        <v>app-description-about-the-form-here</v>
      </c>
      <c r="B32" s="31" t="s">
        <v>1523</v>
      </c>
      <c r="C32" s="9" t="s">
        <v>1524</v>
      </c>
      <c r="D32" s="9" t="s">
        <v>1525</v>
      </c>
    </row>
    <row r="33">
      <c r="A33" s="7" t="str">
        <f>IFERROR(__xludf.DUMMYFUNCTION("JOIN(""-"",""app"",SPLIT(LOWER( C33),"" ""))"),"app-add-section")</f>
        <v>app-add-section</v>
      </c>
      <c r="C33" s="9" t="s">
        <v>1526</v>
      </c>
      <c r="D33" s="9" t="s">
        <v>1527</v>
      </c>
    </row>
    <row r="34">
      <c r="A34" s="7" t="str">
        <f>IFERROR(__xludf.DUMMYFUNCTION("JOIN(""-"",""app"",SPLIT(LOWER( C34),"" ""))"),"app-section-1")</f>
        <v>app-section-1</v>
      </c>
      <c r="B34" s="31" t="s">
        <v>1528</v>
      </c>
      <c r="C34" s="9" t="s">
        <v>1529</v>
      </c>
      <c r="D34" s="9" t="s">
        <v>1530</v>
      </c>
    </row>
    <row r="35">
      <c r="A35" s="7" t="str">
        <f>IFERROR(__xludf.DUMMYFUNCTION("JOIN(""-"",""app"",SPLIT(LOWER( C35),"" ""))"),"app-untitled-section")</f>
        <v>app-untitled-section</v>
      </c>
      <c r="C35" s="9" t="s">
        <v>1531</v>
      </c>
      <c r="D35" s="9" t="s">
        <v>1532</v>
      </c>
    </row>
    <row r="36">
      <c r="A36" s="7" t="str">
        <f>IFERROR(__xludf.DUMMYFUNCTION("JOIN(""-"",""app"",SPLIT(LOWER( C36),"" ""))"),"app-remove")</f>
        <v>app-remove</v>
      </c>
      <c r="C36" s="9" t="s">
        <v>1533</v>
      </c>
      <c r="D36" s="9" t="s">
        <v>260</v>
      </c>
    </row>
    <row r="37">
      <c r="A37" s="7" t="str">
        <f>IFERROR(__xludf.DUMMYFUNCTION("JOIN(""-"",""app"",SPLIT(LOWER( C37),"" ""))"),"app-add")</f>
        <v>app-add</v>
      </c>
      <c r="B37" s="31" t="s">
        <v>1534</v>
      </c>
      <c r="C37" s="9" t="s">
        <v>266</v>
      </c>
      <c r="D37" s="9" t="s">
        <v>267</v>
      </c>
    </row>
    <row r="38">
      <c r="A38" s="7" t="str">
        <f>IFERROR(__xludf.DUMMYFUNCTION("JOIN(""-"",""app"",SPLIT(LOWER( C38),"" ""))"),"app-select-fields-or-templates")</f>
        <v>app-select-fields-or-templates</v>
      </c>
      <c r="C38" s="9" t="s">
        <v>1535</v>
      </c>
      <c r="D38" s="9" t="s">
        <v>1536</v>
      </c>
    </row>
    <row r="39">
      <c r="A39" s="7" t="str">
        <f>IFERROR(__xludf.DUMMYFUNCTION("JOIN(""-"",""app"",SPLIT(LOWER( C39),"" ""))"),"app-text-field")</f>
        <v>app-text-field</v>
      </c>
      <c r="C39" s="9" t="s">
        <v>1537</v>
      </c>
      <c r="D39" s="9" t="s">
        <v>1538</v>
      </c>
    </row>
    <row r="40">
      <c r="A40" s="7" t="str">
        <f>IFERROR(__xludf.DUMMYFUNCTION("JOIN(""-"",""app"",SPLIT(LOWER( C40),"" ""))"),"app-untitled")</f>
        <v>app-untitled</v>
      </c>
      <c r="B40" s="31" t="s">
        <v>1539</v>
      </c>
      <c r="C40" s="9" t="s">
        <v>1540</v>
      </c>
      <c r="D40" s="9" t="s">
        <v>1541</v>
      </c>
    </row>
    <row r="41">
      <c r="A41" s="7" t="str">
        <f>IFERROR(__xludf.DUMMYFUNCTION("JOIN(""-"",""app"",SPLIT(LOWER( C41),"" ""))"),"app-placeholder-text-here")</f>
        <v>app-placeholder-text-here</v>
      </c>
      <c r="C41" s="9" t="s">
        <v>1542</v>
      </c>
      <c r="D41" s="9" t="s">
        <v>1543</v>
      </c>
    </row>
    <row r="42">
      <c r="A42" s="7" t="str">
        <f>IFERROR(__xludf.DUMMYFUNCTION("JOIN(""-"",""app"",SPLIT(LOWER( C42),"" ""))"),"app-max.-characters-allowed")</f>
        <v>app-max.-characters-allowed</v>
      </c>
      <c r="C42" s="9" t="s">
        <v>1544</v>
      </c>
      <c r="D42" s="9" t="s">
        <v>1545</v>
      </c>
    </row>
    <row r="43">
      <c r="A43" s="7" t="str">
        <f>IFERROR(__xludf.DUMMYFUNCTION("JOIN(""-"",""app"",SPLIT(LOWER( C43),"" ""))"),"app-optional")</f>
        <v>app-optional</v>
      </c>
      <c r="B43" s="31" t="s">
        <v>1546</v>
      </c>
      <c r="C43" s="9" t="s">
        <v>1547</v>
      </c>
      <c r="D43" s="9" t="s">
        <v>1548</v>
      </c>
    </row>
    <row r="44">
      <c r="A44" s="7" t="str">
        <f>IFERROR(__xludf.DUMMYFUNCTION("JOIN(""-"",""app"",SPLIT(LOWER( C44),"" ""))"),"app-mandatory")</f>
        <v>app-mandatory</v>
      </c>
      <c r="B44" s="31" t="s">
        <v>1549</v>
      </c>
      <c r="C44" s="9" t="s">
        <v>1550</v>
      </c>
      <c r="D44" s="9" t="s">
        <v>1551</v>
      </c>
    </row>
    <row r="45">
      <c r="A45" s="7" t="str">
        <f>IFERROR(__xludf.DUMMYFUNCTION("JOIN(""-"",""app"",SPLIT(LOWER( C45),"" ""))"),"app-remove")</f>
        <v>app-remove</v>
      </c>
      <c r="B45" s="31" t="s">
        <v>1552</v>
      </c>
      <c r="C45" s="9" t="s">
        <v>1533</v>
      </c>
      <c r="D45" s="9" t="s">
        <v>260</v>
      </c>
    </row>
    <row r="46">
      <c r="A46" s="7" t="str">
        <f>IFERROR(__xludf.DUMMYFUNCTION("JOIN(""-"",""app"",SPLIT(LOWER( C46),"" ""))"),"app-include-subtitle")</f>
        <v>app-include-subtitle</v>
      </c>
      <c r="B46" s="31" t="s">
        <v>1553</v>
      </c>
      <c r="C46" s="9" t="s">
        <v>1554</v>
      </c>
      <c r="D46" s="9" t="s">
        <v>1555</v>
      </c>
    </row>
    <row r="47">
      <c r="A47" s="7" t="str">
        <f>IFERROR(__xludf.DUMMYFUNCTION("JOIN(""-"",""app"",SPLIT(LOWER( C47),"" ""))"),"app-subtitle")</f>
        <v>app-subtitle</v>
      </c>
      <c r="B47" s="31" t="s">
        <v>1556</v>
      </c>
      <c r="C47" s="9" t="s">
        <v>1557</v>
      </c>
      <c r="D47" s="9" t="s">
        <v>1558</v>
      </c>
    </row>
    <row r="48">
      <c r="A48" s="7" t="str">
        <f>IFERROR(__xludf.DUMMYFUNCTION("JOIN(""-"",""app"",SPLIT(LOWER( C48),"" ""))"),"app-hide-subtitle")</f>
        <v>app-hide-subtitle</v>
      </c>
      <c r="C48" s="9" t="s">
        <v>1559</v>
      </c>
      <c r="D48" s="9" t="s">
        <v>1560</v>
      </c>
    </row>
    <row r="49">
      <c r="A49" s="7" t="str">
        <f>IFERROR(__xludf.DUMMYFUNCTION("JOIN(""-"",""app"",SPLIT(LOWER( C49),"" ""))"),"app-rich-text-field")</f>
        <v>app-rich-text-field</v>
      </c>
      <c r="B49" s="31" t="s">
        <v>1561</v>
      </c>
      <c r="C49" s="9" t="s">
        <v>1562</v>
      </c>
      <c r="D49" s="9" t="s">
        <v>1563</v>
      </c>
    </row>
    <row r="50">
      <c r="A50" s="7" t="str">
        <f>IFERROR(__xludf.DUMMYFUNCTION("JOIN(""-"",""app"",SPLIT(LOWER( C50),"" ""))"),"app-template-name")</f>
        <v>app-template-name</v>
      </c>
      <c r="B50" s="31" t="s">
        <v>1564</v>
      </c>
      <c r="C50" s="9" t="s">
        <v>1565</v>
      </c>
      <c r="D50" s="9" t="s">
        <v>1566</v>
      </c>
    </row>
    <row r="51">
      <c r="A51" s="7" t="str">
        <f>IFERROR(__xludf.DUMMYFUNCTION("JOIN(""-"",""app"",SPLIT(LOWER( C51),"" ""))"),"app-checkbox")</f>
        <v>app-checkbox</v>
      </c>
      <c r="B51" s="31" t="s">
        <v>1567</v>
      </c>
      <c r="C51" s="9" t="s">
        <v>1568</v>
      </c>
      <c r="D51" s="9" t="s">
        <v>1569</v>
      </c>
    </row>
    <row r="52">
      <c r="A52" s="7" t="str">
        <f>IFERROR(__xludf.DUMMYFUNCTION("JOIN(""-"",""app"",SPLIT(LOWER( C52),"" ""))"),"app-option-1")</f>
        <v>app-option-1</v>
      </c>
      <c r="C52" s="9" t="s">
        <v>1570</v>
      </c>
      <c r="D52" s="9" t="s">
        <v>1571</v>
      </c>
    </row>
    <row r="53">
      <c r="A53" s="7" t="str">
        <f>IFERROR(__xludf.DUMMYFUNCTION("JOIN(""-"",""app"",SPLIT(LOWER( C53),"" ""))"),"app-add-new-checkbox")</f>
        <v>app-add-new-checkbox</v>
      </c>
      <c r="C53" s="9" t="s">
        <v>1572</v>
      </c>
      <c r="D53" s="9" t="s">
        <v>1573</v>
      </c>
    </row>
    <row r="54">
      <c r="A54" s="7" t="str">
        <f>IFERROR(__xludf.DUMMYFUNCTION("JOIN(""-"",""app"",SPLIT(LOWER( C54),"" ""))"),"app-dropdown")</f>
        <v>app-dropdown</v>
      </c>
      <c r="B54" s="31" t="s">
        <v>1574</v>
      </c>
      <c r="C54" s="9" t="s">
        <v>1575</v>
      </c>
      <c r="D54" s="9" t="s">
        <v>1576</v>
      </c>
    </row>
    <row r="55">
      <c r="A55" s="7" t="str">
        <f>IFERROR(__xludf.DUMMYFUNCTION("JOIN(""-"",""app"",SPLIT(LOWER( C55),"" ""))"),"app-add-option")</f>
        <v>app-add-option</v>
      </c>
      <c r="C55" s="9" t="s">
        <v>1577</v>
      </c>
      <c r="D55" s="9" t="s">
        <v>1578</v>
      </c>
    </row>
    <row r="56">
      <c r="A56" s="7" t="str">
        <f>IFERROR(__xludf.DUMMYFUNCTION("JOIN(""-"",""app"",SPLIT(LOWER( C56),"" ""))"),"app-radio")</f>
        <v>app-radio</v>
      </c>
      <c r="B56" s="31" t="s">
        <v>1579</v>
      </c>
      <c r="C56" s="9" t="s">
        <v>1580</v>
      </c>
      <c r="D56" s="9" t="s">
        <v>1580</v>
      </c>
    </row>
    <row r="57">
      <c r="A57" s="7" t="str">
        <f>IFERROR(__xludf.DUMMYFUNCTION("JOIN(""-"",""app"",SPLIT(LOWER( C57),"" ""))"),"app-number")</f>
        <v>app-number</v>
      </c>
      <c r="B57" s="31" t="s">
        <v>1581</v>
      </c>
      <c r="C57" s="9" t="s">
        <v>1582</v>
      </c>
      <c r="D57" s="9" t="s">
        <v>1583</v>
      </c>
    </row>
    <row r="58">
      <c r="A58" s="7" t="str">
        <f>IFERROR(__xludf.DUMMYFUNCTION("JOIN(""-"",""app"",SPLIT(LOWER( C58),"" ""))"),"app-placeholder-number-here")</f>
        <v>app-placeholder-number-here</v>
      </c>
      <c r="C58" s="9" t="s">
        <v>1584</v>
      </c>
      <c r="D58" s="9" t="s">
        <v>1585</v>
      </c>
    </row>
    <row r="59">
      <c r="A59" s="7" t="str">
        <f>IFERROR(__xludf.DUMMYFUNCTION("JOIN(""-"",""app"",SPLIT(LOWER( C59),"" ""))"),"app-min-value-allowed")</f>
        <v>app-min-value-allowed</v>
      </c>
      <c r="C59" s="9" t="s">
        <v>1586</v>
      </c>
      <c r="D59" s="9" t="s">
        <v>1587</v>
      </c>
    </row>
    <row r="60">
      <c r="A60" s="7" t="str">
        <f>IFERROR(__xludf.DUMMYFUNCTION("JOIN(""-"",""app"",SPLIT(LOWER( C60),"" ""))"),"app-max-value-allowed")</f>
        <v>app-max-value-allowed</v>
      </c>
      <c r="C60" s="9" t="s">
        <v>1588</v>
      </c>
      <c r="D60" s="9" t="s">
        <v>1589</v>
      </c>
    </row>
    <row r="61">
      <c r="A61" s="7" t="str">
        <f>IFERROR(__xludf.DUMMYFUNCTION("JOIN(""-"",""app"",SPLIT(LOWER( C61),"" ""))"),"app-date-&amp;-time")</f>
        <v>app-date-&amp;-time</v>
      </c>
      <c r="B61" s="31" t="s">
        <v>1590</v>
      </c>
      <c r="C61" s="9" t="s">
        <v>1591</v>
      </c>
      <c r="D61" s="9" t="s">
        <v>1592</v>
      </c>
    </row>
    <row r="62">
      <c r="A62" s="7" t="str">
        <f>IFERROR(__xludf.DUMMYFUNCTION("JOIN(""-"",""app"",SPLIT(LOWER( C62),"" ""))"),"app-dd/mm/yyyy")</f>
        <v>app-dd/mm/yyyy</v>
      </c>
      <c r="C62" s="9" t="s">
        <v>1593</v>
      </c>
      <c r="D62" s="9" t="s">
        <v>1594</v>
      </c>
    </row>
    <row r="63">
      <c r="A63" s="7" t="str">
        <f>IFERROR(__xludf.DUMMYFUNCTION("JOIN(""-"",""app"",SPLIT(LOWER( C63),"" ""))"),"app-january")</f>
        <v>app-january</v>
      </c>
      <c r="B63" s="31" t="s">
        <v>1595</v>
      </c>
      <c r="C63" s="9" t="s">
        <v>102</v>
      </c>
      <c r="D63" s="9" t="s">
        <v>103</v>
      </c>
    </row>
    <row r="64">
      <c r="A64" s="7" t="str">
        <f>IFERROR(__xludf.DUMMYFUNCTION("JOIN(""-"",""app"",SPLIT(LOWER( C64),"" ""))"),"app-february")</f>
        <v>app-february</v>
      </c>
      <c r="C64" s="9" t="s">
        <v>104</v>
      </c>
      <c r="D64" s="9" t="s">
        <v>105</v>
      </c>
    </row>
    <row r="65">
      <c r="A65" s="7" t="str">
        <f>IFERROR(__xludf.DUMMYFUNCTION("JOIN(""-"",""app"",SPLIT(LOWER( C65),"" ""))"),"app-march")</f>
        <v>app-march</v>
      </c>
      <c r="C65" s="9" t="s">
        <v>106</v>
      </c>
      <c r="D65" s="9" t="s">
        <v>107</v>
      </c>
    </row>
    <row r="66">
      <c r="A66" s="7" t="str">
        <f>IFERROR(__xludf.DUMMYFUNCTION("JOIN(""-"",""app"",SPLIT(LOWER( C66),"" ""))"),"app-april")</f>
        <v>app-april</v>
      </c>
      <c r="C66" s="9" t="s">
        <v>108</v>
      </c>
      <c r="D66" s="9" t="s">
        <v>109</v>
      </c>
    </row>
    <row r="67">
      <c r="A67" s="7" t="str">
        <f>IFERROR(__xludf.DUMMYFUNCTION("JOIN(""-"",""app"",SPLIT(LOWER( C67),"" ""))"),"app-may")</f>
        <v>app-may</v>
      </c>
      <c r="C67" s="9" t="s">
        <v>110</v>
      </c>
      <c r="D67" s="9" t="s">
        <v>111</v>
      </c>
    </row>
    <row r="68">
      <c r="A68" s="7" t="str">
        <f>IFERROR(__xludf.DUMMYFUNCTION("JOIN(""-"",""app"",SPLIT(LOWER( C68),"" ""))"),"app-june")</f>
        <v>app-june</v>
      </c>
      <c r="C68" s="9" t="s">
        <v>112</v>
      </c>
      <c r="D68" s="9" t="s">
        <v>113</v>
      </c>
    </row>
    <row r="69">
      <c r="A69" s="7" t="str">
        <f>IFERROR(__xludf.DUMMYFUNCTION("JOIN(""-"",""app"",SPLIT(LOWER( C69),"" ""))"),"app-july")</f>
        <v>app-july</v>
      </c>
      <c r="C69" s="9" t="s">
        <v>114</v>
      </c>
      <c r="D69" s="9" t="s">
        <v>115</v>
      </c>
    </row>
    <row r="70">
      <c r="A70" s="7" t="str">
        <f>IFERROR(__xludf.DUMMYFUNCTION("JOIN(""-"",""app"",SPLIT(LOWER( C70),"" ""))"),"app-august")</f>
        <v>app-august</v>
      </c>
      <c r="C70" s="9" t="s">
        <v>116</v>
      </c>
      <c r="D70" s="9" t="s">
        <v>117</v>
      </c>
    </row>
    <row r="71">
      <c r="A71" s="7" t="str">
        <f>IFERROR(__xludf.DUMMYFUNCTION("JOIN(""-"",""app"",SPLIT(LOWER( C71),"" ""))"),"app-september")</f>
        <v>app-september</v>
      </c>
      <c r="C71" s="9" t="s">
        <v>118</v>
      </c>
      <c r="D71" s="9" t="s">
        <v>119</v>
      </c>
    </row>
    <row r="72">
      <c r="A72" s="7" t="str">
        <f>IFERROR(__xludf.DUMMYFUNCTION("JOIN(""-"",""app"",SPLIT(LOWER( C72),"" ""))"),"app-october")</f>
        <v>app-october</v>
      </c>
      <c r="C72" s="9" t="s">
        <v>120</v>
      </c>
      <c r="D72" s="9" t="s">
        <v>121</v>
      </c>
    </row>
    <row r="73">
      <c r="A73" s="7" t="str">
        <f>IFERROR(__xludf.DUMMYFUNCTION("JOIN(""-"",""app"",SPLIT(LOWER( C73),"" ""))"),"app-november")</f>
        <v>app-november</v>
      </c>
      <c r="C73" s="9" t="s">
        <v>122</v>
      </c>
      <c r="D73" s="9" t="s">
        <v>123</v>
      </c>
    </row>
    <row r="74">
      <c r="A74" s="7" t="str">
        <f>IFERROR(__xludf.DUMMYFUNCTION("JOIN(""-"",""app"",SPLIT(LOWER( C74),"" ""))"),"app-december")</f>
        <v>app-december</v>
      </c>
      <c r="C74" s="9" t="s">
        <v>124</v>
      </c>
      <c r="D74" s="9" t="s">
        <v>125</v>
      </c>
    </row>
    <row r="75">
      <c r="A75" s="7" t="str">
        <f>IFERROR(__xludf.DUMMYFUNCTION("JOIN(""-"",""app"",SPLIT(LOWER( C75),"" ""))"),"app-sun")</f>
        <v>app-sun</v>
      </c>
      <c r="C75" s="9" t="s">
        <v>126</v>
      </c>
      <c r="D75" s="9" t="s">
        <v>127</v>
      </c>
    </row>
    <row r="76">
      <c r="A76" s="7" t="str">
        <f>IFERROR(__xludf.DUMMYFUNCTION("JOIN(""-"",""app"",SPLIT(LOWER( C76),"" ""))"),"app-mon")</f>
        <v>app-mon</v>
      </c>
      <c r="C76" s="9" t="s">
        <v>128</v>
      </c>
      <c r="D76" s="9" t="s">
        <v>129</v>
      </c>
    </row>
    <row r="77">
      <c r="A77" s="7" t="str">
        <f>IFERROR(__xludf.DUMMYFUNCTION("JOIN(""-"",""app"",SPLIT(LOWER( C77),"" ""))"),"app-tue")</f>
        <v>app-tue</v>
      </c>
      <c r="C77" s="9" t="s">
        <v>130</v>
      </c>
      <c r="D77" s="9" t="s">
        <v>131</v>
      </c>
    </row>
    <row r="78">
      <c r="A78" s="7" t="str">
        <f>IFERROR(__xludf.DUMMYFUNCTION("JOIN(""-"",""app"",SPLIT(LOWER( C78),"" ""))"),"app-wed")</f>
        <v>app-wed</v>
      </c>
      <c r="B78" s="31" t="s">
        <v>1596</v>
      </c>
      <c r="C78" s="9" t="s">
        <v>133</v>
      </c>
      <c r="D78" s="9" t="s">
        <v>134</v>
      </c>
    </row>
    <row r="79">
      <c r="A79" s="7" t="str">
        <f>IFERROR(__xludf.DUMMYFUNCTION("JOIN(""-"",""app"",SPLIT(LOWER( C79),"" ""))"),"app-thu")</f>
        <v>app-thu</v>
      </c>
      <c r="C79" s="9" t="s">
        <v>135</v>
      </c>
      <c r="D79" s="9" t="s">
        <v>136</v>
      </c>
    </row>
    <row r="80">
      <c r="A80" s="7" t="str">
        <f>IFERROR(__xludf.DUMMYFUNCTION("JOIN(""-"",""app"",SPLIT(LOWER( C80),"" ""))"),"app-fri")</f>
        <v>app-fri</v>
      </c>
      <c r="C80" s="9" t="s">
        <v>137</v>
      </c>
      <c r="D80" s="9" t="s">
        <v>138</v>
      </c>
    </row>
    <row r="81">
      <c r="A81" s="7" t="str">
        <f>IFERROR(__xludf.DUMMYFUNCTION("JOIN(""-"",""app"",SPLIT(LOWER( C81),"" ""))"),"app-sat")</f>
        <v>app-sat</v>
      </c>
      <c r="C81" s="9" t="s">
        <v>139</v>
      </c>
      <c r="D81" s="9" t="s">
        <v>140</v>
      </c>
    </row>
    <row r="82">
      <c r="A82" s="7" t="str">
        <f>IFERROR(__xludf.DUMMYFUNCTION("JOIN(""-"",""app"",SPLIT(LOWER( C82),"" ""))"),"app-hours")</f>
        <v>app-hours</v>
      </c>
      <c r="B82" s="31" t="s">
        <v>1597</v>
      </c>
      <c r="C82" s="9" t="s">
        <v>142</v>
      </c>
      <c r="D82" s="9" t="s">
        <v>143</v>
      </c>
    </row>
    <row r="83">
      <c r="A83" s="7" t="str">
        <f>IFERROR(__xludf.DUMMYFUNCTION("JOIN(""-"",""app"",SPLIT(LOWER( C83),"" ""))"),"app-minutes")</f>
        <v>app-minutes</v>
      </c>
      <c r="C83" s="9" t="s">
        <v>144</v>
      </c>
      <c r="D83" s="9" t="s">
        <v>145</v>
      </c>
    </row>
    <row r="84">
      <c r="A84" s="7" t="str">
        <f>IFERROR(__xludf.DUMMYFUNCTION("JOIN(""-"",""app"",SPLIT(LOWER( C84),"" ""))"),"app-email")</f>
        <v>app-email</v>
      </c>
      <c r="B84" s="31" t="s">
        <v>1598</v>
      </c>
      <c r="C84" s="9" t="s">
        <v>1599</v>
      </c>
      <c r="D84" s="9" t="s">
        <v>1600</v>
      </c>
    </row>
    <row r="85">
      <c r="A85" s="7" t="str">
        <f>IFERROR(__xludf.DUMMYFUNCTION("JOIN(""-"",""app"",SPLIT(LOWER( C85),"" ""))"),"app-money")</f>
        <v>app-money</v>
      </c>
      <c r="B85" s="31" t="s">
        <v>1601</v>
      </c>
      <c r="C85" s="9" t="s">
        <v>1602</v>
      </c>
      <c r="D85" s="9" t="s">
        <v>1603</v>
      </c>
    </row>
    <row r="86">
      <c r="A86" s="7" t="str">
        <f>IFERROR(__xludf.DUMMYFUNCTION("JOIN(""-"",""app"",SPLIT(LOWER( C86),"" ""))"),"app-phone-number")</f>
        <v>app-phone-number</v>
      </c>
      <c r="B86" s="31" t="s">
        <v>1604</v>
      </c>
      <c r="C86" s="9" t="s">
        <v>1605</v>
      </c>
      <c r="D86" s="9" t="s">
        <v>1606</v>
      </c>
    </row>
    <row r="87">
      <c r="A87" s="7" t="str">
        <f>IFERROR(__xludf.DUMMYFUNCTION("JOIN(""-"",""app"",SPLIT(LOWER( C87),"" ""))"),"app-mobile-number")</f>
        <v>app-mobile-number</v>
      </c>
      <c r="C87" s="9" t="s">
        <v>1607</v>
      </c>
      <c r="D87" s="9" t="s">
        <v>1608</v>
      </c>
    </row>
    <row r="88">
      <c r="A88" s="7" t="str">
        <f>IFERROR(__xludf.DUMMYFUNCTION("JOIN(""-"",""app"",SPLIT(LOWER( C88),"" ""))"),"app-website")</f>
        <v>app-website</v>
      </c>
      <c r="B88" s="31" t="s">
        <v>1609</v>
      </c>
      <c r="C88" s="9" t="s">
        <v>1610</v>
      </c>
      <c r="D88" s="9" t="s">
        <v>1611</v>
      </c>
    </row>
    <row r="89">
      <c r="A89" s="7" t="str">
        <f>IFERROR(__xludf.DUMMYFUNCTION("JOIN(""-"",""app"",SPLIT(LOWER( C89),"" ""))"),"app-file-upload")</f>
        <v>app-file-upload</v>
      </c>
      <c r="B89" s="31" t="s">
        <v>1612</v>
      </c>
      <c r="C89" s="9" t="s">
        <v>1613</v>
      </c>
      <c r="D89" s="9" t="s">
        <v>1614</v>
      </c>
    </row>
    <row r="90">
      <c r="A90" s="7" t="str">
        <f>IFERROR(__xludf.DUMMYFUNCTION("JOIN(""-"",""app"",SPLIT(LOWER( C90),"" ""))"),"app-drag-&amp;-drop-file-here")</f>
        <v>app-drag-&amp;-drop-file-here</v>
      </c>
      <c r="C90" s="9" t="s">
        <v>1615</v>
      </c>
      <c r="D90" s="9" t="s">
        <v>1616</v>
      </c>
    </row>
    <row r="91">
      <c r="A91" s="7" t="str">
        <f>IFERROR(__xludf.DUMMYFUNCTION("JOIN(""-"",""app"",SPLIT(LOWER( C91),"" ""))"),"app-drag-and-drop-to-add-attachments-here")</f>
        <v>app-drag-and-drop-to-add-attachments-here</v>
      </c>
      <c r="C91" s="9" t="s">
        <v>1617</v>
      </c>
      <c r="D91" s="9" t="s">
        <v>1618</v>
      </c>
    </row>
    <row r="92">
      <c r="A92" s="7" t="str">
        <f>IFERROR(__xludf.DUMMYFUNCTION("JOIN(""-"",""app"",SPLIT(LOWER( C92),"" ""))"),"app-upload-file")</f>
        <v>app-upload-file</v>
      </c>
      <c r="C92" s="9" t="s">
        <v>1619</v>
      </c>
      <c r="D92" s="9" t="s">
        <v>1620</v>
      </c>
    </row>
    <row r="93">
      <c r="A93" s="7" t="str">
        <f>IFERROR(__xludf.DUMMYFUNCTION("JOIN(""-"",""app"",SPLIT(LOWER( C93),"" ""))"),"app-choose-from-templates")</f>
        <v>app-choose-from-templates</v>
      </c>
      <c r="B93" s="31" t="s">
        <v>1621</v>
      </c>
      <c r="C93" s="9" t="s">
        <v>1622</v>
      </c>
      <c r="D93" s="9" t="s">
        <v>1623</v>
      </c>
    </row>
    <row r="94">
      <c r="A94" s="7" t="str">
        <f>IFERROR(__xludf.DUMMYFUNCTION("JOIN(""-"",""app"",SPLIT(LOWER( C94),"" ""))"),"app-templates-yet-to-be-created")</f>
        <v>app-templates-yet-to-be-created</v>
      </c>
      <c r="B94" s="31" t="s">
        <v>1624</v>
      </c>
      <c r="C94" s="9" t="s">
        <v>1625</v>
      </c>
      <c r="D94" s="9" t="s">
        <v>1626</v>
      </c>
    </row>
    <row r="95">
      <c r="A95" s="7" t="str">
        <f>IFERROR(__xludf.DUMMYFUNCTION("JOIN(""-"",""app"",SPLIT(LOWER( C95),"" ""))"),"app-start-by-saving-templates")</f>
        <v>app-start-by-saving-templates</v>
      </c>
      <c r="C95" s="9" t="s">
        <v>1627</v>
      </c>
      <c r="D95" s="9" t="s">
        <v>1628</v>
      </c>
    </row>
    <row r="96">
      <c r="A96" s="7" t="str">
        <f>IFERROR(__xludf.DUMMYFUNCTION("JOIN(""-"",""app"",SPLIT(LOWER( C96),"" ""))"),"app-basic")</f>
        <v>app-basic</v>
      </c>
      <c r="B96" s="31" t="s">
        <v>1629</v>
      </c>
      <c r="C96" s="9" t="s">
        <v>1630</v>
      </c>
      <c r="D96" s="9" t="s">
        <v>1631</v>
      </c>
    </row>
    <row r="97">
      <c r="A97" s="7" t="str">
        <f>IFERROR(__xludf.DUMMYFUNCTION("JOIN(""-"",""app"",SPLIT(LOWER( C97),"" ""))"),"app-checklist")</f>
        <v>app-checklist</v>
      </c>
      <c r="B97" s="31" t="s">
        <v>1632</v>
      </c>
      <c r="C97" s="9" t="s">
        <v>1633</v>
      </c>
      <c r="D97" s="9" t="s">
        <v>1634</v>
      </c>
    </row>
    <row r="98">
      <c r="A98" s="7" t="str">
        <f>IFERROR(__xludf.DUMMYFUNCTION("JOIN(""-"",""app"",SPLIT(LOWER( C98),"" ""))"),"app-new-task")</f>
        <v>app-new-task</v>
      </c>
      <c r="B98" s="31" t="s">
        <v>1635</v>
      </c>
      <c r="C98" s="9" t="s">
        <v>1282</v>
      </c>
      <c r="D98" s="9" t="s">
        <v>952</v>
      </c>
    </row>
    <row r="99">
      <c r="A99" s="7" t="str">
        <f>IFERROR(__xludf.DUMMYFUNCTION("JOIN(""-"",""app"",SPLIT(LOWER( C99),"" ""))"),"app-save")</f>
        <v>app-save</v>
      </c>
      <c r="B99" s="31" t="s">
        <v>1636</v>
      </c>
      <c r="C99" s="38" t="s">
        <v>146</v>
      </c>
      <c r="D99" s="38" t="s">
        <v>147</v>
      </c>
    </row>
    <row r="100">
      <c r="A100" s="7" t="str">
        <f>IFERROR(__xludf.DUMMYFUNCTION("JOIN(""-"",""app"",SPLIT(LOWER( C100),"" ""))"),"app-table")</f>
        <v>app-table</v>
      </c>
      <c r="B100" s="31" t="s">
        <v>1637</v>
      </c>
      <c r="C100" s="9" t="s">
        <v>1638</v>
      </c>
      <c r="D100" s="9" t="s">
        <v>1639</v>
      </c>
    </row>
    <row r="101">
      <c r="A101" s="7" t="str">
        <f>IFERROR(__xludf.DUMMYFUNCTION("JOIN(""-"",""app"",SPLIT(LOWER( C101),"" ""))"),"app-add-new")</f>
        <v>app-add-new</v>
      </c>
      <c r="B101" s="31" t="s">
        <v>1640</v>
      </c>
      <c r="C101" s="9" t="s">
        <v>1641</v>
      </c>
      <c r="D101" s="9" t="s">
        <v>1642</v>
      </c>
    </row>
    <row r="102">
      <c r="A102" s="7" t="str">
        <f>IFERROR(__xludf.DUMMYFUNCTION("JOIN(""-"",""app"",SPLIT(LOWER( C102),"" ""))"),"app-attachments")</f>
        <v>app-attachments</v>
      </c>
      <c r="B102" s="31" t="s">
        <v>1643</v>
      </c>
      <c r="C102" s="9" t="s">
        <v>1644</v>
      </c>
      <c r="D102" s="9" t="s">
        <v>1645</v>
      </c>
    </row>
    <row r="103">
      <c r="A103" s="7" t="str">
        <f>IFERROR(__xludf.DUMMYFUNCTION("JOIN(""-"",""app"",SPLIT(LOWER( C103),"" ""))"),"app-signature")</f>
        <v>app-signature</v>
      </c>
      <c r="B103" s="31" t="s">
        <v>1646</v>
      </c>
      <c r="C103" s="9" t="s">
        <v>1647</v>
      </c>
      <c r="D103" s="9" t="s">
        <v>1648</v>
      </c>
    </row>
    <row r="104">
      <c r="A104" s="7" t="str">
        <f>IFERROR(__xludf.DUMMYFUNCTION("JOIN(""-"",""app"",SPLIT(LOWER( C104),"" ""))"),"app-add-signature")</f>
        <v>app-add-signature</v>
      </c>
      <c r="B104" s="31" t="s">
        <v>1649</v>
      </c>
      <c r="C104" s="9" t="s">
        <v>1650</v>
      </c>
      <c r="D104" s="9" t="s">
        <v>1651</v>
      </c>
    </row>
    <row r="105">
      <c r="A105" s="7" t="str">
        <f>IFERROR(__xludf.DUMMYFUNCTION("JOIN(""-"",""app"",SPLIT(LOWER( C105),"" ""))"),"app-option-to-add-signature-for-the-form")</f>
        <v>app-option-to-add-signature-for-the-form</v>
      </c>
      <c r="C105" s="9" t="s">
        <v>1652</v>
      </c>
      <c r="D105" s="9" t="s">
        <v>1653</v>
      </c>
    </row>
    <row r="106">
      <c r="A106" s="7" t="str">
        <f>IFERROR(__xludf.DUMMYFUNCTION("JOIN(""-"",""app"",SPLIT(LOWER( C106),"" ""))"),"app-copy-link")</f>
        <v>app-copy-link</v>
      </c>
      <c r="B106" s="31" t="s">
        <v>1654</v>
      </c>
      <c r="C106" s="9" t="s">
        <v>481</v>
      </c>
      <c r="D106" s="9" t="s">
        <v>482</v>
      </c>
    </row>
    <row r="107">
      <c r="A107" s="7" t="str">
        <f>IFERROR(__xludf.DUMMYFUNCTION("JOIN(""-"",""app"",SPLIT(LOWER( C107),"" ""))"),"app-link")</f>
        <v>app-link</v>
      </c>
      <c r="B107" s="31" t="s">
        <v>1655</v>
      </c>
      <c r="C107" s="9" t="s">
        <v>1047</v>
      </c>
      <c r="D107" s="9" t="s">
        <v>1048</v>
      </c>
    </row>
    <row r="108">
      <c r="A108" s="7" t="str">
        <f>IFERROR(__xludf.DUMMYFUNCTION("JOIN(""-"",""app"",SPLIT(LOWER( C108),"" ""))"),"app-there-are-currently-no-submissions-for-you-to-see-yet")</f>
        <v>app-there-are-currently-no-submissions-for-you-to-see-yet</v>
      </c>
      <c r="B108" s="31" t="s">
        <v>1656</v>
      </c>
      <c r="C108" s="9" t="s">
        <v>1657</v>
      </c>
      <c r="D108" s="9" t="s">
        <v>1658</v>
      </c>
    </row>
    <row r="109">
      <c r="A109" s="7" t="str">
        <f>IFERROR(__xludf.DUMMYFUNCTION("JOIN(""-"",""app"",SPLIT(LOWER( C109),"" ""))"),"app-you-can-view-all-submissions-made-against-your-form-here")</f>
        <v>app-you-can-view-all-submissions-made-against-your-form-here</v>
      </c>
      <c r="C109" s="9" t="s">
        <v>1659</v>
      </c>
      <c r="D109" s="9" t="s">
        <v>1660</v>
      </c>
    </row>
    <row r="110">
      <c r="A110" s="7" t="str">
        <f>IFERROR(__xludf.DUMMYFUNCTION("JOIN(""-"",""app"",SPLIT(LOWER( C110),"" ""))"),"app-share")</f>
        <v>app-share</v>
      </c>
      <c r="B110" s="31" t="s">
        <v>1661</v>
      </c>
      <c r="C110" s="9" t="s">
        <v>501</v>
      </c>
      <c r="D110" s="9" t="s">
        <v>502</v>
      </c>
    </row>
    <row r="111">
      <c r="A111" s="7" t="str">
        <f>IFERROR(__xludf.DUMMYFUNCTION("JOIN(""-"",""app"",SPLIT(LOWER( C111),"" ""))"),"app-add-users-/-teams")</f>
        <v>app-add-users-/-teams</v>
      </c>
      <c r="B111" s="31" t="s">
        <v>504</v>
      </c>
      <c r="C111" s="9" t="s">
        <v>1662</v>
      </c>
      <c r="D111" s="9" t="s">
        <v>506</v>
      </c>
    </row>
    <row r="112">
      <c r="A112" s="7" t="str">
        <f>IFERROR(__xludf.DUMMYFUNCTION("JOIN(""-"",""app"",SPLIT(LOWER( C112),"" ""))"),"app-users")</f>
        <v>app-users</v>
      </c>
      <c r="C112" s="9" t="s">
        <v>508</v>
      </c>
      <c r="D112" s="9" t="s">
        <v>509</v>
      </c>
    </row>
    <row r="113">
      <c r="A113" s="7" t="str">
        <f>IFERROR(__xludf.DUMMYFUNCTION("JOIN(""-"",""app"",SPLIT(LOWER( C113),"" ""))"),"app-0-users-added")</f>
        <v>app-0-users-added</v>
      </c>
      <c r="C113" s="9" t="s">
        <v>511</v>
      </c>
      <c r="D113" s="9" t="s">
        <v>512</v>
      </c>
    </row>
    <row r="114">
      <c r="A114" s="7" t="str">
        <f>IFERROR(__xludf.DUMMYFUNCTION("JOIN(""-"",""app"",SPLIT(LOWER( C114),"" ""))"),"app-submit")</f>
        <v>app-submit</v>
      </c>
      <c r="B114" s="31" t="s">
        <v>1663</v>
      </c>
      <c r="C114" s="9" t="s">
        <v>1664</v>
      </c>
      <c r="D114" s="9" t="s">
        <v>1665</v>
      </c>
    </row>
    <row r="115">
      <c r="A115" s="7" t="str">
        <f>IFERROR(__xludf.DUMMYFUNCTION("JOIN(""-"",""app"",SPLIT(LOWER( C115),"" ""))"),"app-submit/view-submission")</f>
        <v>app-submit/view-submission</v>
      </c>
      <c r="C115" s="9" t="s">
        <v>515</v>
      </c>
      <c r="D115" s="9" t="s">
        <v>1666</v>
      </c>
    </row>
    <row r="116">
      <c r="A116" s="7" t="str">
        <f>IFERROR(__xludf.DUMMYFUNCTION("JOIN(""-"",""app"",SPLIT(LOWER( C116),"" ""))"),"app-admin")</f>
        <v>app-admin</v>
      </c>
      <c r="C116" s="9" t="s">
        <v>1667</v>
      </c>
      <c r="D116" s="9" t="s">
        <v>1668</v>
      </c>
    </row>
    <row r="117">
      <c r="A117" s="7" t="str">
        <f>IFERROR(__xludf.DUMMYFUNCTION("JOIN(""-"",""app"",SPLIT(LOWER( C117),"" ""))"),"app-teams")</f>
        <v>app-teams</v>
      </c>
      <c r="B117" s="31" t="s">
        <v>518</v>
      </c>
      <c r="C117" s="9" t="s">
        <v>519</v>
      </c>
      <c r="D117" s="9" t="s">
        <v>520</v>
      </c>
    </row>
    <row r="118">
      <c r="A118" s="7" t="str">
        <f>IFERROR(__xludf.DUMMYFUNCTION("JOIN(""-"",""app"",SPLIT(LOWER( C118),"" ""))"),"app-0-teams-added")</f>
        <v>app-0-teams-added</v>
      </c>
      <c r="C118" s="9" t="s">
        <v>522</v>
      </c>
      <c r="D118" s="9" t="s">
        <v>523</v>
      </c>
    </row>
    <row r="119">
      <c r="A119" s="7" t="str">
        <f>IFERROR(__xludf.DUMMYFUNCTION("JOIN(""-"",""app"",SPLIT(LOWER( C119),"" ""))"),"app-search-teams")</f>
        <v>app-search-teams</v>
      </c>
      <c r="B119" s="31" t="s">
        <v>1669</v>
      </c>
      <c r="C119" s="9" t="s">
        <v>1670</v>
      </c>
      <c r="D119" s="9" t="s">
        <v>1671</v>
      </c>
    </row>
    <row r="120">
      <c r="A120" s="7" t="str">
        <f>IFERROR(__xludf.DUMMYFUNCTION("JOIN(""-"",""app"",SPLIT(LOWER( C120),"" ""))"),"app-show-less")</f>
        <v>app-show-less</v>
      </c>
      <c r="C120" s="9" t="s">
        <v>1672</v>
      </c>
      <c r="D120" s="9" t="s">
        <v>155</v>
      </c>
    </row>
    <row r="121">
      <c r="A121" s="7" t="str">
        <f>IFERROR(__xludf.DUMMYFUNCTION("JOIN(""-"",""app"",SPLIT(LOWER( C121),"" ""))"),"app-show-all")</f>
        <v>app-show-all</v>
      </c>
      <c r="B121" s="31" t="s">
        <v>1673</v>
      </c>
      <c r="C121" s="9" t="s">
        <v>1674</v>
      </c>
      <c r="D121" s="9" t="s">
        <v>1675</v>
      </c>
    </row>
    <row r="122">
      <c r="A122" s="7" t="str">
        <f>IFERROR(__xludf.DUMMYFUNCTION("JOIN(""-"",""app"",SPLIT(LOWER( C122),"" ""))"),"app-save")</f>
        <v>app-save</v>
      </c>
      <c r="C122" s="9" t="s">
        <v>146</v>
      </c>
      <c r="D122" s="9" t="s">
        <v>147</v>
      </c>
    </row>
    <row r="123">
      <c r="A123" s="7" t="str">
        <f>IFERROR(__xludf.DUMMYFUNCTION("JOIN(""-"",""app"",SPLIT(LOWER( C123),"" ""))"),"app-schedule")</f>
        <v>app-schedule</v>
      </c>
      <c r="B123" s="31" t="s">
        <v>1676</v>
      </c>
      <c r="C123" s="9" t="s">
        <v>527</v>
      </c>
      <c r="D123" s="9" t="s">
        <v>528</v>
      </c>
    </row>
    <row r="124">
      <c r="A124" s="7" t="str">
        <f>IFERROR(__xludf.DUMMYFUNCTION("JOIN(""-"",""app"",SPLIT(LOWER( C124),"" ""))"),"app-new-schedule")</f>
        <v>app-new-schedule</v>
      </c>
      <c r="B124" s="31" t="s">
        <v>1677</v>
      </c>
      <c r="C124" s="9" t="s">
        <v>1678</v>
      </c>
      <c r="D124" s="9" t="s">
        <v>1679</v>
      </c>
    </row>
    <row r="125">
      <c r="A125" s="7" t="str">
        <f>IFERROR(__xludf.DUMMYFUNCTION("JOIN(""-"",""app"",SPLIT(LOWER( C125),"" ""))"),"app-frequency")</f>
        <v>app-frequency</v>
      </c>
      <c r="C125" s="9" t="s">
        <v>1680</v>
      </c>
      <c r="D125" s="9" t="s">
        <v>1681</v>
      </c>
    </row>
    <row r="126">
      <c r="A126" s="7" t="str">
        <f>IFERROR(__xludf.DUMMYFUNCTION("JOIN(""-"",""app"",SPLIT(LOWER( C126),"" ""))"),"app-weekly")</f>
        <v>app-weekly</v>
      </c>
      <c r="C126" s="9" t="s">
        <v>531</v>
      </c>
      <c r="D126" s="9" t="s">
        <v>532</v>
      </c>
    </row>
    <row r="127">
      <c r="A127" s="7" t="str">
        <f>IFERROR(__xludf.DUMMYFUNCTION("JOIN(""-"",""app"",SPLIT(LOWER( C127),"" ""))"),"app-every")</f>
        <v>app-every</v>
      </c>
      <c r="C127" s="9" t="s">
        <v>1682</v>
      </c>
      <c r="D127" s="9" t="s">
        <v>585</v>
      </c>
    </row>
    <row r="128">
      <c r="A128" s="7" t="str">
        <f>IFERROR(__xludf.DUMMYFUNCTION("JOIN(""-"",""app"",SPLIT(LOWER( C128),"" ""))"),"app-week")</f>
        <v>app-week</v>
      </c>
      <c r="C128" s="9" t="s">
        <v>1683</v>
      </c>
      <c r="D128" s="9" t="s">
        <v>1684</v>
      </c>
    </row>
    <row r="129">
      <c r="A129" s="7" t="str">
        <f>IFERROR(__xludf.DUMMYFUNCTION("JOIN(""-"",""app"",SPLIT(LOWER( C129),"" ""))"),"app-cancel")</f>
        <v>app-cancel</v>
      </c>
      <c r="C129" s="9" t="s">
        <v>269</v>
      </c>
      <c r="D129" s="9" t="s">
        <v>270</v>
      </c>
    </row>
    <row r="130">
      <c r="A130" s="7" t="str">
        <f>IFERROR(__xludf.DUMMYFUNCTION("JOIN(""-"",""app"",SPLIT(LOWER( C130),"" ""))"),"app-save")</f>
        <v>app-save</v>
      </c>
      <c r="C130" s="9" t="s">
        <v>146</v>
      </c>
      <c r="D130" s="9" t="s">
        <v>147</v>
      </c>
    </row>
    <row r="131">
      <c r="A131" s="7" t="str">
        <f>IFERROR(__xludf.DUMMYFUNCTION("JOIN(""-"",""app"",SPLIT(LOWER( C131),"" ""))"),"app-mo")</f>
        <v>app-mo</v>
      </c>
      <c r="B131" s="31" t="s">
        <v>1685</v>
      </c>
      <c r="C131" s="9" t="s">
        <v>551</v>
      </c>
      <c r="D131" s="9" t="s">
        <v>552</v>
      </c>
    </row>
    <row r="132">
      <c r="A132" s="7" t="str">
        <f>IFERROR(__xludf.DUMMYFUNCTION("JOIN(""-"",""app"",SPLIT(LOWER( C132),"" ""))"),"app-tu")</f>
        <v>app-tu</v>
      </c>
      <c r="C132" s="9" t="s">
        <v>554</v>
      </c>
      <c r="D132" s="9" t="s">
        <v>555</v>
      </c>
    </row>
    <row r="133">
      <c r="A133" s="7" t="str">
        <f>IFERROR(__xludf.DUMMYFUNCTION("JOIN(""-"",""app"",SPLIT(LOWER( C133),"" ""))"),"app-wd")</f>
        <v>app-wd</v>
      </c>
      <c r="C133" s="9" t="s">
        <v>557</v>
      </c>
      <c r="D133" s="9" t="s">
        <v>558</v>
      </c>
    </row>
    <row r="134">
      <c r="A134" s="7" t="str">
        <f>IFERROR(__xludf.DUMMYFUNCTION("JOIN(""-"",""app"",SPLIT(LOWER( C134),"" ""))"),"app-th")</f>
        <v>app-th</v>
      </c>
      <c r="C134" s="9" t="s">
        <v>560</v>
      </c>
      <c r="D134" s="9" t="s">
        <v>561</v>
      </c>
    </row>
    <row r="135">
      <c r="A135" s="7" t="str">
        <f>IFERROR(__xludf.DUMMYFUNCTION("JOIN(""-"",""app"",SPLIT(LOWER( C135),"" ""))"),"app-fr")</f>
        <v>app-fr</v>
      </c>
      <c r="C135" s="9" t="s">
        <v>563</v>
      </c>
      <c r="D135" s="9" t="s">
        <v>564</v>
      </c>
    </row>
    <row r="136">
      <c r="A136" s="7" t="str">
        <f>IFERROR(__xludf.DUMMYFUNCTION("JOIN(""-"",""app"",SPLIT(LOWER( C136),"" ""))"),"app-sa")</f>
        <v>app-sa</v>
      </c>
      <c r="C136" s="9" t="s">
        <v>566</v>
      </c>
      <c r="D136" s="9" t="s">
        <v>567</v>
      </c>
    </row>
    <row r="137">
      <c r="A137" s="7" t="str">
        <f>IFERROR(__xludf.DUMMYFUNCTION("JOIN(""-"",""app"",SPLIT(LOWER( C137),"" ""))"),"app-su")</f>
        <v>app-su</v>
      </c>
      <c r="B137" s="31" t="s">
        <v>1686</v>
      </c>
      <c r="C137" s="9" t="s">
        <v>569</v>
      </c>
      <c r="D137" s="9" t="s">
        <v>570</v>
      </c>
    </row>
    <row r="138">
      <c r="A138" s="7" t="str">
        <f>IFERROR(__xludf.DUMMYFUNCTION("JOIN(""-"",""app"",SPLIT(LOWER( C138),"" ""))"),"app-repeat-forever")</f>
        <v>app-repeat-forever</v>
      </c>
      <c r="C138" s="9" t="s">
        <v>534</v>
      </c>
      <c r="D138" s="9" t="s">
        <v>535</v>
      </c>
    </row>
    <row r="139">
      <c r="A139" s="7" t="str">
        <f>IFERROR(__xludf.DUMMYFUNCTION("JOIN(""-"",""app"",SPLIT(LOWER( C139),"" ""))"),"app-repeat")</f>
        <v>app-repeat</v>
      </c>
      <c r="C139" s="9" t="s">
        <v>537</v>
      </c>
      <c r="D139" s="9" t="s">
        <v>538</v>
      </c>
    </row>
    <row r="140">
      <c r="A140" s="7" t="str">
        <f>IFERROR(__xludf.DUMMYFUNCTION("JOIN(""-"",""app"",SPLIT(LOWER( C140),"" ""))"),"app-times")</f>
        <v>app-times</v>
      </c>
      <c r="C140" s="9" t="s">
        <v>540</v>
      </c>
      <c r="D140" s="9" t="s">
        <v>541</v>
      </c>
    </row>
    <row r="141">
      <c r="A141" s="7" t="str">
        <f>IFERROR(__xludf.DUMMYFUNCTION("JOIN(""-"",""app"",SPLIT(LOWER( C141),"" ""))"),"app-repeat-until")</f>
        <v>app-repeat-until</v>
      </c>
      <c r="B141" s="37" t="s">
        <v>1687</v>
      </c>
      <c r="C141" s="9" t="s">
        <v>544</v>
      </c>
      <c r="D141" s="9" t="s">
        <v>545</v>
      </c>
    </row>
    <row r="142">
      <c r="A142" s="7" t="str">
        <f>IFERROR(__xludf.DUMMYFUNCTION("JOIN(""-"",""app"",SPLIT(LOWER( C142),"" ""))"),"app-skip-missed-forms")</f>
        <v>app-skip-missed-forms</v>
      </c>
      <c r="C142" s="9" t="s">
        <v>1688</v>
      </c>
      <c r="D142" s="9" t="s">
        <v>635</v>
      </c>
    </row>
    <row r="143">
      <c r="A143" s="7" t="str">
        <f>IFERROR(__xludf.DUMMYFUNCTION("JOIN(""-"",""app"",SPLIT(LOWER( C143),"" ""))"),"app-daily")</f>
        <v>app-daily</v>
      </c>
      <c r="B143" s="31" t="s">
        <v>1689</v>
      </c>
      <c r="C143" s="9" t="s">
        <v>573</v>
      </c>
      <c r="D143" s="9" t="s">
        <v>574</v>
      </c>
    </row>
    <row r="144">
      <c r="A144" s="7" t="str">
        <f>IFERROR(__xludf.DUMMYFUNCTION("JOIN(""-"",""app"",SPLIT(LOWER( C144),"" ""))"),"app-day")</f>
        <v>app-day</v>
      </c>
      <c r="C144" s="9" t="s">
        <v>1690</v>
      </c>
      <c r="D144" s="9" t="s">
        <v>1691</v>
      </c>
    </row>
    <row r="145">
      <c r="A145" s="7" t="str">
        <f>IFERROR(__xludf.DUMMYFUNCTION("JOIN(""-"",""app"",SPLIT(LOWER( C145),"" ""))"),"app-monthly")</f>
        <v>app-monthly</v>
      </c>
      <c r="B145" s="31" t="s">
        <v>1692</v>
      </c>
      <c r="C145" s="9" t="s">
        <v>592</v>
      </c>
      <c r="D145" s="9" t="s">
        <v>593</v>
      </c>
    </row>
    <row r="146">
      <c r="A146" s="7" t="str">
        <f>IFERROR(__xludf.DUMMYFUNCTION("JOIN(""-"",""app"",SPLIT(LOWER( C146),"" ""))"),"app-month")</f>
        <v>app-month</v>
      </c>
      <c r="C146" s="9" t="s">
        <v>1693</v>
      </c>
      <c r="D146" s="9" t="s">
        <v>1694</v>
      </c>
    </row>
    <row r="147">
      <c r="A147" s="7" t="str">
        <f>IFERROR(__xludf.DUMMYFUNCTION("JOIN(""-"",""app"",SPLIT(LOWER( C147),"" ""))"),"app-on-the")</f>
        <v>app-on-the</v>
      </c>
      <c r="C147" s="9" t="s">
        <v>588</v>
      </c>
      <c r="D147" s="9" t="s">
        <v>589</v>
      </c>
    </row>
    <row r="148">
      <c r="A148" s="7" t="str">
        <f>IFERROR(__xludf.DUMMYFUNCTION("JOIN(""-"",""app"",SPLIT(LOWER( C148),"" ""))"),"app-1st")</f>
        <v>app-1st</v>
      </c>
      <c r="B148" s="31" t="s">
        <v>1695</v>
      </c>
      <c r="C148" s="9" t="s">
        <v>596</v>
      </c>
      <c r="D148" s="9" t="s">
        <v>597</v>
      </c>
    </row>
    <row r="149">
      <c r="A149" s="7" t="str">
        <f>IFERROR(__xludf.DUMMYFUNCTION("JOIN(""-"",""app"",SPLIT(LOWER( C149),"" ""))"),"app-2nd")</f>
        <v>app-2nd</v>
      </c>
      <c r="C149" s="9" t="s">
        <v>599</v>
      </c>
      <c r="D149" s="9" t="s">
        <v>600</v>
      </c>
    </row>
    <row r="150">
      <c r="A150" s="7" t="str">
        <f>IFERROR(__xludf.DUMMYFUNCTION("JOIN(""-"",""app"",SPLIT(LOWER( C150),"" ""))"),"app-3rd")</f>
        <v>app-3rd</v>
      </c>
      <c r="C150" s="9" t="s">
        <v>602</v>
      </c>
      <c r="D150" s="9" t="s">
        <v>603</v>
      </c>
    </row>
    <row r="151">
      <c r="A151" s="7" t="str">
        <f>IFERROR(__xludf.DUMMYFUNCTION("JOIN(""-"",""app"",SPLIT(LOWER( C151),"" ""))"),"app-4th")</f>
        <v>app-4th</v>
      </c>
      <c r="C151" s="9" t="s">
        <v>605</v>
      </c>
      <c r="D151" s="9" t="s">
        <v>606</v>
      </c>
    </row>
    <row r="152">
      <c r="A152" s="7" t="str">
        <f>IFERROR(__xludf.DUMMYFUNCTION("JOIN(""-"",""app"",SPLIT(LOWER( C152),"" ""))"),"app-last")</f>
        <v>app-last</v>
      </c>
      <c r="C152" s="9" t="s">
        <v>608</v>
      </c>
      <c r="D152" s="9" t="s">
        <v>609</v>
      </c>
    </row>
    <row r="153">
      <c r="A153" s="7" t="str">
        <f>IFERROR(__xludf.DUMMYFUNCTION("JOIN(""-"",""app"",SPLIT(LOWER( C153),"" ""))"),"app-monday")</f>
        <v>app-monday</v>
      </c>
      <c r="B153" s="31" t="s">
        <v>1696</v>
      </c>
      <c r="C153" s="9" t="s">
        <v>612</v>
      </c>
      <c r="D153" s="9" t="s">
        <v>613</v>
      </c>
    </row>
    <row r="154">
      <c r="A154" s="7" t="str">
        <f>IFERROR(__xludf.DUMMYFUNCTION("JOIN(""-"",""app"",SPLIT(LOWER( C154),"" ""))"),"app-tuesday")</f>
        <v>app-tuesday</v>
      </c>
      <c r="C154" s="9" t="s">
        <v>615</v>
      </c>
      <c r="D154" s="9" t="s">
        <v>616</v>
      </c>
    </row>
    <row r="155">
      <c r="A155" s="7" t="str">
        <f>IFERROR(__xludf.DUMMYFUNCTION("JOIN(""-"",""app"",SPLIT(LOWER( C155),"" ""))"),"app-wednesday")</f>
        <v>app-wednesday</v>
      </c>
      <c r="C155" s="9" t="s">
        <v>618</v>
      </c>
      <c r="D155" s="9" t="s">
        <v>619</v>
      </c>
    </row>
    <row r="156">
      <c r="A156" s="7" t="str">
        <f>IFERROR(__xludf.DUMMYFUNCTION("JOIN(""-"",""app"",SPLIT(LOWER( C156),"" ""))"),"app-thursday")</f>
        <v>app-thursday</v>
      </c>
      <c r="C156" s="9" t="s">
        <v>621</v>
      </c>
      <c r="D156" s="9" t="s">
        <v>622</v>
      </c>
    </row>
    <row r="157">
      <c r="A157" s="7" t="str">
        <f>IFERROR(__xludf.DUMMYFUNCTION("JOIN(""-"",""app"",SPLIT(LOWER( C157),"" ""))"),"app-friday")</f>
        <v>app-friday</v>
      </c>
      <c r="C157" s="9" t="s">
        <v>624</v>
      </c>
      <c r="D157" s="9" t="s">
        <v>625</v>
      </c>
    </row>
    <row r="158">
      <c r="A158" s="7" t="str">
        <f>IFERROR(__xludf.DUMMYFUNCTION("JOIN(""-"",""app"",SPLIT(LOWER( C158),"" ""))"),"app-saturday")</f>
        <v>app-saturday</v>
      </c>
      <c r="B158" s="31" t="s">
        <v>1697</v>
      </c>
      <c r="C158" s="9" t="s">
        <v>627</v>
      </c>
      <c r="D158" s="9" t="s">
        <v>628</v>
      </c>
    </row>
    <row r="159">
      <c r="A159" s="7" t="str">
        <f>IFERROR(__xludf.DUMMYFUNCTION("JOIN(""-"",""app"",SPLIT(LOWER( C159),"" ""))"),"app-sunday")</f>
        <v>app-sunday</v>
      </c>
      <c r="C159" s="9" t="s">
        <v>630</v>
      </c>
      <c r="D159" s="9" t="s">
        <v>631</v>
      </c>
    </row>
    <row r="160">
      <c r="A160" s="7" t="str">
        <f>IFERROR(__xludf.DUMMYFUNCTION("JOIN(""-"",""app"",SPLIT(LOWER( C160),"" ""))"),"app-when-checked,-if-a-form-is-missed-because-the-status-of-the-form-was-not-updated-before-due-date,-that-form-will-be-skipped.-this-means,-only-forms-in-the-future-are-possible.")</f>
        <v>app-when-checked,-if-a-form-is-missed-because-the-status-of-the-form-was-not-updated-before-due-date,-that-form-will-be-skipped.-this-means,-only-forms-in-the-future-are-possible.</v>
      </c>
      <c r="B160" s="37" t="s">
        <v>1698</v>
      </c>
      <c r="C160" s="9" t="s">
        <v>1699</v>
      </c>
      <c r="D160" s="9" t="s">
        <v>1700</v>
      </c>
    </row>
    <row r="161">
      <c r="A161" s="7" t="str">
        <f>IFERROR(__xludf.DUMMYFUNCTION("JOIN(""-"",""app"",SPLIT(LOWER( C161),"" ""))"),"app-preview")</f>
        <v>app-preview</v>
      </c>
      <c r="B161" s="31" t="s">
        <v>1701</v>
      </c>
      <c r="C161" s="9" t="s">
        <v>1702</v>
      </c>
      <c r="D161" s="9" t="s">
        <v>1703</v>
      </c>
    </row>
    <row r="162">
      <c r="A162" s="7" t="str">
        <f>IFERROR(__xludf.DUMMYFUNCTION("JOIN(""-"",""app"",SPLIT(LOWER( C162),"" ""))"),"app-you-can-upload-up-to-5-files")</f>
        <v>app-you-can-upload-up-to-5-files</v>
      </c>
      <c r="B162" s="31" t="s">
        <v>1704</v>
      </c>
      <c r="C162" s="9" t="s">
        <v>1705</v>
      </c>
      <c r="D162" s="9" t="s">
        <v>1706</v>
      </c>
    </row>
    <row r="163">
      <c r="A163" s="7" t="str">
        <f>IFERROR(__xludf.DUMMYFUNCTION("JOIN(""-"",""app"",SPLIT(LOWER( C163),"" ""))"),"app-upload-files")</f>
        <v>app-upload-files</v>
      </c>
      <c r="C163" s="9" t="s">
        <v>1707</v>
      </c>
      <c r="D163" s="9" t="s">
        <v>1708</v>
      </c>
    </row>
    <row r="164">
      <c r="A164" s="7" t="str">
        <f>IFERROR(__xludf.DUMMYFUNCTION("JOIN(""-"",""app"",SPLIT(LOWER( C164),"" ""))"),"app-enter-signature")</f>
        <v>app-enter-signature</v>
      </c>
      <c r="B164" s="31" t="s">
        <v>1709</v>
      </c>
      <c r="C164" s="9" t="s">
        <v>1710</v>
      </c>
      <c r="D164" s="9" t="s">
        <v>1711</v>
      </c>
    </row>
    <row r="165">
      <c r="A165" s="7" t="str">
        <f>IFERROR(__xludf.DUMMYFUNCTION("JOIN(""-"",""app"",SPLIT(LOWER( C165),"" ""))"),"app-publish")</f>
        <v>app-publish</v>
      </c>
      <c r="B165" s="31" t="s">
        <v>1712</v>
      </c>
      <c r="C165" s="9" t="s">
        <v>1713</v>
      </c>
      <c r="D165" s="9" t="s">
        <v>1714</v>
      </c>
    </row>
    <row r="166">
      <c r="A166" s="7" t="str">
        <f>IFERROR(__xludf.DUMMYFUNCTION("JOIN(""-"",""app"",SPLIT(LOWER( C166),"" ""))"),"app-delete")</f>
        <v>app-delete</v>
      </c>
      <c r="C166" s="9" t="s">
        <v>259</v>
      </c>
      <c r="D166" s="9" t="s">
        <v>260</v>
      </c>
    </row>
    <row r="167">
      <c r="A167" s="7" t="str">
        <f>IFERROR(__xludf.DUMMYFUNCTION("JOIN(""-"",""app"",SPLIT(LOWER( C167),"" ""))"),"app-published")</f>
        <v>app-published</v>
      </c>
      <c r="B167" s="31" t="s">
        <v>1715</v>
      </c>
      <c r="C167" s="9" t="s">
        <v>450</v>
      </c>
      <c r="D167" s="9" t="s">
        <v>1716</v>
      </c>
    </row>
    <row r="168">
      <c r="A168" s="7" t="str">
        <f>IFERROR(__xludf.DUMMYFUNCTION("JOIN(""-"",""app"",SPLIT(LOWER( C168),"" ""))"),"app-preview-form")</f>
        <v>app-preview-form</v>
      </c>
      <c r="B168" s="31" t="s">
        <v>1717</v>
      </c>
      <c r="C168" s="9" t="s">
        <v>1718</v>
      </c>
      <c r="D168" s="9" t="s">
        <v>1719</v>
      </c>
    </row>
    <row r="169">
      <c r="A169" s="7" t="str">
        <f>IFERROR(__xludf.DUMMYFUNCTION("JOIN(""-"",""app"",SPLIT(LOWER( C169),"" ""))"),"app-rename")</f>
        <v>app-rename</v>
      </c>
      <c r="B169" s="31" t="s">
        <v>1720</v>
      </c>
      <c r="C169" s="9" t="s">
        <v>1721</v>
      </c>
      <c r="D169" s="9" t="s">
        <v>1722</v>
      </c>
    </row>
    <row r="170">
      <c r="A170" s="7" t="str">
        <f>IFERROR(__xludf.DUMMYFUNCTION("JOIN(""-"",""app"",SPLIT(LOWER( C170),"" ""))"),"app-0-submissions")</f>
        <v>app-0-submissions</v>
      </c>
      <c r="B170" s="31" t="s">
        <v>1723</v>
      </c>
      <c r="C170" s="9" t="s">
        <v>1724</v>
      </c>
      <c r="D170" s="9" t="s">
        <v>1725</v>
      </c>
    </row>
    <row r="171">
      <c r="B171" s="62"/>
      <c r="C171" s="7"/>
      <c r="D171" s="7"/>
    </row>
    <row r="172">
      <c r="B172" s="62"/>
      <c r="C172" s="7"/>
      <c r="D172" s="7"/>
    </row>
    <row r="173">
      <c r="B173" s="62"/>
      <c r="C173" s="7"/>
      <c r="D173" s="7"/>
    </row>
    <row r="174">
      <c r="B174" s="62"/>
      <c r="C174" s="7"/>
      <c r="D174" s="7"/>
    </row>
    <row r="175">
      <c r="B175" s="62"/>
      <c r="C175" s="7"/>
      <c r="D175" s="7"/>
    </row>
    <row r="176">
      <c r="B176" s="62"/>
      <c r="C176" s="7"/>
      <c r="D176" s="7"/>
    </row>
    <row r="177">
      <c r="B177" s="62"/>
      <c r="C177" s="7"/>
      <c r="D177" s="7"/>
    </row>
    <row r="178">
      <c r="B178" s="62"/>
      <c r="C178" s="7"/>
      <c r="D178" s="7"/>
    </row>
    <row r="179">
      <c r="B179" s="62"/>
      <c r="C179" s="7"/>
      <c r="D179" s="7"/>
    </row>
    <row r="180">
      <c r="B180" s="62"/>
      <c r="C180" s="7"/>
      <c r="D180" s="7"/>
    </row>
    <row r="181">
      <c r="B181" s="62"/>
      <c r="C181" s="7"/>
      <c r="D181" s="7"/>
    </row>
    <row r="182">
      <c r="B182" s="62"/>
      <c r="C182" s="7"/>
      <c r="D182" s="7"/>
    </row>
    <row r="183">
      <c r="B183" s="62"/>
      <c r="C183" s="7"/>
      <c r="D183" s="7"/>
    </row>
    <row r="184">
      <c r="B184" s="62"/>
      <c r="C184" s="7"/>
      <c r="D184" s="7"/>
    </row>
    <row r="185">
      <c r="B185" s="62"/>
      <c r="C185" s="7"/>
      <c r="D185" s="7"/>
    </row>
    <row r="186">
      <c r="B186" s="62"/>
      <c r="C186" s="7"/>
      <c r="D186" s="7"/>
    </row>
    <row r="187">
      <c r="B187" s="62"/>
      <c r="C187" s="7"/>
      <c r="D187" s="7"/>
    </row>
    <row r="188">
      <c r="B188" s="62"/>
      <c r="C188" s="7"/>
      <c r="D188" s="7"/>
    </row>
    <row r="189">
      <c r="B189" s="62"/>
      <c r="C189" s="7"/>
      <c r="D189" s="7"/>
    </row>
    <row r="190">
      <c r="B190" s="62"/>
      <c r="C190" s="7"/>
      <c r="D190" s="7"/>
    </row>
    <row r="191">
      <c r="B191" s="62"/>
      <c r="C191" s="7"/>
      <c r="D191" s="7"/>
    </row>
    <row r="192">
      <c r="B192" s="62"/>
      <c r="C192" s="7"/>
      <c r="D192" s="7"/>
    </row>
    <row r="193">
      <c r="B193" s="62"/>
      <c r="C193" s="7"/>
      <c r="D193" s="7"/>
    </row>
    <row r="194">
      <c r="B194" s="62"/>
      <c r="C194" s="7"/>
      <c r="D194" s="7"/>
    </row>
    <row r="195">
      <c r="B195" s="62"/>
      <c r="C195" s="7"/>
      <c r="D195" s="7"/>
    </row>
    <row r="196">
      <c r="B196" s="62"/>
      <c r="C196" s="7"/>
      <c r="D196" s="7"/>
    </row>
    <row r="197">
      <c r="B197" s="62"/>
      <c r="C197" s="7"/>
      <c r="D197" s="7"/>
    </row>
    <row r="198">
      <c r="B198" s="62"/>
      <c r="C198" s="7"/>
      <c r="D198" s="7"/>
    </row>
    <row r="199">
      <c r="B199" s="62"/>
      <c r="C199" s="7"/>
      <c r="D199" s="7"/>
    </row>
    <row r="200">
      <c r="B200" s="62"/>
      <c r="C200" s="7"/>
      <c r="D200" s="7"/>
    </row>
    <row r="201">
      <c r="B201" s="62"/>
      <c r="C201" s="7"/>
      <c r="D201" s="7"/>
    </row>
    <row r="202">
      <c r="B202" s="62"/>
      <c r="C202" s="7"/>
      <c r="D202" s="7"/>
    </row>
    <row r="203">
      <c r="B203" s="62"/>
      <c r="C203" s="7"/>
      <c r="D203" s="7"/>
    </row>
    <row r="204">
      <c r="B204" s="62"/>
      <c r="C204" s="7"/>
      <c r="D204" s="7"/>
    </row>
    <row r="205">
      <c r="B205" s="62"/>
      <c r="C205" s="7"/>
      <c r="D205" s="7"/>
    </row>
    <row r="206">
      <c r="B206" s="62"/>
      <c r="C206" s="7"/>
      <c r="D206" s="7"/>
    </row>
    <row r="207">
      <c r="B207" s="62"/>
      <c r="C207" s="7"/>
      <c r="D207" s="7"/>
    </row>
    <row r="208">
      <c r="B208" s="62"/>
      <c r="C208" s="7"/>
      <c r="D208" s="7"/>
    </row>
    <row r="209">
      <c r="B209" s="62"/>
      <c r="C209" s="7"/>
      <c r="D209" s="7"/>
    </row>
    <row r="210">
      <c r="B210" s="62"/>
      <c r="C210" s="7"/>
      <c r="D210" s="7"/>
    </row>
    <row r="211">
      <c r="B211" s="62"/>
      <c r="C211" s="7"/>
      <c r="D211" s="7"/>
    </row>
    <row r="212">
      <c r="B212" s="62"/>
      <c r="C212" s="7"/>
      <c r="D212" s="7"/>
    </row>
    <row r="213">
      <c r="B213" s="62"/>
      <c r="C213" s="7"/>
      <c r="D213" s="7"/>
    </row>
    <row r="214">
      <c r="B214" s="62"/>
      <c r="C214" s="7"/>
      <c r="D214" s="7"/>
    </row>
    <row r="215">
      <c r="B215" s="62"/>
      <c r="C215" s="7"/>
      <c r="D215" s="7"/>
    </row>
    <row r="216">
      <c r="B216" s="62"/>
      <c r="C216" s="7"/>
      <c r="D216" s="7"/>
    </row>
    <row r="217">
      <c r="B217" s="62"/>
      <c r="C217" s="7"/>
      <c r="D217" s="7"/>
    </row>
    <row r="218">
      <c r="B218" s="62"/>
      <c r="C218" s="7"/>
      <c r="D218" s="7"/>
    </row>
    <row r="219">
      <c r="B219" s="62"/>
      <c r="C219" s="7"/>
      <c r="D219" s="7"/>
    </row>
    <row r="220">
      <c r="B220" s="62"/>
      <c r="C220" s="7"/>
      <c r="D220" s="7"/>
    </row>
    <row r="221">
      <c r="B221" s="62"/>
      <c r="C221" s="7"/>
      <c r="D221" s="7"/>
    </row>
    <row r="222">
      <c r="B222" s="62"/>
      <c r="C222" s="7"/>
      <c r="D222" s="7"/>
    </row>
    <row r="223">
      <c r="B223" s="62"/>
      <c r="C223" s="7"/>
      <c r="D223" s="7"/>
    </row>
    <row r="224">
      <c r="B224" s="62"/>
      <c r="C224" s="7"/>
      <c r="D224" s="7"/>
    </row>
    <row r="225">
      <c r="B225" s="62"/>
      <c r="C225" s="7"/>
      <c r="D225" s="7"/>
    </row>
    <row r="226">
      <c r="B226" s="62"/>
      <c r="C226" s="7"/>
      <c r="D226" s="7"/>
    </row>
    <row r="227">
      <c r="B227" s="62"/>
      <c r="C227" s="7"/>
      <c r="D227" s="7"/>
    </row>
    <row r="228">
      <c r="B228" s="62"/>
      <c r="C228" s="7"/>
      <c r="D228" s="7"/>
    </row>
    <row r="229">
      <c r="B229" s="62"/>
      <c r="C229" s="7"/>
      <c r="D229" s="7"/>
    </row>
    <row r="230">
      <c r="B230" s="62"/>
      <c r="C230" s="7"/>
      <c r="D230" s="7"/>
    </row>
    <row r="231">
      <c r="B231" s="62"/>
      <c r="C231" s="7"/>
      <c r="D231" s="7"/>
    </row>
    <row r="232">
      <c r="B232" s="62"/>
      <c r="C232" s="7"/>
      <c r="D232" s="7"/>
    </row>
    <row r="233">
      <c r="B233" s="62"/>
      <c r="C233" s="7"/>
      <c r="D233" s="7"/>
    </row>
    <row r="234">
      <c r="B234" s="62"/>
      <c r="C234" s="7"/>
      <c r="D234" s="7"/>
    </row>
    <row r="235">
      <c r="B235" s="62"/>
      <c r="C235" s="7"/>
      <c r="D235" s="7"/>
    </row>
    <row r="236">
      <c r="B236" s="62"/>
      <c r="C236" s="7"/>
      <c r="D236" s="7"/>
    </row>
    <row r="237">
      <c r="B237" s="62"/>
      <c r="C237" s="7"/>
      <c r="D237" s="7"/>
    </row>
    <row r="238">
      <c r="B238" s="62"/>
      <c r="C238" s="7"/>
      <c r="D238" s="7"/>
    </row>
    <row r="239">
      <c r="B239" s="62"/>
      <c r="C239" s="7"/>
      <c r="D239" s="7"/>
    </row>
    <row r="240">
      <c r="B240" s="62"/>
      <c r="C240" s="7"/>
      <c r="D240" s="7"/>
    </row>
    <row r="241">
      <c r="B241" s="62"/>
      <c r="C241" s="7"/>
      <c r="D241" s="7"/>
    </row>
    <row r="242">
      <c r="B242" s="62"/>
      <c r="C242" s="7"/>
      <c r="D242" s="7"/>
    </row>
    <row r="243">
      <c r="B243" s="62"/>
      <c r="C243" s="7"/>
      <c r="D243" s="7"/>
    </row>
    <row r="244">
      <c r="B244" s="62"/>
      <c r="C244" s="7"/>
      <c r="D244" s="7"/>
    </row>
    <row r="245">
      <c r="B245" s="62"/>
      <c r="C245" s="7"/>
      <c r="D245" s="7"/>
    </row>
    <row r="246">
      <c r="B246" s="62"/>
      <c r="C246" s="7"/>
      <c r="D246" s="7"/>
    </row>
    <row r="247">
      <c r="B247" s="62"/>
      <c r="C247" s="7"/>
      <c r="D247" s="7"/>
    </row>
    <row r="248">
      <c r="B248" s="62"/>
      <c r="C248" s="7"/>
      <c r="D248" s="7"/>
    </row>
    <row r="249">
      <c r="B249" s="62"/>
      <c r="C249" s="7"/>
      <c r="D249" s="7"/>
    </row>
    <row r="250">
      <c r="B250" s="62"/>
      <c r="C250" s="7"/>
      <c r="D250" s="7"/>
    </row>
    <row r="251">
      <c r="B251" s="62"/>
      <c r="C251" s="7"/>
      <c r="D251" s="7"/>
    </row>
    <row r="252">
      <c r="B252" s="62"/>
      <c r="C252" s="7"/>
      <c r="D252" s="7"/>
    </row>
    <row r="253">
      <c r="B253" s="62"/>
      <c r="C253" s="7"/>
      <c r="D253" s="7"/>
    </row>
    <row r="254">
      <c r="B254" s="62"/>
      <c r="C254" s="7"/>
      <c r="D254" s="7"/>
    </row>
    <row r="255">
      <c r="B255" s="62"/>
      <c r="C255" s="7"/>
      <c r="D255" s="7"/>
    </row>
    <row r="256">
      <c r="B256" s="62"/>
      <c r="C256" s="7"/>
      <c r="D256" s="7"/>
    </row>
    <row r="257">
      <c r="B257" s="62"/>
      <c r="C257" s="7"/>
      <c r="D257" s="7"/>
    </row>
    <row r="258">
      <c r="B258" s="62"/>
      <c r="C258" s="7"/>
      <c r="D258" s="7"/>
    </row>
    <row r="259">
      <c r="B259" s="62"/>
      <c r="C259" s="7"/>
      <c r="D259" s="7"/>
    </row>
    <row r="260">
      <c r="B260" s="62"/>
      <c r="C260" s="7"/>
      <c r="D260" s="7"/>
    </row>
    <row r="261">
      <c r="B261" s="62"/>
      <c r="C261" s="7"/>
      <c r="D261" s="7"/>
    </row>
    <row r="262">
      <c r="B262" s="62"/>
      <c r="C262" s="7"/>
      <c r="D262" s="7"/>
    </row>
    <row r="263">
      <c r="B263" s="62"/>
      <c r="C263" s="7"/>
      <c r="D263" s="7"/>
    </row>
    <row r="264">
      <c r="B264" s="62"/>
      <c r="C264" s="7"/>
      <c r="D264" s="7"/>
    </row>
    <row r="265">
      <c r="B265" s="62"/>
      <c r="C265" s="7"/>
      <c r="D265" s="7"/>
    </row>
    <row r="266">
      <c r="B266" s="62"/>
      <c r="C266" s="7"/>
      <c r="D266" s="7"/>
    </row>
    <row r="267">
      <c r="B267" s="62"/>
      <c r="C267" s="7"/>
      <c r="D267" s="7"/>
    </row>
    <row r="268">
      <c r="B268" s="62"/>
      <c r="C268" s="7"/>
      <c r="D268" s="7"/>
    </row>
    <row r="269">
      <c r="B269" s="62"/>
      <c r="C269" s="7"/>
      <c r="D269" s="7"/>
    </row>
    <row r="270">
      <c r="B270" s="62"/>
      <c r="C270" s="7"/>
      <c r="D270" s="7"/>
    </row>
    <row r="271">
      <c r="B271" s="62"/>
      <c r="C271" s="7"/>
      <c r="D271" s="7"/>
    </row>
    <row r="272">
      <c r="B272" s="62"/>
      <c r="C272" s="7"/>
      <c r="D272" s="7"/>
    </row>
    <row r="273">
      <c r="B273" s="62"/>
      <c r="C273" s="7"/>
      <c r="D273" s="7"/>
    </row>
    <row r="274">
      <c r="B274" s="62"/>
      <c r="C274" s="7"/>
      <c r="D274" s="7"/>
    </row>
    <row r="275">
      <c r="B275" s="62"/>
      <c r="C275" s="7"/>
      <c r="D275" s="7"/>
    </row>
    <row r="276">
      <c r="B276" s="62"/>
      <c r="C276" s="7"/>
      <c r="D276" s="7"/>
    </row>
    <row r="277">
      <c r="B277" s="62"/>
      <c r="C277" s="7"/>
      <c r="D277" s="7"/>
    </row>
    <row r="278">
      <c r="B278" s="62"/>
      <c r="C278" s="7"/>
      <c r="D278" s="7"/>
    </row>
    <row r="279">
      <c r="B279" s="62"/>
      <c r="C279" s="7"/>
      <c r="D279" s="7"/>
    </row>
    <row r="280">
      <c r="B280" s="62"/>
      <c r="C280" s="7"/>
      <c r="D280" s="7"/>
    </row>
    <row r="281">
      <c r="B281" s="62"/>
      <c r="C281" s="7"/>
      <c r="D281" s="7"/>
    </row>
    <row r="282">
      <c r="B282" s="62"/>
      <c r="C282" s="7"/>
      <c r="D282" s="7"/>
    </row>
    <row r="283">
      <c r="B283" s="62"/>
      <c r="C283" s="7"/>
      <c r="D283" s="7"/>
    </row>
    <row r="284">
      <c r="B284" s="62"/>
      <c r="C284" s="7"/>
      <c r="D284" s="7"/>
    </row>
    <row r="285">
      <c r="B285" s="62"/>
      <c r="C285" s="7"/>
      <c r="D285" s="7"/>
    </row>
    <row r="286">
      <c r="B286" s="62"/>
      <c r="C286" s="7"/>
      <c r="D286" s="7"/>
    </row>
    <row r="287">
      <c r="B287" s="62"/>
      <c r="C287" s="7"/>
      <c r="D287" s="7"/>
    </row>
    <row r="288">
      <c r="B288" s="62"/>
      <c r="C288" s="7"/>
      <c r="D288" s="7"/>
    </row>
    <row r="289">
      <c r="B289" s="62"/>
      <c r="C289" s="7"/>
      <c r="D289" s="7"/>
    </row>
    <row r="290">
      <c r="B290" s="62"/>
      <c r="C290" s="7"/>
      <c r="D290" s="7"/>
    </row>
    <row r="291">
      <c r="B291" s="62"/>
      <c r="C291" s="7"/>
      <c r="D291" s="7"/>
    </row>
    <row r="292">
      <c r="B292" s="62"/>
      <c r="C292" s="7"/>
      <c r="D292" s="7"/>
    </row>
    <row r="293">
      <c r="B293" s="62"/>
      <c r="C293" s="7"/>
      <c r="D293" s="7"/>
    </row>
    <row r="294">
      <c r="B294" s="62"/>
      <c r="C294" s="7"/>
      <c r="D294" s="7"/>
    </row>
    <row r="295">
      <c r="B295" s="62"/>
      <c r="C295" s="7"/>
      <c r="D295" s="7"/>
    </row>
    <row r="296">
      <c r="B296" s="62"/>
      <c r="C296" s="7"/>
      <c r="D296" s="7"/>
    </row>
    <row r="297">
      <c r="B297" s="62"/>
      <c r="C297" s="7"/>
      <c r="D297" s="7"/>
    </row>
    <row r="298">
      <c r="B298" s="62"/>
      <c r="C298" s="7"/>
      <c r="D298" s="7"/>
    </row>
    <row r="299">
      <c r="B299" s="62"/>
      <c r="C299" s="7"/>
      <c r="D299" s="7"/>
    </row>
    <row r="300">
      <c r="B300" s="62"/>
      <c r="C300" s="7"/>
      <c r="D300" s="7"/>
    </row>
    <row r="301">
      <c r="B301" s="62"/>
      <c r="C301" s="7"/>
      <c r="D301" s="7"/>
    </row>
    <row r="302">
      <c r="B302" s="62"/>
      <c r="C302" s="7"/>
      <c r="D302" s="7"/>
    </row>
    <row r="303">
      <c r="B303" s="62"/>
      <c r="C303" s="7"/>
      <c r="D303" s="7"/>
    </row>
    <row r="304">
      <c r="B304" s="62"/>
      <c r="C304" s="7"/>
      <c r="D304" s="7"/>
    </row>
    <row r="305">
      <c r="B305" s="62"/>
      <c r="C305" s="7"/>
      <c r="D305" s="7"/>
    </row>
    <row r="306">
      <c r="B306" s="62"/>
      <c r="C306" s="7"/>
      <c r="D306" s="7"/>
    </row>
    <row r="307">
      <c r="B307" s="62"/>
      <c r="C307" s="7"/>
      <c r="D307" s="7"/>
    </row>
    <row r="308">
      <c r="B308" s="62"/>
      <c r="C308" s="7"/>
      <c r="D308" s="7"/>
    </row>
    <row r="309">
      <c r="B309" s="62"/>
      <c r="C309" s="7"/>
      <c r="D309" s="7"/>
    </row>
    <row r="310">
      <c r="B310" s="62"/>
      <c r="C310" s="7"/>
      <c r="D310" s="7"/>
    </row>
    <row r="311">
      <c r="B311" s="62"/>
      <c r="C311" s="7"/>
      <c r="D311" s="7"/>
    </row>
    <row r="312">
      <c r="B312" s="62"/>
      <c r="C312" s="7"/>
      <c r="D312" s="7"/>
    </row>
    <row r="313">
      <c r="B313" s="62"/>
      <c r="C313" s="7"/>
      <c r="D313" s="7"/>
    </row>
    <row r="314">
      <c r="B314" s="62"/>
      <c r="C314" s="7"/>
      <c r="D314" s="7"/>
    </row>
    <row r="315">
      <c r="B315" s="62"/>
      <c r="C315" s="7"/>
      <c r="D315" s="7"/>
    </row>
    <row r="316">
      <c r="B316" s="62"/>
      <c r="C316" s="7"/>
      <c r="D316" s="7"/>
    </row>
    <row r="317">
      <c r="B317" s="62"/>
      <c r="C317" s="7"/>
      <c r="D317" s="7"/>
    </row>
    <row r="318">
      <c r="B318" s="62"/>
      <c r="C318" s="7"/>
      <c r="D318" s="7"/>
    </row>
    <row r="319">
      <c r="B319" s="62"/>
      <c r="C319" s="7"/>
      <c r="D319" s="7"/>
    </row>
    <row r="320">
      <c r="B320" s="62"/>
      <c r="C320" s="7"/>
      <c r="D320" s="7"/>
    </row>
    <row r="321">
      <c r="B321" s="62"/>
      <c r="C321" s="7"/>
      <c r="D321" s="7"/>
    </row>
    <row r="322">
      <c r="B322" s="62"/>
      <c r="C322" s="7"/>
      <c r="D322" s="7"/>
    </row>
    <row r="323">
      <c r="B323" s="62"/>
      <c r="C323" s="7"/>
      <c r="D323" s="7"/>
    </row>
    <row r="324">
      <c r="B324" s="62"/>
      <c r="C324" s="7"/>
      <c r="D324" s="7"/>
    </row>
    <row r="325">
      <c r="B325" s="62"/>
      <c r="C325" s="7"/>
      <c r="D325" s="7"/>
    </row>
    <row r="326">
      <c r="B326" s="62"/>
      <c r="C326" s="7"/>
      <c r="D326" s="7"/>
    </row>
    <row r="327">
      <c r="B327" s="62"/>
      <c r="C327" s="7"/>
      <c r="D327" s="7"/>
    </row>
    <row r="328">
      <c r="B328" s="62"/>
      <c r="C328" s="7"/>
      <c r="D328" s="7"/>
    </row>
    <row r="329">
      <c r="B329" s="62"/>
      <c r="C329" s="7"/>
      <c r="D329" s="7"/>
    </row>
    <row r="330">
      <c r="B330" s="62"/>
      <c r="C330" s="7"/>
      <c r="D330" s="7"/>
    </row>
    <row r="331">
      <c r="B331" s="62"/>
      <c r="C331" s="7"/>
      <c r="D331" s="7"/>
    </row>
    <row r="332">
      <c r="B332" s="62"/>
      <c r="C332" s="7"/>
      <c r="D332" s="7"/>
    </row>
    <row r="333">
      <c r="B333" s="62"/>
      <c r="C333" s="7"/>
      <c r="D333" s="7"/>
    </row>
    <row r="334">
      <c r="B334" s="62"/>
      <c r="C334" s="7"/>
      <c r="D334" s="7"/>
    </row>
    <row r="335">
      <c r="B335" s="62"/>
      <c r="C335" s="7"/>
      <c r="D335" s="7"/>
    </row>
    <row r="336">
      <c r="B336" s="62"/>
      <c r="C336" s="7"/>
      <c r="D336" s="7"/>
    </row>
    <row r="337">
      <c r="B337" s="62"/>
      <c r="C337" s="7"/>
      <c r="D337" s="7"/>
    </row>
    <row r="338">
      <c r="B338" s="62"/>
      <c r="C338" s="7"/>
      <c r="D338" s="7"/>
    </row>
    <row r="339">
      <c r="B339" s="62"/>
      <c r="C339" s="7"/>
      <c r="D339" s="7"/>
    </row>
    <row r="340">
      <c r="B340" s="62"/>
      <c r="C340" s="7"/>
      <c r="D340" s="7"/>
    </row>
    <row r="341">
      <c r="B341" s="62"/>
      <c r="C341" s="7"/>
      <c r="D341" s="7"/>
    </row>
    <row r="342">
      <c r="B342" s="62"/>
      <c r="C342" s="7"/>
      <c r="D342" s="7"/>
    </row>
    <row r="343">
      <c r="B343" s="62"/>
      <c r="C343" s="7"/>
      <c r="D343" s="7"/>
    </row>
    <row r="344">
      <c r="B344" s="62"/>
      <c r="C344" s="7"/>
      <c r="D344" s="7"/>
    </row>
    <row r="345">
      <c r="B345" s="62"/>
      <c r="C345" s="7"/>
      <c r="D345" s="7"/>
    </row>
    <row r="346">
      <c r="B346" s="62"/>
      <c r="C346" s="7"/>
      <c r="D346" s="7"/>
    </row>
    <row r="347">
      <c r="B347" s="62"/>
      <c r="C347" s="7"/>
      <c r="D347" s="7"/>
    </row>
    <row r="348">
      <c r="B348" s="62"/>
      <c r="C348" s="7"/>
      <c r="D348" s="7"/>
    </row>
    <row r="349">
      <c r="B349" s="62"/>
      <c r="C349" s="7"/>
      <c r="D349" s="7"/>
    </row>
    <row r="350">
      <c r="B350" s="62"/>
      <c r="C350" s="7"/>
      <c r="D350" s="7"/>
    </row>
    <row r="351">
      <c r="B351" s="62"/>
      <c r="C351" s="7"/>
      <c r="D351" s="7"/>
    </row>
    <row r="352">
      <c r="B352" s="62"/>
      <c r="C352" s="7"/>
      <c r="D352" s="7"/>
    </row>
    <row r="353">
      <c r="B353" s="62"/>
      <c r="C353" s="7"/>
      <c r="D353" s="7"/>
    </row>
    <row r="354">
      <c r="B354" s="62"/>
      <c r="C354" s="7"/>
      <c r="D354" s="7"/>
    </row>
    <row r="355">
      <c r="B355" s="62"/>
      <c r="C355" s="7"/>
      <c r="D355" s="7"/>
    </row>
    <row r="356">
      <c r="B356" s="62"/>
      <c r="C356" s="7"/>
      <c r="D356" s="7"/>
    </row>
    <row r="357">
      <c r="B357" s="62"/>
      <c r="C357" s="7"/>
      <c r="D357" s="7"/>
    </row>
    <row r="358">
      <c r="B358" s="62"/>
      <c r="C358" s="7"/>
      <c r="D358" s="7"/>
    </row>
    <row r="359">
      <c r="B359" s="62"/>
      <c r="C359" s="7"/>
      <c r="D359" s="7"/>
    </row>
    <row r="360">
      <c r="B360" s="62"/>
      <c r="C360" s="7"/>
      <c r="D360" s="7"/>
    </row>
    <row r="361">
      <c r="B361" s="62"/>
      <c r="C361" s="7"/>
      <c r="D361" s="7"/>
    </row>
    <row r="362">
      <c r="B362" s="62"/>
      <c r="C362" s="7"/>
      <c r="D362" s="7"/>
    </row>
    <row r="363">
      <c r="B363" s="62"/>
      <c r="C363" s="7"/>
      <c r="D363" s="7"/>
    </row>
    <row r="364">
      <c r="B364" s="62"/>
      <c r="C364" s="7"/>
      <c r="D364" s="7"/>
    </row>
    <row r="365">
      <c r="B365" s="62"/>
      <c r="C365" s="7"/>
      <c r="D365" s="7"/>
    </row>
    <row r="366">
      <c r="B366" s="62"/>
      <c r="C366" s="7"/>
      <c r="D366" s="7"/>
    </row>
    <row r="367">
      <c r="B367" s="62"/>
      <c r="C367" s="7"/>
      <c r="D367" s="7"/>
    </row>
    <row r="368">
      <c r="B368" s="62"/>
      <c r="C368" s="7"/>
      <c r="D368" s="7"/>
    </row>
    <row r="369">
      <c r="B369" s="62"/>
      <c r="C369" s="7"/>
      <c r="D369" s="7"/>
    </row>
    <row r="370">
      <c r="B370" s="62"/>
      <c r="C370" s="7"/>
      <c r="D370" s="7"/>
    </row>
    <row r="371">
      <c r="B371" s="62"/>
      <c r="C371" s="7"/>
      <c r="D371" s="7"/>
    </row>
    <row r="372">
      <c r="B372" s="62"/>
      <c r="C372" s="7"/>
      <c r="D372" s="7"/>
    </row>
    <row r="373">
      <c r="B373" s="62"/>
      <c r="C373" s="7"/>
      <c r="D373" s="7"/>
    </row>
    <row r="374">
      <c r="B374" s="62"/>
      <c r="C374" s="7"/>
      <c r="D374" s="7"/>
    </row>
    <row r="375">
      <c r="B375" s="62"/>
      <c r="C375" s="7"/>
      <c r="D375" s="7"/>
    </row>
    <row r="376">
      <c r="B376" s="62"/>
      <c r="C376" s="7"/>
      <c r="D376" s="7"/>
    </row>
    <row r="377">
      <c r="B377" s="62"/>
      <c r="C377" s="7"/>
      <c r="D377" s="7"/>
    </row>
    <row r="378">
      <c r="B378" s="62"/>
      <c r="C378" s="7"/>
      <c r="D378" s="7"/>
    </row>
    <row r="379">
      <c r="B379" s="62"/>
      <c r="C379" s="7"/>
      <c r="D379" s="7"/>
    </row>
    <row r="380">
      <c r="B380" s="62"/>
      <c r="C380" s="7"/>
      <c r="D380" s="7"/>
    </row>
    <row r="381">
      <c r="B381" s="62"/>
      <c r="C381" s="7"/>
      <c r="D381" s="7"/>
    </row>
    <row r="382">
      <c r="B382" s="62"/>
      <c r="C382" s="7"/>
      <c r="D382" s="7"/>
    </row>
    <row r="383">
      <c r="B383" s="62"/>
      <c r="C383" s="7"/>
      <c r="D383" s="7"/>
    </row>
    <row r="384">
      <c r="B384" s="62"/>
      <c r="C384" s="7"/>
      <c r="D384" s="7"/>
    </row>
    <row r="385">
      <c r="B385" s="62"/>
      <c r="C385" s="7"/>
      <c r="D385" s="7"/>
    </row>
    <row r="386">
      <c r="B386" s="62"/>
      <c r="C386" s="7"/>
      <c r="D386" s="7"/>
    </row>
    <row r="387">
      <c r="B387" s="62"/>
      <c r="C387" s="7"/>
      <c r="D387" s="7"/>
    </row>
    <row r="388">
      <c r="B388" s="62"/>
      <c r="C388" s="7"/>
      <c r="D388" s="7"/>
    </row>
    <row r="389">
      <c r="B389" s="62"/>
      <c r="C389" s="7"/>
      <c r="D389" s="7"/>
    </row>
    <row r="390">
      <c r="B390" s="62"/>
      <c r="C390" s="7"/>
      <c r="D390" s="7"/>
    </row>
    <row r="391">
      <c r="B391" s="62"/>
      <c r="C391" s="7"/>
      <c r="D391" s="7"/>
    </row>
    <row r="392">
      <c r="B392" s="62"/>
      <c r="C392" s="7"/>
      <c r="D392" s="7"/>
    </row>
    <row r="393">
      <c r="B393" s="62"/>
      <c r="C393" s="7"/>
      <c r="D393" s="7"/>
    </row>
    <row r="394">
      <c r="B394" s="62"/>
      <c r="C394" s="7"/>
      <c r="D394" s="7"/>
    </row>
    <row r="395">
      <c r="B395" s="62"/>
      <c r="C395" s="7"/>
      <c r="D395" s="7"/>
    </row>
    <row r="396">
      <c r="B396" s="62"/>
      <c r="C396" s="7"/>
      <c r="D396" s="7"/>
    </row>
    <row r="397">
      <c r="B397" s="62"/>
      <c r="C397" s="7"/>
      <c r="D397" s="7"/>
    </row>
    <row r="398">
      <c r="B398" s="62"/>
      <c r="C398" s="7"/>
      <c r="D398" s="7"/>
    </row>
    <row r="399">
      <c r="B399" s="62"/>
      <c r="C399" s="7"/>
      <c r="D399" s="7"/>
    </row>
    <row r="400">
      <c r="B400" s="62"/>
      <c r="C400" s="7"/>
      <c r="D400" s="7"/>
    </row>
    <row r="401">
      <c r="B401" s="62"/>
      <c r="C401" s="7"/>
      <c r="D401" s="7"/>
    </row>
    <row r="402">
      <c r="B402" s="62"/>
      <c r="C402" s="7"/>
      <c r="D402" s="7"/>
    </row>
    <row r="403">
      <c r="B403" s="62"/>
      <c r="C403" s="7"/>
      <c r="D403" s="7"/>
    </row>
    <row r="404">
      <c r="B404" s="62"/>
      <c r="C404" s="7"/>
      <c r="D404" s="7"/>
    </row>
    <row r="405">
      <c r="B405" s="62"/>
      <c r="C405" s="7"/>
      <c r="D405" s="7"/>
    </row>
    <row r="406">
      <c r="B406" s="62"/>
      <c r="C406" s="7"/>
      <c r="D406" s="7"/>
    </row>
    <row r="407">
      <c r="B407" s="62"/>
      <c r="C407" s="7"/>
      <c r="D407" s="7"/>
    </row>
    <row r="408">
      <c r="B408" s="62"/>
      <c r="C408" s="7"/>
      <c r="D408" s="7"/>
    </row>
    <row r="409">
      <c r="B409" s="62"/>
      <c r="C409" s="7"/>
      <c r="D409" s="7"/>
    </row>
    <row r="410">
      <c r="B410" s="62"/>
      <c r="C410" s="7"/>
      <c r="D410" s="7"/>
    </row>
    <row r="411">
      <c r="B411" s="62"/>
      <c r="C411" s="7"/>
      <c r="D411" s="7"/>
    </row>
    <row r="412">
      <c r="B412" s="62"/>
      <c r="C412" s="7"/>
      <c r="D412" s="7"/>
    </row>
    <row r="413">
      <c r="B413" s="62"/>
      <c r="C413" s="7"/>
      <c r="D413" s="7"/>
    </row>
    <row r="414">
      <c r="B414" s="62"/>
      <c r="C414" s="7"/>
      <c r="D414" s="7"/>
    </row>
    <row r="415">
      <c r="B415" s="62"/>
      <c r="C415" s="7"/>
      <c r="D415" s="7"/>
    </row>
    <row r="416">
      <c r="B416" s="62"/>
      <c r="C416" s="7"/>
      <c r="D416" s="7"/>
    </row>
    <row r="417">
      <c r="B417" s="62"/>
      <c r="C417" s="7"/>
      <c r="D417" s="7"/>
    </row>
    <row r="418">
      <c r="B418" s="62"/>
      <c r="C418" s="7"/>
      <c r="D418" s="7"/>
    </row>
    <row r="419">
      <c r="B419" s="62"/>
      <c r="C419" s="7"/>
      <c r="D419" s="7"/>
    </row>
    <row r="420">
      <c r="B420" s="62"/>
      <c r="C420" s="7"/>
      <c r="D420" s="7"/>
    </row>
    <row r="421">
      <c r="B421" s="62"/>
      <c r="C421" s="7"/>
      <c r="D421" s="7"/>
    </row>
    <row r="422">
      <c r="B422" s="62"/>
      <c r="C422" s="7"/>
      <c r="D422" s="7"/>
    </row>
    <row r="423">
      <c r="B423" s="62"/>
      <c r="C423" s="7"/>
      <c r="D423" s="7"/>
    </row>
    <row r="424">
      <c r="B424" s="62"/>
      <c r="C424" s="7"/>
      <c r="D424" s="7"/>
    </row>
    <row r="425">
      <c r="B425" s="62"/>
      <c r="C425" s="7"/>
      <c r="D425" s="7"/>
    </row>
    <row r="426">
      <c r="B426" s="62"/>
      <c r="C426" s="7"/>
      <c r="D426" s="7"/>
    </row>
    <row r="427">
      <c r="B427" s="62"/>
      <c r="C427" s="7"/>
      <c r="D427" s="7"/>
    </row>
    <row r="428">
      <c r="B428" s="62"/>
      <c r="C428" s="7"/>
      <c r="D428" s="7"/>
    </row>
    <row r="429">
      <c r="B429" s="62"/>
      <c r="C429" s="7"/>
      <c r="D429" s="7"/>
    </row>
    <row r="430">
      <c r="B430" s="62"/>
      <c r="C430" s="7"/>
      <c r="D430" s="7"/>
    </row>
    <row r="431">
      <c r="B431" s="62"/>
      <c r="C431" s="7"/>
      <c r="D431" s="7"/>
    </row>
    <row r="432">
      <c r="B432" s="62"/>
      <c r="C432" s="7"/>
      <c r="D432" s="7"/>
    </row>
    <row r="433">
      <c r="B433" s="62"/>
      <c r="C433" s="7"/>
      <c r="D433" s="7"/>
    </row>
    <row r="434">
      <c r="B434" s="62"/>
      <c r="C434" s="7"/>
      <c r="D434" s="7"/>
    </row>
    <row r="435">
      <c r="B435" s="62"/>
      <c r="C435" s="7"/>
      <c r="D435" s="7"/>
    </row>
    <row r="436">
      <c r="B436" s="62"/>
      <c r="C436" s="7"/>
      <c r="D436" s="7"/>
    </row>
    <row r="437">
      <c r="B437" s="62"/>
      <c r="C437" s="7"/>
      <c r="D437" s="7"/>
    </row>
    <row r="438">
      <c r="B438" s="62"/>
      <c r="C438" s="7"/>
      <c r="D438" s="7"/>
    </row>
    <row r="439">
      <c r="B439" s="62"/>
      <c r="C439" s="7"/>
      <c r="D439" s="7"/>
    </row>
    <row r="440">
      <c r="B440" s="62"/>
      <c r="C440" s="7"/>
      <c r="D440" s="7"/>
    </row>
    <row r="441">
      <c r="B441" s="62"/>
      <c r="C441" s="7"/>
      <c r="D441" s="7"/>
    </row>
    <row r="442">
      <c r="B442" s="62"/>
      <c r="C442" s="7"/>
      <c r="D442" s="7"/>
    </row>
    <row r="443">
      <c r="B443" s="62"/>
      <c r="C443" s="7"/>
      <c r="D443" s="7"/>
    </row>
    <row r="444">
      <c r="B444" s="62"/>
      <c r="C444" s="7"/>
      <c r="D444" s="7"/>
    </row>
    <row r="445">
      <c r="B445" s="62"/>
      <c r="C445" s="7"/>
      <c r="D445" s="7"/>
    </row>
    <row r="446">
      <c r="B446" s="62"/>
      <c r="C446" s="7"/>
      <c r="D446" s="7"/>
    </row>
    <row r="447">
      <c r="B447" s="62"/>
      <c r="C447" s="7"/>
      <c r="D447" s="7"/>
    </row>
    <row r="448">
      <c r="B448" s="62"/>
      <c r="C448" s="7"/>
      <c r="D448" s="7"/>
    </row>
    <row r="449">
      <c r="B449" s="62"/>
      <c r="C449" s="7"/>
      <c r="D449" s="7"/>
    </row>
    <row r="450">
      <c r="B450" s="62"/>
      <c r="C450" s="7"/>
      <c r="D450" s="7"/>
    </row>
    <row r="451">
      <c r="B451" s="62"/>
      <c r="C451" s="7"/>
      <c r="D451" s="7"/>
    </row>
    <row r="452">
      <c r="B452" s="62"/>
      <c r="C452" s="7"/>
      <c r="D452" s="7"/>
    </row>
    <row r="453">
      <c r="B453" s="62"/>
      <c r="C453" s="7"/>
      <c r="D453" s="7"/>
    </row>
    <row r="454">
      <c r="B454" s="62"/>
      <c r="C454" s="7"/>
      <c r="D454" s="7"/>
    </row>
    <row r="455">
      <c r="B455" s="62"/>
      <c r="C455" s="7"/>
      <c r="D455" s="7"/>
    </row>
    <row r="456">
      <c r="B456" s="62"/>
      <c r="C456" s="7"/>
      <c r="D456" s="7"/>
    </row>
    <row r="457">
      <c r="B457" s="62"/>
      <c r="C457" s="7"/>
      <c r="D457" s="7"/>
    </row>
    <row r="458">
      <c r="B458" s="62"/>
      <c r="C458" s="7"/>
      <c r="D458" s="7"/>
    </row>
    <row r="459">
      <c r="B459" s="62"/>
      <c r="C459" s="7"/>
      <c r="D459" s="7"/>
    </row>
    <row r="460">
      <c r="B460" s="62"/>
      <c r="C460" s="7"/>
      <c r="D460" s="7"/>
    </row>
    <row r="461">
      <c r="B461" s="62"/>
      <c r="C461" s="7"/>
      <c r="D461" s="7"/>
    </row>
    <row r="462">
      <c r="B462" s="62"/>
      <c r="C462" s="7"/>
      <c r="D462" s="7"/>
    </row>
    <row r="463">
      <c r="B463" s="62"/>
      <c r="C463" s="7"/>
      <c r="D463" s="7"/>
    </row>
    <row r="464">
      <c r="B464" s="62"/>
      <c r="C464" s="7"/>
      <c r="D464" s="7"/>
    </row>
    <row r="465">
      <c r="B465" s="62"/>
      <c r="C465" s="7"/>
      <c r="D465" s="7"/>
    </row>
    <row r="466">
      <c r="B466" s="62"/>
      <c r="C466" s="7"/>
      <c r="D466" s="7"/>
    </row>
    <row r="467">
      <c r="B467" s="62"/>
      <c r="C467" s="7"/>
      <c r="D467" s="7"/>
    </row>
    <row r="468">
      <c r="B468" s="62"/>
      <c r="C468" s="7"/>
      <c r="D468" s="7"/>
    </row>
    <row r="469">
      <c r="B469" s="62"/>
      <c r="C469" s="7"/>
      <c r="D469" s="7"/>
    </row>
    <row r="470">
      <c r="B470" s="62"/>
      <c r="C470" s="7"/>
      <c r="D470" s="7"/>
    </row>
    <row r="471">
      <c r="B471" s="62"/>
      <c r="C471" s="7"/>
      <c r="D471" s="7"/>
    </row>
    <row r="472">
      <c r="B472" s="62"/>
      <c r="C472" s="7"/>
      <c r="D472" s="7"/>
    </row>
    <row r="473">
      <c r="B473" s="62"/>
      <c r="C473" s="7"/>
      <c r="D473" s="7"/>
    </row>
    <row r="474">
      <c r="B474" s="62"/>
      <c r="C474" s="7"/>
      <c r="D474" s="7"/>
    </row>
    <row r="475">
      <c r="B475" s="62"/>
      <c r="C475" s="7"/>
      <c r="D475" s="7"/>
    </row>
    <row r="476">
      <c r="B476" s="62"/>
      <c r="C476" s="7"/>
      <c r="D476" s="7"/>
    </row>
    <row r="477">
      <c r="B477" s="62"/>
      <c r="C477" s="7"/>
      <c r="D477" s="7"/>
    </row>
    <row r="478">
      <c r="B478" s="62"/>
      <c r="C478" s="7"/>
      <c r="D478" s="7"/>
    </row>
    <row r="479">
      <c r="B479" s="62"/>
      <c r="C479" s="7"/>
      <c r="D479" s="7"/>
    </row>
    <row r="480">
      <c r="B480" s="62"/>
      <c r="C480" s="7"/>
      <c r="D480" s="7"/>
    </row>
    <row r="481">
      <c r="B481" s="62"/>
      <c r="C481" s="7"/>
      <c r="D481" s="7"/>
    </row>
    <row r="482">
      <c r="B482" s="62"/>
      <c r="C482" s="7"/>
      <c r="D482" s="7"/>
    </row>
    <row r="483">
      <c r="B483" s="62"/>
      <c r="C483" s="7"/>
      <c r="D483" s="7"/>
    </row>
    <row r="484">
      <c r="B484" s="62"/>
      <c r="C484" s="7"/>
      <c r="D484" s="7"/>
    </row>
    <row r="485">
      <c r="B485" s="62"/>
      <c r="C485" s="7"/>
      <c r="D485" s="7"/>
    </row>
    <row r="486">
      <c r="B486" s="62"/>
      <c r="C486" s="7"/>
      <c r="D486" s="7"/>
    </row>
    <row r="487">
      <c r="B487" s="62"/>
      <c r="C487" s="7"/>
      <c r="D487" s="7"/>
    </row>
    <row r="488">
      <c r="B488" s="62"/>
      <c r="C488" s="7"/>
      <c r="D488" s="7"/>
    </row>
    <row r="489">
      <c r="B489" s="62"/>
      <c r="C489" s="7"/>
      <c r="D489" s="7"/>
    </row>
    <row r="490">
      <c r="B490" s="62"/>
      <c r="C490" s="7"/>
      <c r="D490" s="7"/>
    </row>
    <row r="491">
      <c r="B491" s="62"/>
      <c r="C491" s="7"/>
      <c r="D491" s="7"/>
    </row>
    <row r="492">
      <c r="B492" s="62"/>
      <c r="C492" s="7"/>
      <c r="D492" s="7"/>
    </row>
    <row r="493">
      <c r="B493" s="62"/>
      <c r="C493" s="7"/>
      <c r="D493" s="7"/>
    </row>
    <row r="494">
      <c r="B494" s="62"/>
      <c r="C494" s="7"/>
      <c r="D494" s="7"/>
    </row>
    <row r="495">
      <c r="B495" s="62"/>
      <c r="C495" s="7"/>
      <c r="D495" s="7"/>
    </row>
    <row r="496">
      <c r="B496" s="62"/>
      <c r="C496" s="7"/>
      <c r="D496" s="7"/>
    </row>
    <row r="497">
      <c r="B497" s="62"/>
      <c r="C497" s="7"/>
      <c r="D497" s="7"/>
    </row>
    <row r="498">
      <c r="B498" s="62"/>
      <c r="C498" s="7"/>
      <c r="D498" s="7"/>
    </row>
    <row r="499">
      <c r="B499" s="62"/>
      <c r="C499" s="7"/>
      <c r="D499" s="7"/>
    </row>
    <row r="500">
      <c r="B500" s="62"/>
      <c r="C500" s="7"/>
      <c r="D500" s="7"/>
    </row>
    <row r="501">
      <c r="B501" s="62"/>
      <c r="C501" s="7"/>
      <c r="D501" s="7"/>
    </row>
    <row r="502">
      <c r="B502" s="62"/>
      <c r="C502" s="7"/>
      <c r="D502" s="7"/>
    </row>
    <row r="503">
      <c r="B503" s="62"/>
      <c r="C503" s="7"/>
      <c r="D503" s="7"/>
    </row>
    <row r="504">
      <c r="B504" s="62"/>
      <c r="C504" s="7"/>
      <c r="D504" s="7"/>
    </row>
    <row r="505">
      <c r="B505" s="62"/>
      <c r="C505" s="7"/>
      <c r="D505" s="7"/>
    </row>
    <row r="506">
      <c r="B506" s="62"/>
      <c r="C506" s="7"/>
      <c r="D506" s="7"/>
    </row>
    <row r="507">
      <c r="B507" s="62"/>
      <c r="C507" s="7"/>
      <c r="D507" s="7"/>
    </row>
    <row r="508">
      <c r="B508" s="62"/>
      <c r="C508" s="7"/>
      <c r="D508" s="7"/>
    </row>
    <row r="509">
      <c r="B509" s="62"/>
      <c r="C509" s="7"/>
      <c r="D509" s="7"/>
    </row>
    <row r="510">
      <c r="B510" s="62"/>
      <c r="C510" s="7"/>
      <c r="D510" s="7"/>
    </row>
    <row r="511">
      <c r="B511" s="62"/>
      <c r="C511" s="7"/>
      <c r="D511" s="7"/>
    </row>
    <row r="512">
      <c r="B512" s="62"/>
      <c r="C512" s="7"/>
      <c r="D512" s="7"/>
    </row>
    <row r="513">
      <c r="B513" s="62"/>
      <c r="C513" s="7"/>
      <c r="D513" s="7"/>
    </row>
    <row r="514">
      <c r="B514" s="62"/>
      <c r="C514" s="7"/>
      <c r="D514" s="7"/>
    </row>
    <row r="515">
      <c r="B515" s="62"/>
      <c r="C515" s="7"/>
      <c r="D515" s="7"/>
    </row>
    <row r="516">
      <c r="B516" s="62"/>
      <c r="C516" s="7"/>
      <c r="D516" s="7"/>
    </row>
    <row r="517">
      <c r="B517" s="62"/>
      <c r="C517" s="7"/>
      <c r="D517" s="7"/>
    </row>
    <row r="518">
      <c r="B518" s="62"/>
      <c r="C518" s="7"/>
      <c r="D518" s="7"/>
    </row>
    <row r="519">
      <c r="B519" s="62"/>
      <c r="C519" s="7"/>
      <c r="D519" s="7"/>
    </row>
    <row r="520">
      <c r="B520" s="62"/>
      <c r="C520" s="7"/>
      <c r="D520" s="7"/>
    </row>
    <row r="521">
      <c r="B521" s="62"/>
      <c r="C521" s="7"/>
      <c r="D521" s="7"/>
    </row>
    <row r="522">
      <c r="B522" s="62"/>
      <c r="C522" s="7"/>
      <c r="D522" s="7"/>
    </row>
    <row r="523">
      <c r="B523" s="62"/>
      <c r="C523" s="7"/>
      <c r="D523" s="7"/>
    </row>
    <row r="524">
      <c r="B524" s="62"/>
      <c r="C524" s="7"/>
      <c r="D524" s="7"/>
    </row>
    <row r="525">
      <c r="B525" s="62"/>
      <c r="C525" s="7"/>
      <c r="D525" s="7"/>
    </row>
    <row r="526">
      <c r="B526" s="62"/>
      <c r="C526" s="7"/>
      <c r="D526" s="7"/>
    </row>
    <row r="527">
      <c r="B527" s="62"/>
      <c r="C527" s="7"/>
      <c r="D527" s="7"/>
    </row>
    <row r="528">
      <c r="B528" s="62"/>
      <c r="C528" s="7"/>
      <c r="D528" s="7"/>
    </row>
    <row r="529">
      <c r="B529" s="62"/>
      <c r="C529" s="7"/>
      <c r="D529" s="7"/>
    </row>
    <row r="530">
      <c r="B530" s="62"/>
      <c r="C530" s="7"/>
      <c r="D530" s="7"/>
    </row>
    <row r="531">
      <c r="B531" s="62"/>
      <c r="C531" s="7"/>
      <c r="D531" s="7"/>
    </row>
    <row r="532">
      <c r="B532" s="62"/>
      <c r="C532" s="7"/>
      <c r="D532" s="7"/>
    </row>
    <row r="533">
      <c r="B533" s="62"/>
      <c r="C533" s="7"/>
      <c r="D533" s="7"/>
    </row>
    <row r="534">
      <c r="B534" s="62"/>
      <c r="C534" s="7"/>
      <c r="D534" s="7"/>
    </row>
    <row r="535">
      <c r="B535" s="62"/>
      <c r="C535" s="7"/>
      <c r="D535" s="7"/>
    </row>
    <row r="536">
      <c r="B536" s="62"/>
      <c r="C536" s="7"/>
      <c r="D536" s="7"/>
    </row>
    <row r="537">
      <c r="B537" s="62"/>
      <c r="C537" s="7"/>
      <c r="D537" s="7"/>
    </row>
    <row r="538">
      <c r="B538" s="62"/>
      <c r="C538" s="7"/>
      <c r="D538" s="7"/>
    </row>
    <row r="539">
      <c r="B539" s="62"/>
      <c r="C539" s="7"/>
      <c r="D539" s="7"/>
    </row>
    <row r="540">
      <c r="B540" s="62"/>
      <c r="C540" s="7"/>
      <c r="D540" s="7"/>
    </row>
    <row r="541">
      <c r="B541" s="62"/>
      <c r="C541" s="7"/>
      <c r="D541" s="7"/>
    </row>
    <row r="542">
      <c r="B542" s="62"/>
      <c r="C542" s="7"/>
      <c r="D542" s="7"/>
    </row>
    <row r="543">
      <c r="B543" s="62"/>
      <c r="C543" s="7"/>
      <c r="D543" s="7"/>
    </row>
    <row r="544">
      <c r="B544" s="62"/>
      <c r="C544" s="7"/>
      <c r="D544" s="7"/>
    </row>
    <row r="545">
      <c r="B545" s="62"/>
      <c r="C545" s="7"/>
      <c r="D545" s="7"/>
    </row>
    <row r="546">
      <c r="B546" s="62"/>
      <c r="C546" s="7"/>
      <c r="D546" s="7"/>
    </row>
    <row r="547">
      <c r="B547" s="62"/>
      <c r="C547" s="7"/>
      <c r="D547" s="7"/>
    </row>
    <row r="548">
      <c r="B548" s="62"/>
      <c r="C548" s="7"/>
      <c r="D548" s="7"/>
    </row>
    <row r="549">
      <c r="B549" s="62"/>
      <c r="C549" s="7"/>
      <c r="D549" s="7"/>
    </row>
    <row r="550">
      <c r="B550" s="62"/>
      <c r="C550" s="7"/>
      <c r="D550" s="7"/>
    </row>
    <row r="551">
      <c r="B551" s="62"/>
      <c r="C551" s="7"/>
      <c r="D551" s="7"/>
    </row>
    <row r="552">
      <c r="B552" s="62"/>
      <c r="C552" s="7"/>
      <c r="D552" s="7"/>
    </row>
    <row r="553">
      <c r="B553" s="62"/>
      <c r="C553" s="7"/>
      <c r="D553" s="7"/>
    </row>
    <row r="554">
      <c r="B554" s="62"/>
      <c r="C554" s="7"/>
      <c r="D554" s="7"/>
    </row>
    <row r="555">
      <c r="B555" s="62"/>
      <c r="C555" s="7"/>
      <c r="D555" s="7"/>
    </row>
    <row r="556">
      <c r="B556" s="62"/>
      <c r="C556" s="7"/>
      <c r="D556" s="7"/>
    </row>
    <row r="557">
      <c r="B557" s="62"/>
      <c r="C557" s="7"/>
      <c r="D557" s="7"/>
    </row>
    <row r="558">
      <c r="B558" s="62"/>
      <c r="C558" s="7"/>
      <c r="D558" s="7"/>
    </row>
    <row r="559">
      <c r="B559" s="62"/>
      <c r="C559" s="7"/>
      <c r="D559" s="7"/>
    </row>
    <row r="560">
      <c r="B560" s="62"/>
      <c r="C560" s="7"/>
      <c r="D560" s="7"/>
    </row>
    <row r="561">
      <c r="B561" s="62"/>
      <c r="C561" s="7"/>
      <c r="D561" s="7"/>
    </row>
    <row r="562">
      <c r="B562" s="62"/>
      <c r="C562" s="7"/>
      <c r="D562" s="7"/>
    </row>
    <row r="563">
      <c r="B563" s="62"/>
      <c r="C563" s="7"/>
      <c r="D563" s="7"/>
    </row>
    <row r="564">
      <c r="B564" s="62"/>
      <c r="C564" s="7"/>
      <c r="D564" s="7"/>
    </row>
    <row r="565">
      <c r="B565" s="62"/>
      <c r="C565" s="7"/>
      <c r="D565" s="7"/>
    </row>
    <row r="566">
      <c r="B566" s="62"/>
      <c r="C566" s="7"/>
      <c r="D566" s="7"/>
    </row>
    <row r="567">
      <c r="B567" s="62"/>
      <c r="C567" s="7"/>
      <c r="D567" s="7"/>
    </row>
    <row r="568">
      <c r="B568" s="62"/>
      <c r="C568" s="7"/>
      <c r="D568" s="7"/>
    </row>
    <row r="569">
      <c r="B569" s="62"/>
      <c r="C569" s="7"/>
      <c r="D569" s="7"/>
    </row>
    <row r="570">
      <c r="B570" s="62"/>
      <c r="C570" s="7"/>
      <c r="D570" s="7"/>
    </row>
    <row r="571">
      <c r="B571" s="62"/>
      <c r="C571" s="7"/>
      <c r="D571" s="7"/>
    </row>
    <row r="572">
      <c r="B572" s="62"/>
      <c r="C572" s="7"/>
      <c r="D572" s="7"/>
    </row>
    <row r="573">
      <c r="B573" s="62"/>
      <c r="C573" s="7"/>
      <c r="D573" s="7"/>
    </row>
    <row r="574">
      <c r="B574" s="62"/>
      <c r="C574" s="7"/>
      <c r="D574" s="7"/>
    </row>
    <row r="575">
      <c r="B575" s="62"/>
      <c r="C575" s="7"/>
      <c r="D575" s="7"/>
    </row>
    <row r="576">
      <c r="B576" s="62"/>
      <c r="C576" s="7"/>
      <c r="D576" s="7"/>
    </row>
    <row r="577">
      <c r="B577" s="62"/>
      <c r="C577" s="7"/>
      <c r="D577" s="7"/>
    </row>
    <row r="578">
      <c r="B578" s="62"/>
      <c r="C578" s="7"/>
      <c r="D578" s="7"/>
    </row>
    <row r="579">
      <c r="B579" s="62"/>
      <c r="C579" s="7"/>
      <c r="D579" s="7"/>
    </row>
    <row r="580">
      <c r="B580" s="62"/>
      <c r="C580" s="7"/>
      <c r="D580" s="7"/>
    </row>
    <row r="581">
      <c r="B581" s="62"/>
      <c r="C581" s="7"/>
      <c r="D581" s="7"/>
    </row>
    <row r="582">
      <c r="B582" s="62"/>
      <c r="C582" s="7"/>
      <c r="D582" s="7"/>
    </row>
    <row r="583">
      <c r="B583" s="62"/>
      <c r="C583" s="7"/>
      <c r="D583" s="7"/>
    </row>
    <row r="584">
      <c r="B584" s="62"/>
      <c r="C584" s="7"/>
      <c r="D584" s="7"/>
    </row>
    <row r="585">
      <c r="B585" s="62"/>
      <c r="C585" s="7"/>
      <c r="D585" s="7"/>
    </row>
    <row r="586">
      <c r="B586" s="62"/>
      <c r="C586" s="7"/>
      <c r="D586" s="7"/>
    </row>
    <row r="587">
      <c r="B587" s="62"/>
      <c r="C587" s="7"/>
      <c r="D587" s="7"/>
    </row>
    <row r="588">
      <c r="B588" s="62"/>
      <c r="C588" s="7"/>
      <c r="D588" s="7"/>
    </row>
    <row r="589">
      <c r="B589" s="62"/>
      <c r="C589" s="7"/>
      <c r="D589" s="7"/>
    </row>
    <row r="590">
      <c r="B590" s="62"/>
      <c r="C590" s="7"/>
      <c r="D590" s="7"/>
    </row>
    <row r="591">
      <c r="B591" s="62"/>
      <c r="C591" s="7"/>
      <c r="D591" s="7"/>
    </row>
    <row r="592">
      <c r="B592" s="62"/>
      <c r="C592" s="7"/>
      <c r="D592" s="7"/>
    </row>
    <row r="593">
      <c r="B593" s="62"/>
      <c r="C593" s="7"/>
      <c r="D593" s="7"/>
    </row>
    <row r="594">
      <c r="B594" s="62"/>
      <c r="C594" s="7"/>
      <c r="D594" s="7"/>
    </row>
    <row r="595">
      <c r="B595" s="62"/>
      <c r="C595" s="7"/>
      <c r="D595" s="7"/>
    </row>
    <row r="596">
      <c r="B596" s="62"/>
      <c r="C596" s="7"/>
      <c r="D596" s="7"/>
    </row>
    <row r="597">
      <c r="B597" s="62"/>
      <c r="C597" s="7"/>
      <c r="D597" s="7"/>
    </row>
    <row r="598">
      <c r="B598" s="62"/>
      <c r="C598" s="7"/>
      <c r="D598" s="7"/>
    </row>
    <row r="599">
      <c r="B599" s="62"/>
      <c r="C599" s="7"/>
      <c r="D599" s="7"/>
    </row>
    <row r="600">
      <c r="B600" s="62"/>
      <c r="C600" s="7"/>
      <c r="D600" s="7"/>
    </row>
    <row r="601">
      <c r="B601" s="62"/>
      <c r="C601" s="7"/>
      <c r="D601" s="7"/>
    </row>
    <row r="602">
      <c r="B602" s="62"/>
      <c r="C602" s="7"/>
      <c r="D602" s="7"/>
    </row>
    <row r="603">
      <c r="B603" s="62"/>
      <c r="C603" s="7"/>
      <c r="D603" s="7"/>
    </row>
    <row r="604">
      <c r="B604" s="62"/>
      <c r="C604" s="7"/>
      <c r="D604" s="7"/>
    </row>
    <row r="605">
      <c r="B605" s="62"/>
      <c r="C605" s="7"/>
      <c r="D605" s="7"/>
    </row>
    <row r="606">
      <c r="B606" s="62"/>
      <c r="C606" s="7"/>
      <c r="D606" s="7"/>
    </row>
    <row r="607">
      <c r="B607" s="62"/>
      <c r="C607" s="7"/>
      <c r="D607" s="7"/>
    </row>
    <row r="608">
      <c r="B608" s="62"/>
      <c r="C608" s="7"/>
      <c r="D608" s="7"/>
    </row>
    <row r="609">
      <c r="B609" s="62"/>
      <c r="C609" s="7"/>
      <c r="D609" s="7"/>
    </row>
    <row r="610">
      <c r="B610" s="62"/>
      <c r="C610" s="7"/>
      <c r="D610" s="7"/>
    </row>
    <row r="611">
      <c r="B611" s="62"/>
      <c r="C611" s="7"/>
      <c r="D611" s="7"/>
    </row>
    <row r="612">
      <c r="B612" s="62"/>
      <c r="C612" s="7"/>
      <c r="D612" s="7"/>
    </row>
    <row r="613">
      <c r="B613" s="62"/>
      <c r="C613" s="7"/>
      <c r="D613" s="7"/>
    </row>
    <row r="614">
      <c r="B614" s="62"/>
      <c r="C614" s="7"/>
      <c r="D614" s="7"/>
    </row>
    <row r="615">
      <c r="B615" s="62"/>
      <c r="C615" s="7"/>
      <c r="D615" s="7"/>
    </row>
    <row r="616">
      <c r="B616" s="62"/>
      <c r="C616" s="7"/>
      <c r="D616" s="7"/>
    </row>
    <row r="617">
      <c r="B617" s="62"/>
      <c r="C617" s="7"/>
      <c r="D617" s="7"/>
    </row>
    <row r="618">
      <c r="B618" s="62"/>
      <c r="C618" s="7"/>
      <c r="D618" s="7"/>
    </row>
    <row r="619">
      <c r="B619" s="62"/>
      <c r="C619" s="7"/>
      <c r="D619" s="7"/>
    </row>
    <row r="620">
      <c r="B620" s="62"/>
      <c r="C620" s="7"/>
      <c r="D620" s="7"/>
    </row>
    <row r="621">
      <c r="B621" s="62"/>
      <c r="C621" s="7"/>
      <c r="D621" s="7"/>
    </row>
    <row r="622">
      <c r="B622" s="62"/>
      <c r="C622" s="7"/>
      <c r="D622" s="7"/>
    </row>
    <row r="623">
      <c r="B623" s="62"/>
      <c r="C623" s="7"/>
      <c r="D623" s="7"/>
    </row>
    <row r="624">
      <c r="B624" s="62"/>
      <c r="C624" s="7"/>
      <c r="D624" s="7"/>
    </row>
    <row r="625">
      <c r="B625" s="62"/>
      <c r="C625" s="7"/>
      <c r="D625" s="7"/>
    </row>
    <row r="626">
      <c r="B626" s="62"/>
      <c r="C626" s="7"/>
      <c r="D626" s="7"/>
    </row>
    <row r="627">
      <c r="B627" s="62"/>
      <c r="C627" s="7"/>
      <c r="D627" s="7"/>
    </row>
    <row r="628">
      <c r="B628" s="62"/>
      <c r="C628" s="7"/>
      <c r="D628" s="7"/>
    </row>
    <row r="629">
      <c r="B629" s="62"/>
      <c r="C629" s="7"/>
      <c r="D629" s="7"/>
    </row>
    <row r="630">
      <c r="B630" s="62"/>
      <c r="C630" s="7"/>
      <c r="D630" s="7"/>
    </row>
    <row r="631">
      <c r="B631" s="62"/>
      <c r="C631" s="7"/>
      <c r="D631" s="7"/>
    </row>
    <row r="632">
      <c r="B632" s="62"/>
      <c r="C632" s="7"/>
      <c r="D632" s="7"/>
    </row>
    <row r="633">
      <c r="B633" s="62"/>
      <c r="C633" s="7"/>
      <c r="D633" s="7"/>
    </row>
    <row r="634">
      <c r="B634" s="62"/>
      <c r="C634" s="7"/>
      <c r="D634" s="7"/>
    </row>
    <row r="635">
      <c r="B635" s="62"/>
      <c r="C635" s="7"/>
      <c r="D635" s="7"/>
    </row>
    <row r="636">
      <c r="B636" s="62"/>
      <c r="C636" s="7"/>
      <c r="D636" s="7"/>
    </row>
    <row r="637">
      <c r="B637" s="62"/>
      <c r="C637" s="7"/>
      <c r="D637" s="7"/>
    </row>
    <row r="638">
      <c r="B638" s="62"/>
      <c r="C638" s="7"/>
      <c r="D638" s="7"/>
    </row>
    <row r="639">
      <c r="B639" s="62"/>
      <c r="C639" s="7"/>
      <c r="D639" s="7"/>
    </row>
    <row r="640">
      <c r="B640" s="62"/>
      <c r="C640" s="7"/>
      <c r="D640" s="7"/>
    </row>
    <row r="641">
      <c r="B641" s="62"/>
      <c r="C641" s="7"/>
      <c r="D641" s="7"/>
    </row>
    <row r="642">
      <c r="B642" s="62"/>
      <c r="C642" s="7"/>
      <c r="D642" s="7"/>
    </row>
    <row r="643">
      <c r="B643" s="62"/>
      <c r="C643" s="7"/>
      <c r="D643" s="7"/>
    </row>
    <row r="644">
      <c r="B644" s="62"/>
      <c r="C644" s="7"/>
      <c r="D644" s="7"/>
    </row>
    <row r="645">
      <c r="B645" s="62"/>
      <c r="C645" s="7"/>
      <c r="D645" s="7"/>
    </row>
    <row r="646">
      <c r="B646" s="62"/>
      <c r="C646" s="7"/>
      <c r="D646" s="7"/>
    </row>
    <row r="647">
      <c r="B647" s="62"/>
      <c r="C647" s="7"/>
      <c r="D647" s="7"/>
    </row>
    <row r="648">
      <c r="B648" s="62"/>
      <c r="C648" s="7"/>
      <c r="D648" s="7"/>
    </row>
    <row r="649">
      <c r="B649" s="62"/>
      <c r="C649" s="7"/>
      <c r="D649" s="7"/>
    </row>
    <row r="650">
      <c r="B650" s="62"/>
      <c r="C650" s="7"/>
      <c r="D650" s="7"/>
    </row>
    <row r="651">
      <c r="B651" s="62"/>
      <c r="C651" s="7"/>
      <c r="D651" s="7"/>
    </row>
    <row r="652">
      <c r="B652" s="62"/>
      <c r="C652" s="7"/>
      <c r="D652" s="7"/>
    </row>
    <row r="653">
      <c r="B653" s="62"/>
      <c r="C653" s="7"/>
      <c r="D653" s="7"/>
    </row>
    <row r="654">
      <c r="B654" s="62"/>
      <c r="C654" s="7"/>
      <c r="D654" s="7"/>
    </row>
    <row r="655">
      <c r="B655" s="62"/>
      <c r="C655" s="7"/>
      <c r="D655" s="7"/>
    </row>
    <row r="656">
      <c r="B656" s="62"/>
      <c r="C656" s="7"/>
      <c r="D656" s="7"/>
    </row>
    <row r="657">
      <c r="B657" s="62"/>
      <c r="C657" s="7"/>
      <c r="D657" s="7"/>
    </row>
    <row r="658">
      <c r="B658" s="62"/>
      <c r="C658" s="7"/>
      <c r="D658" s="7"/>
    </row>
    <row r="659">
      <c r="B659" s="62"/>
      <c r="C659" s="7"/>
      <c r="D659" s="7"/>
    </row>
    <row r="660">
      <c r="B660" s="62"/>
      <c r="C660" s="7"/>
      <c r="D660" s="7"/>
    </row>
    <row r="661">
      <c r="B661" s="62"/>
      <c r="C661" s="7"/>
      <c r="D661" s="7"/>
    </row>
    <row r="662">
      <c r="B662" s="62"/>
      <c r="C662" s="7"/>
      <c r="D662" s="7"/>
    </row>
    <row r="663">
      <c r="B663" s="62"/>
      <c r="C663" s="7"/>
      <c r="D663" s="7"/>
    </row>
    <row r="664">
      <c r="B664" s="62"/>
      <c r="C664" s="7"/>
      <c r="D664" s="7"/>
    </row>
    <row r="665">
      <c r="B665" s="62"/>
      <c r="C665" s="7"/>
      <c r="D665" s="7"/>
    </row>
    <row r="666">
      <c r="B666" s="62"/>
      <c r="C666" s="7"/>
      <c r="D666" s="7"/>
    </row>
    <row r="667">
      <c r="B667" s="62"/>
      <c r="C667" s="7"/>
      <c r="D667" s="7"/>
    </row>
    <row r="668">
      <c r="B668" s="62"/>
      <c r="C668" s="7"/>
      <c r="D668" s="7"/>
    </row>
    <row r="669">
      <c r="B669" s="62"/>
      <c r="C669" s="7"/>
      <c r="D669" s="7"/>
    </row>
    <row r="670">
      <c r="B670" s="62"/>
      <c r="C670" s="7"/>
      <c r="D670" s="7"/>
    </row>
    <row r="671">
      <c r="B671" s="62"/>
      <c r="C671" s="7"/>
      <c r="D671" s="7"/>
    </row>
    <row r="672">
      <c r="B672" s="62"/>
      <c r="C672" s="7"/>
      <c r="D672" s="7"/>
    </row>
    <row r="673">
      <c r="B673" s="62"/>
      <c r="C673" s="7"/>
      <c r="D673" s="7"/>
    </row>
    <row r="674">
      <c r="B674" s="62"/>
      <c r="C674" s="7"/>
      <c r="D674" s="7"/>
    </row>
    <row r="675">
      <c r="B675" s="62"/>
      <c r="C675" s="7"/>
      <c r="D675" s="7"/>
    </row>
    <row r="676">
      <c r="B676" s="62"/>
      <c r="C676" s="7"/>
      <c r="D676" s="7"/>
    </row>
    <row r="677">
      <c r="B677" s="62"/>
      <c r="C677" s="7"/>
      <c r="D677" s="7"/>
    </row>
    <row r="678">
      <c r="B678" s="62"/>
      <c r="C678" s="7"/>
      <c r="D678" s="7"/>
    </row>
    <row r="679">
      <c r="B679" s="62"/>
      <c r="C679" s="7"/>
      <c r="D679" s="7"/>
    </row>
    <row r="680">
      <c r="B680" s="62"/>
      <c r="C680" s="7"/>
      <c r="D680" s="7"/>
    </row>
    <row r="681">
      <c r="B681" s="62"/>
      <c r="C681" s="7"/>
      <c r="D681" s="7"/>
    </row>
    <row r="682">
      <c r="B682" s="62"/>
      <c r="C682" s="7"/>
      <c r="D682" s="7"/>
    </row>
    <row r="683">
      <c r="B683" s="62"/>
      <c r="C683" s="7"/>
      <c r="D683" s="7"/>
    </row>
    <row r="684">
      <c r="B684" s="62"/>
      <c r="C684" s="7"/>
      <c r="D684" s="7"/>
    </row>
    <row r="685">
      <c r="B685" s="62"/>
      <c r="C685" s="7"/>
      <c r="D685" s="7"/>
    </row>
    <row r="686">
      <c r="B686" s="62"/>
      <c r="C686" s="7"/>
      <c r="D686" s="7"/>
    </row>
    <row r="687">
      <c r="B687" s="62"/>
      <c r="C687" s="7"/>
      <c r="D687" s="7"/>
    </row>
    <row r="688">
      <c r="B688" s="62"/>
      <c r="C688" s="7"/>
      <c r="D688" s="7"/>
    </row>
    <row r="689">
      <c r="B689" s="62"/>
      <c r="C689" s="7"/>
      <c r="D689" s="7"/>
    </row>
    <row r="690">
      <c r="B690" s="62"/>
      <c r="C690" s="7"/>
      <c r="D690" s="7"/>
    </row>
    <row r="691">
      <c r="B691" s="62"/>
      <c r="C691" s="7"/>
      <c r="D691" s="7"/>
    </row>
    <row r="692">
      <c r="B692" s="62"/>
      <c r="C692" s="7"/>
      <c r="D692" s="7"/>
    </row>
    <row r="693">
      <c r="B693" s="62"/>
      <c r="C693" s="7"/>
      <c r="D693" s="7"/>
    </row>
    <row r="694">
      <c r="B694" s="62"/>
      <c r="C694" s="7"/>
      <c r="D694" s="7"/>
    </row>
    <row r="695">
      <c r="B695" s="62"/>
      <c r="C695" s="7"/>
      <c r="D695" s="7"/>
    </row>
    <row r="696">
      <c r="B696" s="62"/>
      <c r="C696" s="7"/>
      <c r="D696" s="7"/>
    </row>
    <row r="697">
      <c r="B697" s="62"/>
      <c r="C697" s="7"/>
      <c r="D697" s="7"/>
    </row>
    <row r="698">
      <c r="B698" s="62"/>
      <c r="C698" s="7"/>
      <c r="D698" s="7"/>
    </row>
    <row r="699">
      <c r="B699" s="62"/>
      <c r="C699" s="7"/>
      <c r="D699" s="7"/>
    </row>
    <row r="700">
      <c r="B700" s="62"/>
      <c r="C700" s="7"/>
      <c r="D700" s="7"/>
    </row>
    <row r="701">
      <c r="B701" s="62"/>
      <c r="C701" s="7"/>
      <c r="D701" s="7"/>
    </row>
    <row r="702">
      <c r="B702" s="62"/>
      <c r="C702" s="7"/>
      <c r="D702" s="7"/>
    </row>
    <row r="703">
      <c r="B703" s="62"/>
      <c r="C703" s="7"/>
      <c r="D703" s="7"/>
    </row>
    <row r="704">
      <c r="B704" s="62"/>
      <c r="C704" s="7"/>
      <c r="D704" s="7"/>
    </row>
    <row r="705">
      <c r="B705" s="62"/>
      <c r="C705" s="7"/>
      <c r="D705" s="7"/>
    </row>
    <row r="706">
      <c r="B706" s="62"/>
      <c r="C706" s="7"/>
      <c r="D706" s="7"/>
    </row>
    <row r="707">
      <c r="B707" s="62"/>
      <c r="C707" s="7"/>
      <c r="D707" s="7"/>
    </row>
    <row r="708">
      <c r="B708" s="62"/>
      <c r="C708" s="7"/>
      <c r="D708" s="7"/>
    </row>
    <row r="709">
      <c r="B709" s="62"/>
      <c r="C709" s="7"/>
      <c r="D709" s="7"/>
    </row>
    <row r="710">
      <c r="B710" s="62"/>
      <c r="C710" s="7"/>
      <c r="D710" s="7"/>
    </row>
    <row r="711">
      <c r="B711" s="62"/>
      <c r="C711" s="7"/>
      <c r="D711" s="7"/>
    </row>
    <row r="712">
      <c r="B712" s="62"/>
      <c r="C712" s="7"/>
      <c r="D712" s="7"/>
    </row>
    <row r="713">
      <c r="B713" s="62"/>
      <c r="C713" s="7"/>
      <c r="D713" s="7"/>
    </row>
    <row r="714">
      <c r="B714" s="62"/>
      <c r="C714" s="7"/>
      <c r="D714" s="7"/>
    </row>
    <row r="715">
      <c r="B715" s="62"/>
      <c r="C715" s="7"/>
      <c r="D715" s="7"/>
    </row>
    <row r="716">
      <c r="B716" s="62"/>
      <c r="C716" s="7"/>
      <c r="D716" s="7"/>
    </row>
    <row r="717">
      <c r="B717" s="62"/>
      <c r="C717" s="7"/>
      <c r="D717" s="7"/>
    </row>
    <row r="718">
      <c r="B718" s="62"/>
      <c r="C718" s="7"/>
      <c r="D718" s="7"/>
    </row>
    <row r="719">
      <c r="B719" s="62"/>
      <c r="C719" s="7"/>
      <c r="D719" s="7"/>
    </row>
    <row r="720">
      <c r="B720" s="62"/>
      <c r="C720" s="7"/>
      <c r="D720" s="7"/>
    </row>
    <row r="721">
      <c r="B721" s="62"/>
      <c r="C721" s="7"/>
      <c r="D721" s="7"/>
    </row>
    <row r="722">
      <c r="B722" s="62"/>
      <c r="C722" s="7"/>
      <c r="D722" s="7"/>
    </row>
    <row r="723">
      <c r="B723" s="62"/>
      <c r="C723" s="7"/>
      <c r="D723" s="7"/>
    </row>
    <row r="724">
      <c r="B724" s="62"/>
      <c r="C724" s="7"/>
      <c r="D724" s="7"/>
    </row>
    <row r="725">
      <c r="B725" s="62"/>
      <c r="C725" s="7"/>
      <c r="D725" s="7"/>
    </row>
    <row r="726">
      <c r="B726" s="62"/>
      <c r="C726" s="7"/>
      <c r="D726" s="7"/>
    </row>
    <row r="727">
      <c r="B727" s="62"/>
      <c r="C727" s="7"/>
      <c r="D727" s="7"/>
    </row>
    <row r="728">
      <c r="B728" s="62"/>
      <c r="C728" s="7"/>
      <c r="D728" s="7"/>
    </row>
    <row r="729">
      <c r="B729" s="62"/>
      <c r="C729" s="7"/>
      <c r="D729" s="7"/>
    </row>
    <row r="730">
      <c r="B730" s="62"/>
      <c r="C730" s="7"/>
      <c r="D730" s="7"/>
    </row>
    <row r="731">
      <c r="B731" s="62"/>
      <c r="C731" s="7"/>
      <c r="D731" s="7"/>
    </row>
    <row r="732">
      <c r="B732" s="62"/>
      <c r="C732" s="7"/>
      <c r="D732" s="7"/>
    </row>
    <row r="733">
      <c r="B733" s="62"/>
      <c r="C733" s="7"/>
      <c r="D733" s="7"/>
    </row>
    <row r="734">
      <c r="B734" s="62"/>
      <c r="C734" s="7"/>
      <c r="D734" s="7"/>
    </row>
    <row r="735">
      <c r="B735" s="62"/>
      <c r="C735" s="7"/>
      <c r="D735" s="7"/>
    </row>
    <row r="736">
      <c r="B736" s="62"/>
      <c r="C736" s="7"/>
      <c r="D736" s="7"/>
    </row>
    <row r="737">
      <c r="B737" s="62"/>
      <c r="C737" s="7"/>
      <c r="D737" s="7"/>
    </row>
    <row r="738">
      <c r="B738" s="62"/>
      <c r="C738" s="7"/>
      <c r="D738" s="7"/>
    </row>
    <row r="739">
      <c r="B739" s="62"/>
      <c r="C739" s="7"/>
      <c r="D739" s="7"/>
    </row>
    <row r="740">
      <c r="B740" s="62"/>
      <c r="C740" s="7"/>
      <c r="D740" s="7"/>
    </row>
    <row r="741">
      <c r="B741" s="62"/>
      <c r="C741" s="7"/>
      <c r="D741" s="7"/>
    </row>
    <row r="742">
      <c r="B742" s="62"/>
      <c r="C742" s="7"/>
      <c r="D742" s="7"/>
    </row>
    <row r="743">
      <c r="B743" s="62"/>
      <c r="C743" s="7"/>
      <c r="D743" s="7"/>
    </row>
    <row r="744">
      <c r="B744" s="62"/>
      <c r="C744" s="7"/>
      <c r="D744" s="7"/>
    </row>
    <row r="745">
      <c r="B745" s="62"/>
      <c r="C745" s="7"/>
      <c r="D745" s="7"/>
    </row>
    <row r="746">
      <c r="B746" s="62"/>
      <c r="C746" s="7"/>
      <c r="D746" s="7"/>
    </row>
    <row r="747">
      <c r="B747" s="62"/>
      <c r="C747" s="7"/>
      <c r="D747" s="7"/>
    </row>
    <row r="748">
      <c r="B748" s="62"/>
      <c r="C748" s="7"/>
      <c r="D748" s="7"/>
    </row>
    <row r="749">
      <c r="B749" s="62"/>
      <c r="C749" s="7"/>
      <c r="D749" s="7"/>
    </row>
    <row r="750">
      <c r="B750" s="62"/>
      <c r="C750" s="7"/>
      <c r="D750" s="7"/>
    </row>
    <row r="751">
      <c r="B751" s="62"/>
      <c r="C751" s="7"/>
      <c r="D751" s="7"/>
    </row>
    <row r="752">
      <c r="B752" s="62"/>
      <c r="C752" s="7"/>
      <c r="D752" s="7"/>
    </row>
    <row r="753">
      <c r="B753" s="62"/>
      <c r="C753" s="7"/>
      <c r="D753" s="7"/>
    </row>
    <row r="754">
      <c r="B754" s="62"/>
      <c r="C754" s="7"/>
      <c r="D754" s="7"/>
    </row>
    <row r="755">
      <c r="B755" s="62"/>
      <c r="C755" s="7"/>
      <c r="D755" s="7"/>
    </row>
    <row r="756">
      <c r="B756" s="62"/>
      <c r="C756" s="7"/>
      <c r="D756" s="7"/>
    </row>
    <row r="757">
      <c r="B757" s="62"/>
      <c r="C757" s="7"/>
      <c r="D757" s="7"/>
    </row>
    <row r="758">
      <c r="B758" s="62"/>
      <c r="C758" s="7"/>
      <c r="D758" s="7"/>
    </row>
    <row r="759">
      <c r="B759" s="62"/>
      <c r="C759" s="7"/>
      <c r="D759" s="7"/>
    </row>
    <row r="760">
      <c r="B760" s="62"/>
      <c r="C760" s="7"/>
      <c r="D760" s="7"/>
    </row>
    <row r="761">
      <c r="B761" s="62"/>
      <c r="C761" s="7"/>
      <c r="D761" s="7"/>
    </row>
    <row r="762">
      <c r="B762" s="62"/>
      <c r="C762" s="7"/>
      <c r="D762" s="7"/>
    </row>
    <row r="763">
      <c r="B763" s="62"/>
      <c r="C763" s="7"/>
      <c r="D763" s="7"/>
    </row>
    <row r="764">
      <c r="B764" s="62"/>
      <c r="C764" s="7"/>
      <c r="D764" s="7"/>
    </row>
    <row r="765">
      <c r="B765" s="62"/>
      <c r="C765" s="7"/>
      <c r="D765" s="7"/>
    </row>
    <row r="766">
      <c r="B766" s="62"/>
      <c r="C766" s="7"/>
      <c r="D766" s="7"/>
    </row>
    <row r="767">
      <c r="B767" s="62"/>
      <c r="C767" s="7"/>
      <c r="D767" s="7"/>
    </row>
    <row r="768">
      <c r="B768" s="62"/>
      <c r="C768" s="7"/>
      <c r="D768" s="7"/>
    </row>
    <row r="769">
      <c r="B769" s="62"/>
      <c r="C769" s="7"/>
      <c r="D769" s="7"/>
    </row>
    <row r="770">
      <c r="B770" s="62"/>
      <c r="C770" s="7"/>
      <c r="D770" s="7"/>
    </row>
    <row r="771">
      <c r="B771" s="62"/>
      <c r="C771" s="7"/>
      <c r="D771" s="7"/>
    </row>
    <row r="772">
      <c r="B772" s="62"/>
      <c r="C772" s="7"/>
      <c r="D772" s="7"/>
    </row>
    <row r="773">
      <c r="B773" s="62"/>
      <c r="C773" s="7"/>
      <c r="D773" s="7"/>
    </row>
    <row r="774">
      <c r="B774" s="62"/>
      <c r="C774" s="7"/>
      <c r="D774" s="7"/>
    </row>
    <row r="775">
      <c r="B775" s="62"/>
      <c r="C775" s="7"/>
      <c r="D775" s="7"/>
    </row>
    <row r="776">
      <c r="B776" s="62"/>
      <c r="C776" s="7"/>
      <c r="D776" s="7"/>
    </row>
    <row r="777">
      <c r="B777" s="62"/>
      <c r="C777" s="7"/>
      <c r="D777" s="7"/>
    </row>
    <row r="778">
      <c r="B778" s="62"/>
      <c r="C778" s="7"/>
      <c r="D778" s="7"/>
    </row>
    <row r="779">
      <c r="B779" s="62"/>
      <c r="C779" s="7"/>
      <c r="D779" s="7"/>
    </row>
    <row r="780">
      <c r="B780" s="62"/>
      <c r="C780" s="7"/>
      <c r="D780" s="7"/>
    </row>
    <row r="781">
      <c r="B781" s="62"/>
      <c r="C781" s="7"/>
      <c r="D781" s="7"/>
    </row>
    <row r="782">
      <c r="B782" s="62"/>
      <c r="C782" s="7"/>
      <c r="D782" s="7"/>
    </row>
    <row r="783">
      <c r="B783" s="62"/>
      <c r="C783" s="7"/>
      <c r="D783" s="7"/>
    </row>
    <row r="784">
      <c r="B784" s="62"/>
      <c r="C784" s="7"/>
      <c r="D784" s="7"/>
    </row>
    <row r="785">
      <c r="B785" s="62"/>
      <c r="C785" s="7"/>
      <c r="D785" s="7"/>
    </row>
    <row r="786">
      <c r="B786" s="62"/>
      <c r="C786" s="7"/>
      <c r="D786" s="7"/>
    </row>
    <row r="787">
      <c r="B787" s="62"/>
      <c r="C787" s="7"/>
      <c r="D787" s="7"/>
    </row>
    <row r="788">
      <c r="B788" s="62"/>
      <c r="C788" s="7"/>
      <c r="D788" s="7"/>
    </row>
    <row r="789">
      <c r="B789" s="62"/>
      <c r="C789" s="7"/>
      <c r="D789" s="7"/>
    </row>
    <row r="790">
      <c r="B790" s="62"/>
      <c r="C790" s="7"/>
      <c r="D790" s="7"/>
    </row>
    <row r="791">
      <c r="B791" s="62"/>
      <c r="C791" s="7"/>
      <c r="D791" s="7"/>
    </row>
    <row r="792">
      <c r="B792" s="62"/>
      <c r="C792" s="7"/>
      <c r="D792" s="7"/>
    </row>
    <row r="793">
      <c r="B793" s="62"/>
      <c r="C793" s="7"/>
      <c r="D793" s="7"/>
    </row>
    <row r="794">
      <c r="B794" s="62"/>
      <c r="C794" s="7"/>
      <c r="D794" s="7"/>
    </row>
    <row r="795">
      <c r="B795" s="62"/>
      <c r="C795" s="7"/>
      <c r="D795" s="7"/>
    </row>
    <row r="796">
      <c r="B796" s="62"/>
      <c r="C796" s="7"/>
      <c r="D796" s="7"/>
    </row>
    <row r="797">
      <c r="B797" s="62"/>
      <c r="C797" s="7"/>
      <c r="D797" s="7"/>
    </row>
    <row r="798">
      <c r="B798" s="62"/>
      <c r="C798" s="7"/>
      <c r="D798" s="7"/>
    </row>
    <row r="799">
      <c r="B799" s="62"/>
      <c r="C799" s="7"/>
      <c r="D799" s="7"/>
    </row>
    <row r="800">
      <c r="B800" s="62"/>
      <c r="C800" s="7"/>
      <c r="D800" s="7"/>
    </row>
    <row r="801">
      <c r="B801" s="62"/>
      <c r="C801" s="7"/>
      <c r="D801" s="7"/>
    </row>
    <row r="802">
      <c r="B802" s="62"/>
      <c r="C802" s="7"/>
      <c r="D802" s="7"/>
    </row>
    <row r="803">
      <c r="B803" s="62"/>
      <c r="C803" s="7"/>
      <c r="D803" s="7"/>
    </row>
    <row r="804">
      <c r="B804" s="62"/>
      <c r="C804" s="7"/>
      <c r="D804" s="7"/>
    </row>
    <row r="805">
      <c r="B805" s="62"/>
      <c r="C805" s="7"/>
      <c r="D805" s="7"/>
    </row>
    <row r="806">
      <c r="B806" s="62"/>
      <c r="C806" s="7"/>
      <c r="D806" s="7"/>
    </row>
    <row r="807">
      <c r="B807" s="62"/>
      <c r="C807" s="7"/>
      <c r="D807" s="7"/>
    </row>
    <row r="808">
      <c r="B808" s="62"/>
      <c r="C808" s="7"/>
      <c r="D808" s="7"/>
    </row>
    <row r="809">
      <c r="B809" s="62"/>
      <c r="C809" s="7"/>
      <c r="D809" s="7"/>
    </row>
    <row r="810">
      <c r="B810" s="62"/>
      <c r="C810" s="7"/>
      <c r="D810" s="7"/>
    </row>
    <row r="811">
      <c r="B811" s="62"/>
      <c r="C811" s="7"/>
      <c r="D811" s="7"/>
    </row>
    <row r="812">
      <c r="B812" s="62"/>
      <c r="C812" s="7"/>
      <c r="D812" s="7"/>
    </row>
    <row r="813">
      <c r="B813" s="62"/>
      <c r="C813" s="7"/>
      <c r="D813" s="7"/>
    </row>
    <row r="814">
      <c r="B814" s="62"/>
      <c r="C814" s="7"/>
      <c r="D814" s="7"/>
    </row>
    <row r="815">
      <c r="B815" s="62"/>
      <c r="C815" s="7"/>
      <c r="D815" s="7"/>
    </row>
    <row r="816">
      <c r="B816" s="62"/>
      <c r="C816" s="7"/>
      <c r="D816" s="7"/>
    </row>
    <row r="817">
      <c r="B817" s="62"/>
      <c r="C817" s="7"/>
      <c r="D817" s="7"/>
    </row>
    <row r="818">
      <c r="B818" s="62"/>
      <c r="C818" s="7"/>
      <c r="D818" s="7"/>
    </row>
    <row r="819">
      <c r="B819" s="62"/>
      <c r="C819" s="7"/>
      <c r="D819" s="7"/>
    </row>
    <row r="820">
      <c r="B820" s="62"/>
      <c r="C820" s="7"/>
      <c r="D820" s="7"/>
    </row>
    <row r="821">
      <c r="B821" s="62"/>
      <c r="C821" s="7"/>
      <c r="D821" s="7"/>
    </row>
    <row r="822">
      <c r="B822" s="62"/>
      <c r="C822" s="7"/>
      <c r="D822" s="7"/>
    </row>
    <row r="823">
      <c r="B823" s="62"/>
      <c r="C823" s="7"/>
      <c r="D823" s="7"/>
    </row>
    <row r="824">
      <c r="B824" s="62"/>
      <c r="C824" s="7"/>
      <c r="D824" s="7"/>
    </row>
    <row r="825">
      <c r="B825" s="62"/>
      <c r="C825" s="7"/>
      <c r="D825" s="7"/>
    </row>
    <row r="826">
      <c r="B826" s="62"/>
      <c r="C826" s="7"/>
      <c r="D826" s="7"/>
    </row>
    <row r="827">
      <c r="B827" s="62"/>
      <c r="C827" s="7"/>
      <c r="D827" s="7"/>
    </row>
    <row r="828">
      <c r="B828" s="62"/>
      <c r="C828" s="7"/>
      <c r="D828" s="7"/>
    </row>
    <row r="829">
      <c r="B829" s="62"/>
      <c r="C829" s="7"/>
      <c r="D829" s="7"/>
    </row>
    <row r="830">
      <c r="B830" s="62"/>
      <c r="C830" s="7"/>
      <c r="D830" s="7"/>
    </row>
    <row r="831">
      <c r="B831" s="62"/>
      <c r="C831" s="7"/>
      <c r="D831" s="7"/>
    </row>
    <row r="832">
      <c r="B832" s="62"/>
      <c r="C832" s="7"/>
      <c r="D832" s="7"/>
    </row>
    <row r="833">
      <c r="B833" s="62"/>
      <c r="C833" s="7"/>
      <c r="D833" s="7"/>
    </row>
    <row r="834">
      <c r="B834" s="62"/>
      <c r="C834" s="7"/>
      <c r="D834" s="7"/>
    </row>
    <row r="835">
      <c r="B835" s="62"/>
      <c r="C835" s="7"/>
      <c r="D835" s="7"/>
    </row>
    <row r="836">
      <c r="B836" s="62"/>
      <c r="C836" s="7"/>
      <c r="D836" s="7"/>
    </row>
    <row r="837">
      <c r="B837" s="62"/>
      <c r="C837" s="7"/>
      <c r="D837" s="7"/>
    </row>
    <row r="838">
      <c r="B838" s="62"/>
      <c r="C838" s="7"/>
      <c r="D838" s="7"/>
    </row>
    <row r="839">
      <c r="B839" s="62"/>
      <c r="C839" s="7"/>
      <c r="D839" s="7"/>
    </row>
    <row r="840">
      <c r="B840" s="62"/>
      <c r="C840" s="7"/>
      <c r="D840" s="7"/>
    </row>
    <row r="841">
      <c r="B841" s="62"/>
      <c r="C841" s="7"/>
      <c r="D841" s="7"/>
    </row>
    <row r="842">
      <c r="B842" s="62"/>
      <c r="C842" s="7"/>
      <c r="D842" s="7"/>
    </row>
    <row r="843">
      <c r="B843" s="62"/>
      <c r="C843" s="7"/>
      <c r="D843" s="7"/>
    </row>
    <row r="844">
      <c r="B844" s="62"/>
      <c r="C844" s="7"/>
      <c r="D844" s="7"/>
    </row>
    <row r="845">
      <c r="B845" s="62"/>
      <c r="C845" s="7"/>
      <c r="D845" s="7"/>
    </row>
    <row r="846">
      <c r="B846" s="62"/>
      <c r="C846" s="7"/>
      <c r="D846" s="7"/>
    </row>
    <row r="847">
      <c r="B847" s="62"/>
      <c r="C847" s="7"/>
      <c r="D847" s="7"/>
    </row>
    <row r="848">
      <c r="B848" s="62"/>
      <c r="C848" s="7"/>
      <c r="D848" s="7"/>
    </row>
    <row r="849">
      <c r="B849" s="62"/>
      <c r="C849" s="7"/>
      <c r="D849" s="7"/>
    </row>
    <row r="850">
      <c r="B850" s="62"/>
      <c r="C850" s="7"/>
      <c r="D850" s="7"/>
    </row>
    <row r="851">
      <c r="B851" s="62"/>
      <c r="C851" s="7"/>
      <c r="D851" s="7"/>
    </row>
    <row r="852">
      <c r="B852" s="62"/>
      <c r="C852" s="7"/>
      <c r="D852" s="7"/>
    </row>
    <row r="853">
      <c r="B853" s="62"/>
      <c r="C853" s="7"/>
      <c r="D853" s="7"/>
    </row>
    <row r="854">
      <c r="B854" s="62"/>
      <c r="C854" s="7"/>
      <c r="D854" s="7"/>
    </row>
    <row r="855">
      <c r="B855" s="62"/>
      <c r="C855" s="7"/>
      <c r="D855" s="7"/>
    </row>
    <row r="856">
      <c r="B856" s="62"/>
      <c r="C856" s="7"/>
      <c r="D856" s="7"/>
    </row>
    <row r="857">
      <c r="B857" s="62"/>
      <c r="C857" s="7"/>
      <c r="D857" s="7"/>
    </row>
    <row r="858">
      <c r="B858" s="62"/>
      <c r="C858" s="7"/>
      <c r="D858" s="7"/>
    </row>
    <row r="859">
      <c r="B859" s="62"/>
      <c r="C859" s="7"/>
      <c r="D859" s="7"/>
    </row>
    <row r="860">
      <c r="B860" s="62"/>
      <c r="C860" s="7"/>
      <c r="D860" s="7"/>
    </row>
    <row r="861">
      <c r="B861" s="62"/>
      <c r="C861" s="7"/>
      <c r="D861" s="7"/>
    </row>
    <row r="862">
      <c r="B862" s="62"/>
      <c r="C862" s="7"/>
      <c r="D862" s="7"/>
    </row>
    <row r="863">
      <c r="B863" s="62"/>
      <c r="C863" s="7"/>
      <c r="D863" s="7"/>
    </row>
    <row r="864">
      <c r="B864" s="62"/>
      <c r="C864" s="7"/>
      <c r="D864" s="7"/>
    </row>
    <row r="865">
      <c r="B865" s="62"/>
      <c r="C865" s="7"/>
      <c r="D865" s="7"/>
    </row>
    <row r="866">
      <c r="B866" s="62"/>
      <c r="C866" s="7"/>
      <c r="D866" s="7"/>
    </row>
    <row r="867">
      <c r="B867" s="62"/>
      <c r="C867" s="7"/>
      <c r="D867" s="7"/>
    </row>
    <row r="868">
      <c r="B868" s="62"/>
      <c r="C868" s="7"/>
      <c r="D868" s="7"/>
    </row>
    <row r="869">
      <c r="B869" s="62"/>
      <c r="C869" s="7"/>
      <c r="D869" s="7"/>
    </row>
    <row r="870">
      <c r="B870" s="62"/>
      <c r="C870" s="7"/>
      <c r="D870" s="7"/>
    </row>
    <row r="871">
      <c r="B871" s="62"/>
      <c r="C871" s="7"/>
      <c r="D871" s="7"/>
    </row>
    <row r="872">
      <c r="B872" s="62"/>
      <c r="C872" s="7"/>
      <c r="D872" s="7"/>
    </row>
    <row r="873">
      <c r="B873" s="62"/>
      <c r="C873" s="7"/>
      <c r="D873" s="7"/>
    </row>
    <row r="874">
      <c r="B874" s="62"/>
      <c r="C874" s="7"/>
      <c r="D874" s="7"/>
    </row>
    <row r="875">
      <c r="B875" s="62"/>
      <c r="C875" s="7"/>
      <c r="D875" s="7"/>
    </row>
    <row r="876">
      <c r="B876" s="62"/>
      <c r="C876" s="7"/>
      <c r="D876" s="7"/>
    </row>
    <row r="877">
      <c r="B877" s="62"/>
      <c r="C877" s="7"/>
      <c r="D877" s="7"/>
    </row>
    <row r="878">
      <c r="B878" s="62"/>
      <c r="C878" s="7"/>
      <c r="D878" s="7"/>
    </row>
    <row r="879">
      <c r="B879" s="62"/>
      <c r="C879" s="7"/>
      <c r="D879" s="7"/>
    </row>
    <row r="880">
      <c r="B880" s="62"/>
      <c r="C880" s="7"/>
      <c r="D880" s="7"/>
    </row>
    <row r="881">
      <c r="B881" s="62"/>
      <c r="C881" s="7"/>
      <c r="D881" s="7"/>
    </row>
    <row r="882">
      <c r="B882" s="62"/>
      <c r="C882" s="7"/>
      <c r="D882" s="7"/>
    </row>
    <row r="883">
      <c r="B883" s="62"/>
      <c r="C883" s="7"/>
      <c r="D883" s="7"/>
    </row>
    <row r="884">
      <c r="B884" s="62"/>
      <c r="C884" s="7"/>
      <c r="D884" s="7"/>
    </row>
    <row r="885">
      <c r="B885" s="62"/>
      <c r="C885" s="7"/>
      <c r="D885" s="7"/>
    </row>
    <row r="886">
      <c r="B886" s="62"/>
      <c r="C886" s="7"/>
      <c r="D886" s="7"/>
    </row>
    <row r="887">
      <c r="B887" s="62"/>
      <c r="C887" s="7"/>
      <c r="D887" s="7"/>
    </row>
    <row r="888">
      <c r="B888" s="62"/>
      <c r="C888" s="7"/>
      <c r="D888" s="7"/>
    </row>
    <row r="889">
      <c r="B889" s="62"/>
      <c r="C889" s="7"/>
      <c r="D889" s="7"/>
    </row>
    <row r="890">
      <c r="B890" s="62"/>
      <c r="C890" s="7"/>
      <c r="D890" s="7"/>
    </row>
    <row r="891">
      <c r="B891" s="62"/>
      <c r="C891" s="7"/>
      <c r="D891" s="7"/>
    </row>
    <row r="892">
      <c r="B892" s="62"/>
      <c r="C892" s="7"/>
      <c r="D892" s="7"/>
    </row>
    <row r="893">
      <c r="B893" s="62"/>
      <c r="C893" s="7"/>
      <c r="D893" s="7"/>
    </row>
    <row r="894">
      <c r="B894" s="62"/>
      <c r="C894" s="7"/>
      <c r="D894" s="7"/>
    </row>
    <row r="895">
      <c r="B895" s="62"/>
      <c r="C895" s="7"/>
      <c r="D895" s="7"/>
    </row>
    <row r="896">
      <c r="B896" s="62"/>
      <c r="C896" s="7"/>
      <c r="D896" s="7"/>
    </row>
    <row r="897">
      <c r="B897" s="62"/>
      <c r="C897" s="7"/>
      <c r="D897" s="7"/>
    </row>
    <row r="898">
      <c r="B898" s="62"/>
      <c r="C898" s="7"/>
      <c r="D898" s="7"/>
    </row>
    <row r="899">
      <c r="B899" s="62"/>
      <c r="C899" s="7"/>
      <c r="D899" s="7"/>
    </row>
    <row r="900">
      <c r="B900" s="62"/>
      <c r="C900" s="7"/>
      <c r="D900" s="7"/>
    </row>
    <row r="901">
      <c r="B901" s="62"/>
      <c r="C901" s="7"/>
      <c r="D901" s="7"/>
    </row>
    <row r="902">
      <c r="B902" s="62"/>
      <c r="C902" s="7"/>
      <c r="D902" s="7"/>
    </row>
    <row r="903">
      <c r="B903" s="62"/>
      <c r="C903" s="7"/>
      <c r="D903" s="7"/>
    </row>
    <row r="904">
      <c r="B904" s="62"/>
      <c r="C904" s="7"/>
      <c r="D904" s="7"/>
    </row>
    <row r="905">
      <c r="B905" s="62"/>
      <c r="C905" s="7"/>
      <c r="D905" s="7"/>
    </row>
    <row r="906">
      <c r="B906" s="62"/>
      <c r="C906" s="7"/>
      <c r="D906" s="7"/>
    </row>
    <row r="907">
      <c r="B907" s="62"/>
      <c r="C907" s="7"/>
      <c r="D907" s="7"/>
    </row>
    <row r="908">
      <c r="B908" s="62"/>
      <c r="C908" s="7"/>
      <c r="D908" s="7"/>
    </row>
    <row r="909">
      <c r="B909" s="62"/>
      <c r="C909" s="7"/>
      <c r="D909" s="7"/>
    </row>
    <row r="910">
      <c r="B910" s="62"/>
      <c r="C910" s="7"/>
      <c r="D910" s="7"/>
    </row>
    <row r="911">
      <c r="B911" s="62"/>
      <c r="C911" s="7"/>
      <c r="D911" s="7"/>
    </row>
    <row r="912">
      <c r="B912" s="62"/>
      <c r="C912" s="7"/>
      <c r="D912" s="7"/>
    </row>
    <row r="913">
      <c r="B913" s="62"/>
      <c r="C913" s="7"/>
      <c r="D913" s="7"/>
    </row>
    <row r="914">
      <c r="B914" s="62"/>
      <c r="C914" s="7"/>
      <c r="D914" s="7"/>
    </row>
    <row r="915">
      <c r="B915" s="62"/>
      <c r="C915" s="7"/>
      <c r="D915" s="7"/>
    </row>
    <row r="916">
      <c r="B916" s="62"/>
      <c r="C916" s="7"/>
      <c r="D916" s="7"/>
    </row>
    <row r="917">
      <c r="B917" s="62"/>
      <c r="C917" s="7"/>
      <c r="D917" s="7"/>
    </row>
    <row r="918">
      <c r="B918" s="62"/>
      <c r="C918" s="7"/>
      <c r="D918" s="7"/>
    </row>
    <row r="919">
      <c r="B919" s="62"/>
      <c r="C919" s="7"/>
      <c r="D919" s="7"/>
    </row>
    <row r="920">
      <c r="B920" s="62"/>
      <c r="C920" s="7"/>
      <c r="D920" s="7"/>
    </row>
    <row r="921">
      <c r="B921" s="62"/>
      <c r="C921" s="7"/>
      <c r="D921" s="7"/>
    </row>
    <row r="922">
      <c r="B922" s="62"/>
      <c r="C922" s="7"/>
      <c r="D922" s="7"/>
    </row>
    <row r="923">
      <c r="B923" s="62"/>
      <c r="C923" s="7"/>
      <c r="D923" s="7"/>
    </row>
    <row r="924">
      <c r="B924" s="62"/>
      <c r="C924" s="7"/>
      <c r="D924" s="7"/>
    </row>
    <row r="925">
      <c r="B925" s="62"/>
      <c r="C925" s="7"/>
      <c r="D925" s="7"/>
    </row>
    <row r="926">
      <c r="B926" s="62"/>
      <c r="C926" s="7"/>
      <c r="D926" s="7"/>
    </row>
    <row r="927">
      <c r="B927" s="62"/>
      <c r="C927" s="7"/>
      <c r="D927" s="7"/>
    </row>
    <row r="928">
      <c r="B928" s="62"/>
      <c r="C928" s="7"/>
      <c r="D928" s="7"/>
    </row>
    <row r="929">
      <c r="B929" s="62"/>
      <c r="C929" s="7"/>
      <c r="D929" s="7"/>
    </row>
    <row r="930">
      <c r="B930" s="62"/>
      <c r="C930" s="7"/>
      <c r="D930" s="7"/>
    </row>
    <row r="931">
      <c r="B931" s="62"/>
      <c r="C931" s="7"/>
      <c r="D931" s="7"/>
    </row>
    <row r="932">
      <c r="B932" s="62"/>
      <c r="C932" s="7"/>
      <c r="D932" s="7"/>
    </row>
    <row r="933">
      <c r="B933" s="62"/>
      <c r="C933" s="7"/>
      <c r="D933" s="7"/>
    </row>
    <row r="934">
      <c r="B934" s="62"/>
      <c r="C934" s="7"/>
      <c r="D934" s="7"/>
    </row>
    <row r="935">
      <c r="B935" s="62"/>
      <c r="C935" s="7"/>
      <c r="D935" s="7"/>
    </row>
    <row r="936">
      <c r="B936" s="62"/>
      <c r="C936" s="7"/>
      <c r="D936" s="7"/>
    </row>
    <row r="937">
      <c r="B937" s="62"/>
      <c r="C937" s="7"/>
      <c r="D937" s="7"/>
    </row>
    <row r="938">
      <c r="B938" s="62"/>
      <c r="C938" s="7"/>
      <c r="D938" s="7"/>
    </row>
    <row r="939">
      <c r="B939" s="62"/>
      <c r="C939" s="7"/>
      <c r="D939" s="7"/>
    </row>
    <row r="940">
      <c r="B940" s="62"/>
      <c r="C940" s="7"/>
      <c r="D940" s="7"/>
    </row>
    <row r="941">
      <c r="B941" s="62"/>
      <c r="C941" s="7"/>
      <c r="D941" s="7"/>
    </row>
    <row r="942">
      <c r="B942" s="62"/>
      <c r="C942" s="7"/>
      <c r="D942" s="7"/>
    </row>
    <row r="943">
      <c r="B943" s="62"/>
      <c r="C943" s="7"/>
      <c r="D943" s="7"/>
    </row>
    <row r="944">
      <c r="B944" s="62"/>
      <c r="C944" s="7"/>
      <c r="D944" s="7"/>
    </row>
    <row r="945">
      <c r="B945" s="62"/>
      <c r="C945" s="7"/>
      <c r="D945" s="7"/>
    </row>
    <row r="946">
      <c r="B946" s="62"/>
      <c r="C946" s="7"/>
      <c r="D946" s="7"/>
    </row>
    <row r="947">
      <c r="B947" s="62"/>
      <c r="C947" s="7"/>
      <c r="D947" s="7"/>
    </row>
    <row r="948">
      <c r="B948" s="62"/>
      <c r="C948" s="7"/>
      <c r="D948" s="7"/>
    </row>
    <row r="949">
      <c r="B949" s="62"/>
      <c r="C949" s="7"/>
      <c r="D949" s="7"/>
    </row>
    <row r="950">
      <c r="B950" s="62"/>
      <c r="C950" s="7"/>
      <c r="D950" s="7"/>
    </row>
    <row r="951">
      <c r="B951" s="62"/>
      <c r="C951" s="7"/>
      <c r="D951" s="7"/>
    </row>
    <row r="952">
      <c r="B952" s="62"/>
      <c r="C952" s="7"/>
      <c r="D952" s="7"/>
    </row>
    <row r="953">
      <c r="B953" s="62"/>
      <c r="C953" s="7"/>
      <c r="D953" s="7"/>
    </row>
    <row r="954">
      <c r="B954" s="62"/>
      <c r="C954" s="7"/>
      <c r="D954" s="7"/>
    </row>
    <row r="955">
      <c r="B955" s="62"/>
      <c r="C955" s="7"/>
      <c r="D955" s="7"/>
    </row>
    <row r="956">
      <c r="B956" s="62"/>
      <c r="C956" s="7"/>
      <c r="D956" s="7"/>
    </row>
    <row r="957">
      <c r="B957" s="62"/>
      <c r="C957" s="7"/>
      <c r="D957" s="7"/>
    </row>
    <row r="958">
      <c r="B958" s="62"/>
      <c r="C958" s="7"/>
      <c r="D958" s="7"/>
    </row>
    <row r="959">
      <c r="B959" s="62"/>
      <c r="C959" s="7"/>
      <c r="D959" s="7"/>
    </row>
    <row r="960">
      <c r="B960" s="62"/>
      <c r="C960" s="7"/>
      <c r="D960" s="7"/>
    </row>
    <row r="961">
      <c r="B961" s="62"/>
      <c r="C961" s="7"/>
      <c r="D961" s="7"/>
    </row>
    <row r="962">
      <c r="B962" s="62"/>
      <c r="C962" s="7"/>
      <c r="D962" s="7"/>
    </row>
    <row r="963">
      <c r="B963" s="62"/>
      <c r="C963" s="7"/>
      <c r="D963" s="7"/>
    </row>
    <row r="964">
      <c r="B964" s="62"/>
      <c r="C964" s="7"/>
      <c r="D964" s="7"/>
    </row>
    <row r="965">
      <c r="B965" s="62"/>
      <c r="C965" s="7"/>
      <c r="D965" s="7"/>
    </row>
    <row r="966">
      <c r="B966" s="62"/>
      <c r="C966" s="7"/>
      <c r="D966" s="7"/>
    </row>
    <row r="967">
      <c r="B967" s="62"/>
      <c r="C967" s="7"/>
      <c r="D967" s="7"/>
    </row>
    <row r="968">
      <c r="B968" s="62"/>
      <c r="C968" s="7"/>
      <c r="D968" s="7"/>
    </row>
    <row r="969">
      <c r="B969" s="62"/>
      <c r="C969" s="7"/>
      <c r="D969" s="7"/>
    </row>
    <row r="970">
      <c r="B970" s="62"/>
      <c r="C970" s="7"/>
      <c r="D970" s="7"/>
    </row>
    <row r="971">
      <c r="B971" s="62"/>
      <c r="C971" s="7"/>
      <c r="D971" s="7"/>
    </row>
    <row r="972">
      <c r="B972" s="62"/>
      <c r="C972" s="7"/>
      <c r="D972" s="7"/>
    </row>
    <row r="973">
      <c r="B973" s="62"/>
      <c r="C973" s="7"/>
      <c r="D973" s="7"/>
    </row>
    <row r="974">
      <c r="B974" s="62"/>
      <c r="C974" s="7"/>
      <c r="D974" s="7"/>
    </row>
    <row r="975">
      <c r="B975" s="62"/>
      <c r="C975" s="7"/>
      <c r="D975" s="7"/>
    </row>
    <row r="976">
      <c r="B976" s="62"/>
      <c r="C976" s="7"/>
      <c r="D976" s="7"/>
    </row>
    <row r="977">
      <c r="B977" s="62"/>
      <c r="C977" s="7"/>
      <c r="D977" s="7"/>
    </row>
    <row r="978">
      <c r="B978" s="62"/>
      <c r="C978" s="7"/>
      <c r="D978" s="7"/>
    </row>
    <row r="979">
      <c r="B979" s="62"/>
      <c r="C979" s="7"/>
      <c r="D979" s="7"/>
    </row>
    <row r="980">
      <c r="B980" s="62"/>
      <c r="C980" s="7"/>
      <c r="D980" s="7"/>
    </row>
    <row r="981">
      <c r="B981" s="62"/>
      <c r="C981" s="7"/>
      <c r="D981" s="7"/>
    </row>
    <row r="982">
      <c r="B982" s="62"/>
      <c r="C982" s="7"/>
      <c r="D982" s="7"/>
    </row>
    <row r="983">
      <c r="B983" s="62"/>
      <c r="C983" s="7"/>
      <c r="D983" s="7"/>
    </row>
    <row r="984">
      <c r="B984" s="62"/>
      <c r="C984" s="7"/>
      <c r="D984" s="7"/>
    </row>
    <row r="985">
      <c r="B985" s="62"/>
      <c r="C985" s="7"/>
      <c r="D985" s="7"/>
    </row>
    <row r="986">
      <c r="B986" s="62"/>
      <c r="C986" s="7"/>
      <c r="D986" s="7"/>
    </row>
    <row r="987">
      <c r="B987" s="62"/>
      <c r="C987" s="7"/>
      <c r="D987" s="7"/>
    </row>
    <row r="988">
      <c r="B988" s="62"/>
      <c r="C988" s="7"/>
      <c r="D988" s="7"/>
    </row>
    <row r="989">
      <c r="B989" s="62"/>
      <c r="C989" s="7"/>
      <c r="D989" s="7"/>
    </row>
    <row r="990">
      <c r="B990" s="62"/>
      <c r="C990" s="7"/>
      <c r="D990" s="7"/>
    </row>
    <row r="991">
      <c r="B991" s="62"/>
      <c r="C991" s="7"/>
      <c r="D991" s="7"/>
    </row>
    <row r="992">
      <c r="B992" s="62"/>
      <c r="C992" s="7"/>
      <c r="D992" s="7"/>
    </row>
    <row r="993">
      <c r="B993" s="62"/>
      <c r="C993" s="7"/>
      <c r="D993" s="7"/>
    </row>
    <row r="994">
      <c r="B994" s="62"/>
      <c r="C994" s="7"/>
      <c r="D994" s="7"/>
    </row>
    <row r="995">
      <c r="B995" s="62"/>
      <c r="C995" s="7"/>
      <c r="D995" s="7"/>
    </row>
    <row r="996">
      <c r="B996" s="62"/>
      <c r="C996" s="7"/>
      <c r="D996" s="7"/>
    </row>
    <row r="997">
      <c r="B997" s="62"/>
      <c r="C997" s="7"/>
      <c r="D997" s="7"/>
    </row>
    <row r="998">
      <c r="B998" s="62"/>
      <c r="C998" s="7"/>
      <c r="D998" s="7"/>
    </row>
    <row r="999">
      <c r="B999" s="62"/>
      <c r="C999" s="7"/>
      <c r="D999" s="7"/>
    </row>
    <row r="1000">
      <c r="B1000" s="62"/>
      <c r="C1000" s="7"/>
      <c r="D1000" s="7"/>
    </row>
    <row r="1001">
      <c r="B1001" s="62"/>
      <c r="C1001" s="7"/>
      <c r="D1001" s="7"/>
    </row>
    <row r="1002">
      <c r="B1002" s="62"/>
      <c r="C1002" s="7"/>
      <c r="D1002" s="7"/>
    </row>
    <row r="1003">
      <c r="B1003" s="62"/>
      <c r="C1003" s="7"/>
      <c r="D1003" s="7"/>
    </row>
  </sheetData>
  <mergeCells count="42">
    <mergeCell ref="B2:B3"/>
    <mergeCell ref="B4:B5"/>
    <mergeCell ref="B6:B10"/>
    <mergeCell ref="B12:B13"/>
    <mergeCell ref="B14:B15"/>
    <mergeCell ref="B17:B19"/>
    <mergeCell ref="B20:B21"/>
    <mergeCell ref="B22:B26"/>
    <mergeCell ref="B27:B31"/>
    <mergeCell ref="B32:B33"/>
    <mergeCell ref="B34:B36"/>
    <mergeCell ref="B37:B39"/>
    <mergeCell ref="B40:B42"/>
    <mergeCell ref="B47:B48"/>
    <mergeCell ref="B51:B53"/>
    <mergeCell ref="B54:B55"/>
    <mergeCell ref="B57:B60"/>
    <mergeCell ref="B61:B62"/>
    <mergeCell ref="B63:B77"/>
    <mergeCell ref="B78:B81"/>
    <mergeCell ref="B82:B83"/>
    <mergeCell ref="B86:B87"/>
    <mergeCell ref="B89:B92"/>
    <mergeCell ref="B94:B95"/>
    <mergeCell ref="B104:B105"/>
    <mergeCell ref="B108:B109"/>
    <mergeCell ref="B111:B113"/>
    <mergeCell ref="B114:B116"/>
    <mergeCell ref="B143:B144"/>
    <mergeCell ref="B145:B147"/>
    <mergeCell ref="B148:B152"/>
    <mergeCell ref="B153:B157"/>
    <mergeCell ref="B158:B159"/>
    <mergeCell ref="B162:B163"/>
    <mergeCell ref="B165:B166"/>
    <mergeCell ref="B117:B118"/>
    <mergeCell ref="B119:B120"/>
    <mergeCell ref="B121:B122"/>
    <mergeCell ref="B124:B130"/>
    <mergeCell ref="B131:B136"/>
    <mergeCell ref="B137:B140"/>
    <mergeCell ref="B141:B142"/>
  </mergeCells>
  <hyperlinks>
    <hyperlink r:id="rId2" ref="B2"/>
    <hyperlink r:id="rId3" ref="B4"/>
    <hyperlink r:id="rId4" ref="B6"/>
    <hyperlink r:id="rId5" ref="B11"/>
    <hyperlink r:id="rId6" ref="B12"/>
    <hyperlink r:id="rId7" ref="B14"/>
    <hyperlink r:id="rId8" ref="B16"/>
    <hyperlink r:id="rId9" ref="B17"/>
    <hyperlink r:id="rId10" ref="B20"/>
    <hyperlink r:id="rId11" ref="B22"/>
    <hyperlink r:id="rId12" ref="B27"/>
    <hyperlink r:id="rId13" ref="B32"/>
    <hyperlink r:id="rId14" ref="B34"/>
    <hyperlink r:id="rId15" ref="B37"/>
    <hyperlink r:id="rId16" ref="B40"/>
    <hyperlink r:id="rId17" ref="B43"/>
    <hyperlink r:id="rId18" ref="B44"/>
    <hyperlink r:id="rId19" ref="B45"/>
    <hyperlink r:id="rId20" ref="B46"/>
    <hyperlink r:id="rId21" ref="B47"/>
    <hyperlink r:id="rId22" ref="B49"/>
    <hyperlink r:id="rId23" ref="B50"/>
    <hyperlink r:id="rId24" ref="B51"/>
    <hyperlink r:id="rId25" ref="B54"/>
    <hyperlink r:id="rId26" ref="B56"/>
    <hyperlink r:id="rId27" ref="B57"/>
    <hyperlink r:id="rId28" ref="B61"/>
    <hyperlink r:id="rId29" ref="B63"/>
    <hyperlink r:id="rId30" ref="B78"/>
    <hyperlink r:id="rId31" ref="B82"/>
    <hyperlink r:id="rId32" ref="B84"/>
    <hyperlink r:id="rId33" ref="B85"/>
    <hyperlink r:id="rId34" ref="B86"/>
    <hyperlink r:id="rId35" ref="B88"/>
    <hyperlink r:id="rId36" ref="B89"/>
    <hyperlink r:id="rId37" ref="B93"/>
    <hyperlink r:id="rId38" ref="B94"/>
    <hyperlink r:id="rId39" ref="B96"/>
    <hyperlink r:id="rId40" ref="B97"/>
    <hyperlink r:id="rId41" ref="B98"/>
    <hyperlink r:id="rId42" ref="B99"/>
    <hyperlink r:id="rId43" ref="B100"/>
    <hyperlink r:id="rId44" ref="B101"/>
    <hyperlink r:id="rId45" ref="B102"/>
    <hyperlink r:id="rId46" ref="B103"/>
    <hyperlink r:id="rId47" ref="B104"/>
    <hyperlink r:id="rId48" ref="B106"/>
    <hyperlink r:id="rId49" ref="B107"/>
    <hyperlink r:id="rId50" ref="B108"/>
    <hyperlink r:id="rId51" ref="B110"/>
    <hyperlink r:id="rId52" ref="B111"/>
    <hyperlink r:id="rId53" ref="B114"/>
    <hyperlink r:id="rId54" ref="B117"/>
    <hyperlink r:id="rId55" ref="B119"/>
    <hyperlink r:id="rId56" ref="B121"/>
    <hyperlink r:id="rId57" ref="B123"/>
    <hyperlink r:id="rId58" ref="B124"/>
    <hyperlink r:id="rId59" ref="B131"/>
    <hyperlink r:id="rId60" ref="B137"/>
    <hyperlink r:id="rId61" ref="B141"/>
    <hyperlink r:id="rId62" ref="B143"/>
    <hyperlink r:id="rId63" ref="B145"/>
    <hyperlink r:id="rId64" ref="B148"/>
    <hyperlink r:id="rId65" ref="B153"/>
    <hyperlink r:id="rId66" ref="B158"/>
    <hyperlink r:id="rId67" ref="B160"/>
    <hyperlink r:id="rId68" ref="B161"/>
    <hyperlink r:id="rId69" ref="B162"/>
    <hyperlink r:id="rId70" ref="B164"/>
    <hyperlink r:id="rId71" ref="B165"/>
    <hyperlink r:id="rId72" ref="B167"/>
    <hyperlink r:id="rId73" ref="B168"/>
    <hyperlink r:id="rId74" ref="B169"/>
    <hyperlink r:id="rId75" ref="B170"/>
  </hyperlinks>
  <drawing r:id="rId76"/>
  <legacyDrawing r:id="rId7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4.57"/>
    <col customWidth="1" min="2" max="2" width="39.71"/>
    <col customWidth="1" min="3" max="3" width="36.57"/>
    <col customWidth="1" min="4" max="4" width="40.43"/>
    <col customWidth="1" min="5" max="5" width="24.71"/>
  </cols>
  <sheetData>
    <row r="1">
      <c r="A1" s="77" t="s">
        <v>1208</v>
      </c>
      <c r="B1" s="5" t="s">
        <v>6</v>
      </c>
      <c r="C1" s="5" t="s">
        <v>7</v>
      </c>
      <c r="D1" s="5" t="s">
        <v>8</v>
      </c>
      <c r="E1" s="78" t="s">
        <v>1355</v>
      </c>
      <c r="F1" s="79"/>
    </row>
    <row r="2">
      <c r="A2" s="80" t="s">
        <v>1726</v>
      </c>
      <c r="B2" s="81" t="s">
        <v>1727</v>
      </c>
      <c r="C2" s="60" t="s">
        <v>1728</v>
      </c>
      <c r="D2" s="60" t="s">
        <v>1729</v>
      </c>
      <c r="E2" s="46" t="str">
        <f>IFERROR(__xludf.DUMMYFUNCTION("VLOOKUP(C2,IMPORTRANGE(""https://docs.google.com/spreadsheets/d/1SQRLoxD_LXfQNfB7NOxI5jlxbkDlcNPwla_2gSTySP8/edit#gid=274515254"",""Dashboard!$C$2:$D$156""),2,0)"),"アセットマップ")</f>
        <v>アセットマップ</v>
      </c>
      <c r="F2" s="82"/>
    </row>
    <row r="3">
      <c r="A3" s="80" t="s">
        <v>1730</v>
      </c>
      <c r="B3" s="81" t="s">
        <v>1731</v>
      </c>
      <c r="C3" s="60" t="s">
        <v>379</v>
      </c>
      <c r="D3" s="60" t="s">
        <v>379</v>
      </c>
      <c r="E3" s="46" t="str">
        <f>IFERROR(__xludf.DUMMYFUNCTION("VLOOKUP(C3,IMPORTRANGE(""https://docs.google.com/spreadsheets/d/1SQRLoxD_LXfQNfB7NOxI5jlxbkDlcNPwla_2gSTySP8/edit#gid=274515254"",""Dashboard!$C$2:$D$156""),2,0)"),"Terra / テラ")</f>
        <v>Terra / テラ</v>
      </c>
      <c r="F3" s="82"/>
    </row>
    <row r="4">
      <c r="A4" s="80" t="s">
        <v>1732</v>
      </c>
      <c r="B4" s="81" t="s">
        <v>1733</v>
      </c>
      <c r="C4" s="60" t="s">
        <v>1734</v>
      </c>
      <c r="D4" s="60" t="s">
        <v>1735</v>
      </c>
      <c r="E4" s="46" t="str">
        <f>IFERROR(__xludf.DUMMYFUNCTION("VLOOKUP(C4,IMPORTRANGE(""https://docs.google.com/spreadsheets/d/1SQRLoxD_LXfQNfB7NOxI5jlxbkDlcNPwla_2gSTySP8/edit#gid=274515254"",""Dashboard!$C$2:$D$156""),2,0)"),"＊見つかりません")</f>
        <v>＊見つかりません</v>
      </c>
      <c r="F4" s="82"/>
    </row>
    <row r="5">
      <c r="A5" s="80" t="s">
        <v>1474</v>
      </c>
      <c r="B5" s="81" t="s">
        <v>1736</v>
      </c>
      <c r="C5" s="60" t="s">
        <v>1476</v>
      </c>
      <c r="D5" s="60" t="s">
        <v>1737</v>
      </c>
      <c r="E5" s="46" t="str">
        <f>IFERROR(__xludf.DUMMYFUNCTION("VLOOKUP(C5,IMPORTRANGE(""https://docs.google.com/spreadsheets/d/1SQRLoxD_LXfQNfB7NOxI5jlxbkDlcNPwla_2gSTySP8/edit#gid=274515254"",""Dashboard!$C$2:$D$156""),2,0)"),"作成者")</f>
        <v>作成者</v>
      </c>
      <c r="F5" s="82"/>
    </row>
    <row r="6">
      <c r="A6" s="80" t="s">
        <v>507</v>
      </c>
      <c r="B6" s="81" t="s">
        <v>1738</v>
      </c>
      <c r="C6" s="60" t="s">
        <v>508</v>
      </c>
      <c r="D6" s="60" t="s">
        <v>509</v>
      </c>
      <c r="E6" s="46" t="str">
        <f>IFERROR(__xludf.DUMMYFUNCTION("VLOOKUP(C6,IMPORTRANGE(""https://docs.google.com/spreadsheets/d/1SQRLoxD_LXfQNfB7NOxI5jlxbkDlcNPwla_2gSTySP8/edit#gid=274515254"",""Dashboard!$C$2:$D$156""),2,0)"),"ユーザ")</f>
        <v>ユーザ</v>
      </c>
      <c r="F6" s="82"/>
    </row>
    <row r="7">
      <c r="A7" s="80" t="s">
        <v>1739</v>
      </c>
      <c r="B7" s="81" t="s">
        <v>1740</v>
      </c>
      <c r="C7" s="60" t="s">
        <v>1741</v>
      </c>
      <c r="D7" s="60" t="s">
        <v>1742</v>
      </c>
      <c r="E7" s="46" t="str">
        <f>IFERROR(__xludf.DUMMYFUNCTION("VLOOKUP(C7,IMPORTRANGE(""https://docs.google.com/spreadsheets/d/1SQRLoxD_LXfQNfB7NOxI5jlxbkDlcNPwla_2gSTySP8/edit#gid=274515254"",""Dashboard!$C$2:$D$156""),2,0)"),"変更日")</f>
        <v>変更日</v>
      </c>
      <c r="F7" s="82"/>
    </row>
    <row r="8">
      <c r="A8" s="80" t="s">
        <v>1743</v>
      </c>
      <c r="B8" s="81" t="s">
        <v>1744</v>
      </c>
      <c r="C8" s="60" t="s">
        <v>838</v>
      </c>
      <c r="D8" s="60" t="s">
        <v>838</v>
      </c>
      <c r="E8" s="46" t="str">
        <f>IFERROR(__xludf.DUMMYFUNCTION("VLOOKUP(C8,IMPORTRANGE(""https://docs.google.com/spreadsheets/d/1SQRLoxD_LXfQNfB7NOxI5jlxbkDlcNPwla_2gSTySP8/edit#gid=274515254"",""Dashboard!$C$2:$D$156""),2,0)"),"Thermal / サーマル")</f>
        <v>Thermal / サーマル</v>
      </c>
      <c r="F8" s="82"/>
    </row>
    <row r="9">
      <c r="A9" s="80" t="s">
        <v>41</v>
      </c>
      <c r="B9" s="81" t="s">
        <v>1745</v>
      </c>
      <c r="C9" s="60" t="s">
        <v>1746</v>
      </c>
      <c r="D9" s="60" t="s">
        <v>1747</v>
      </c>
      <c r="E9" s="46" t="str">
        <f>IFERROR(__xludf.DUMMYFUNCTION("VLOOKUP(C9,IMPORTRANGE(""https://docs.google.com/spreadsheets/d/1SQRLoxD_LXfQNfB7NOxI5jlxbkDlcNPwla_2gSTySP8/edit#gid=274515254"",""Dashboard!$C$2:$D$156""),2,0)"),"＊記載なし")</f>
        <v>＊記載なし</v>
      </c>
      <c r="F9" s="82"/>
    </row>
    <row r="10">
      <c r="A10" s="80" t="s">
        <v>1474</v>
      </c>
      <c r="B10" s="81" t="s">
        <v>1748</v>
      </c>
      <c r="C10" s="60" t="s">
        <v>1476</v>
      </c>
      <c r="D10" s="60" t="s">
        <v>1737</v>
      </c>
      <c r="E10" s="46" t="str">
        <f>IFERROR(__xludf.DUMMYFUNCTION("VLOOKUP(C10,IMPORTRANGE(""https://docs.google.com/spreadsheets/d/1SQRLoxD_LXfQNfB7NOxI5jlxbkDlcNPwla_2gSTySP8/edit#gid=274515254"",""Dashboard!$C$2:$D$156""),2,0)"),"作成者")</f>
        <v>作成者</v>
      </c>
      <c r="F10" s="82"/>
    </row>
    <row r="11">
      <c r="A11" s="80" t="s">
        <v>1749</v>
      </c>
      <c r="B11" s="81" t="s">
        <v>1750</v>
      </c>
      <c r="C11" s="60" t="s">
        <v>1751</v>
      </c>
      <c r="D11" s="60" t="s">
        <v>1752</v>
      </c>
      <c r="E11" s="46" t="str">
        <f>IFERROR(__xludf.DUMMYFUNCTION("VLOOKUP(C11,IMPORTRANGE(""https://docs.google.com/spreadsheets/d/1SQRLoxD_LXfQNfB7NOxI5jlxbkDlcNPwla_2gSTySP8/edit#gid=274515254"",""Dashboard!$C$2:$D$156""),2,0)"),"影響を受けるKW")</f>
        <v>影響を受けるKW</v>
      </c>
      <c r="F11" s="82"/>
    </row>
    <row r="12">
      <c r="A12" s="80" t="s">
        <v>1753</v>
      </c>
      <c r="B12" s="81" t="s">
        <v>1754</v>
      </c>
      <c r="C12" s="60" t="s">
        <v>1755</v>
      </c>
      <c r="D12" s="60" t="s">
        <v>1756</v>
      </c>
      <c r="E12" s="46" t="str">
        <f>IFERROR(__xludf.DUMMYFUNCTION("VLOOKUP(C12,IMPORTRANGE(""https://docs.google.com/spreadsheets/d/1SQRLoxD_LXfQNfB7NOxI5jlxbkDlcNPwla_2gSTySP8/edit#gid=274515254"",""Dashboard!$C$2:$D$156""),2,0)"),"総DC容量")</f>
        <v>総DC容量</v>
      </c>
      <c r="F12" s="82"/>
    </row>
    <row r="13">
      <c r="A13" s="80" t="s">
        <v>1757</v>
      </c>
      <c r="B13" s="81" t="s">
        <v>1758</v>
      </c>
      <c r="C13" s="60" t="s">
        <v>1759</v>
      </c>
      <c r="D13" s="60" t="s">
        <v>1760</v>
      </c>
      <c r="E13" s="46" t="str">
        <f>IFERROR(__xludf.DUMMYFUNCTION("VLOOKUP(C13,IMPORTRANGE(""https://docs.google.com/spreadsheets/d/1SQRLoxD_LXfQNfB7NOxI5jlxbkDlcNPwla_2gSTySP8/edit#gid=274515254"",""Dashboard!$C$2:$D$156""),2,0)"),"不具合の数")</f>
        <v>不具合の数</v>
      </c>
      <c r="F13" s="82"/>
    </row>
    <row r="14">
      <c r="A14" s="80" t="s">
        <v>1761</v>
      </c>
      <c r="B14" s="81" t="s">
        <v>1762</v>
      </c>
      <c r="C14" s="60" t="s">
        <v>1763</v>
      </c>
      <c r="D14" s="60" t="s">
        <v>1764</v>
      </c>
      <c r="E14" s="46" t="str">
        <f>IFERROR(__xludf.DUMMYFUNCTION("VLOOKUP(C14,IMPORTRANGE(""https://docs.google.com/spreadsheets/d/1SQRLoxD_LXfQNfB7NOxI5jlxbkDlcNPwla_2gSTySP8/edit#gid=274515254"",""Dashboard!$C$2:$D$156""),2,0)"),"すべて表示")</f>
        <v>すべて表示</v>
      </c>
      <c r="F14" s="82"/>
    </row>
    <row r="15">
      <c r="A15" s="80" t="s">
        <v>1765</v>
      </c>
      <c r="B15" s="81" t="s">
        <v>1766</v>
      </c>
      <c r="C15" s="60" t="s">
        <v>1767</v>
      </c>
      <c r="D15" s="60" t="s">
        <v>1768</v>
      </c>
      <c r="E15" s="46" t="str">
        <f>IFERROR(__xludf.DUMMYFUNCTION("VLOOKUP(C15,IMPORTRANGE(""https://docs.google.com/spreadsheets/d/1SQRLoxD_LXfQNfB7NOxI5jlxbkDlcNPwla_2gSTySP8/edit#gid=274515254"",""Dashboard!$C$2:$D$156""),2,0)"),"チケット概要")</f>
        <v>チケット概要</v>
      </c>
      <c r="F15" s="82"/>
    </row>
    <row r="16">
      <c r="A16" s="80" t="s">
        <v>1769</v>
      </c>
      <c r="B16" s="81" t="s">
        <v>1770</v>
      </c>
      <c r="C16" s="60" t="s">
        <v>1771</v>
      </c>
      <c r="D16" s="60" t="s">
        <v>1772</v>
      </c>
      <c r="E16" s="46" t="str">
        <f>IFERROR(__xludf.DUMMYFUNCTION("VLOOKUP(C16,IMPORTRANGE(""https://docs.google.com/spreadsheets/d/1SQRLoxD_LXfQNfB7NOxI5jlxbkDlcNPwla_2gSTySP8/edit#gid=274515254"",""Dashboard!$C$2:$D$156""),2,0)"),"チケットチャート")</f>
        <v>チケットチャート</v>
      </c>
      <c r="F16" s="82"/>
    </row>
    <row r="17">
      <c r="A17" s="80" t="s">
        <v>1474</v>
      </c>
      <c r="B17" s="83" t="s">
        <v>1773</v>
      </c>
      <c r="C17" s="60" t="s">
        <v>1476</v>
      </c>
      <c r="D17" s="60" t="s">
        <v>1477</v>
      </c>
      <c r="E17" s="46" t="str">
        <f>IFERROR(__xludf.DUMMYFUNCTION("VLOOKUP(C17,IMPORTRANGE(""https://docs.google.com/spreadsheets/d/1SQRLoxD_LXfQNfB7NOxI5jlxbkDlcNPwla_2gSTySP8/edit#gid=274515254"",""Dashboard!$C$2:$D$156""),2,0)"),"作成者")</f>
        <v>作成者</v>
      </c>
      <c r="F17" s="82"/>
    </row>
    <row r="18">
      <c r="A18" s="80" t="s">
        <v>1774</v>
      </c>
      <c r="B18" s="83" t="s">
        <v>1775</v>
      </c>
      <c r="C18" s="84" t="s">
        <v>1776</v>
      </c>
      <c r="D18" s="60" t="s">
        <v>1777</v>
      </c>
      <c r="E18" s="46" t="str">
        <f>IFERROR(__xludf.DUMMYFUNCTION("VLOOKUP(C18,IMPORTRANGE(""https://docs.google.com/spreadsheets/d/1SQRLoxD_LXfQNfB7NOxI5jlxbkDlcNPwla_2gSTySP8/edit#gid=274515254"",""Dashboard!$C$2:$D$156""),2,0)"),"割り当て")</f>
        <v>割り当て</v>
      </c>
      <c r="F18" s="82"/>
    </row>
    <row r="19">
      <c r="A19" s="80" t="s">
        <v>1778</v>
      </c>
      <c r="B19" s="83" t="s">
        <v>1779</v>
      </c>
      <c r="C19" s="84" t="s">
        <v>1780</v>
      </c>
      <c r="D19" s="60" t="s">
        <v>1781</v>
      </c>
      <c r="E19" s="46" t="str">
        <f>IFERROR(__xludf.DUMMYFUNCTION("VLOOKUP(C19,IMPORTRANGE(""https://docs.google.com/spreadsheets/d/1SQRLoxD_LXfQNfB7NOxI5jlxbkDlcNPwla_2gSTySP8/edit#gid=274515254"",""Dashboard!$C$2:$D$156""),2,0)"),"観察中")</f>
        <v>観察中</v>
      </c>
      <c r="F19" s="82"/>
    </row>
    <row r="20">
      <c r="A20" s="80" t="s">
        <v>1782</v>
      </c>
      <c r="B20" s="85" t="s">
        <v>1783</v>
      </c>
      <c r="C20" s="60" t="s">
        <v>1784</v>
      </c>
      <c r="D20" s="60" t="s">
        <v>1785</v>
      </c>
      <c r="E20" s="46" t="str">
        <f>IFERROR(__xludf.DUMMYFUNCTION("VLOOKUP(C20,IMPORTRANGE(""https://docs.google.com/spreadsheets/d/1SQRLoxD_LXfQNfB7NOxI5jlxbkDlcNPwla_2gSTySP8/edit#gid=274515254"",""Dashboard!$C$2:$D$156""),2,0)"),"チケットステータス")</f>
        <v>チケットステータス</v>
      </c>
      <c r="F20" s="82"/>
    </row>
    <row r="21">
      <c r="A21" s="80" t="s">
        <v>1474</v>
      </c>
      <c r="B21" s="85" t="s">
        <v>1786</v>
      </c>
      <c r="C21" s="15" t="s">
        <v>1476</v>
      </c>
      <c r="D21" s="15" t="s">
        <v>1477</v>
      </c>
      <c r="E21" s="46" t="str">
        <f>IFERROR(__xludf.DUMMYFUNCTION("VLOOKUP(C21,IMPORTRANGE(""https://docs.google.com/spreadsheets/d/1SQRLoxD_LXfQNfB7NOxI5jlxbkDlcNPwla_2gSTySP8/edit#gid=274515254"",""Dashboard!$C$2:$D$156""),2,0)"),"作成者")</f>
        <v>作成者</v>
      </c>
      <c r="F21" s="82"/>
    </row>
    <row r="22">
      <c r="A22" s="80" t="s">
        <v>1774</v>
      </c>
      <c r="B22" s="85" t="s">
        <v>1787</v>
      </c>
      <c r="C22" s="15" t="s">
        <v>1776</v>
      </c>
      <c r="D22" s="15" t="s">
        <v>1777</v>
      </c>
      <c r="E22" s="46" t="str">
        <f>IFERROR(__xludf.DUMMYFUNCTION("VLOOKUP(C22,IMPORTRANGE(""https://docs.google.com/spreadsheets/d/1SQRLoxD_LXfQNfB7NOxI5jlxbkDlcNPwla_2gSTySP8/edit#gid=274515254"",""Dashboard!$C$2:$D$156""),2,0)"),"割り当て")</f>
        <v>割り当て</v>
      </c>
      <c r="F22" s="82"/>
    </row>
    <row r="23">
      <c r="A23" s="80" t="s">
        <v>1778</v>
      </c>
      <c r="B23" s="85" t="s">
        <v>1788</v>
      </c>
      <c r="C23" s="15" t="s">
        <v>1780</v>
      </c>
      <c r="D23" s="15" t="s">
        <v>1781</v>
      </c>
      <c r="E23" s="46" t="str">
        <f>IFERROR(__xludf.DUMMYFUNCTION("VLOOKUP(C23,IMPORTRANGE(""https://docs.google.com/spreadsheets/d/1SQRLoxD_LXfQNfB7NOxI5jlxbkDlcNPwla_2gSTySP8/edit#gid=274515254"",""Dashboard!$C$2:$D$156""),2,0)"),"観察中")</f>
        <v>観察中</v>
      </c>
      <c r="F23" s="82"/>
    </row>
    <row r="24">
      <c r="A24" s="80" t="s">
        <v>181</v>
      </c>
      <c r="B24" s="85" t="s">
        <v>1789</v>
      </c>
      <c r="C24" s="15" t="s">
        <v>1790</v>
      </c>
      <c r="D24" s="15" t="s">
        <v>1791</v>
      </c>
      <c r="E24" s="46" t="str">
        <f>IFERROR(__xludf.DUMMYFUNCTION("VLOOKUP(C24,IMPORTRANGE(""https://docs.google.com/spreadsheets/d/1SQRLoxD_LXfQNfB7NOxI5jlxbkDlcNPwla_2gSTySP8/edit#gid=274515254"",""Dashboard!$C$2:$D$156""),2,0)"),"保留")</f>
        <v>保留</v>
      </c>
      <c r="F24" s="82"/>
    </row>
    <row r="25">
      <c r="A25" s="80" t="s">
        <v>185</v>
      </c>
      <c r="B25" s="85" t="s">
        <v>1792</v>
      </c>
      <c r="C25" s="15" t="s">
        <v>186</v>
      </c>
      <c r="D25" s="15" t="s">
        <v>187</v>
      </c>
      <c r="E25" s="46" t="str">
        <f>IFERROR(__xludf.DUMMYFUNCTION("VLOOKUP(C25,IMPORTRANGE(""https://docs.google.com/spreadsheets/d/1SQRLoxD_LXfQNfB7NOxI5jlxbkDlcNPwla_2gSTySP8/edit#gid=274515254"",""Dashboard!$C$2:$D$156""),2,0)"),"進行中")</f>
        <v>進行中</v>
      </c>
      <c r="F25" s="82"/>
    </row>
    <row r="26">
      <c r="A26" s="80" t="s">
        <v>300</v>
      </c>
      <c r="B26" s="85" t="s">
        <v>1793</v>
      </c>
      <c r="C26" s="15" t="s">
        <v>302</v>
      </c>
      <c r="D26" s="15" t="s">
        <v>303</v>
      </c>
      <c r="E26" s="46" t="str">
        <f>IFERROR(__xludf.DUMMYFUNCTION("VLOOKUP(C26,IMPORTRANGE(""https://docs.google.com/spreadsheets/d/1SQRLoxD_LXfQNfB7NOxI5jlxbkDlcNPwla_2gSTySP8/edit#gid=274515254"",""Dashboard!$C$2:$D$156""),2,0)"),"解決済み")</f>
        <v>解決済み</v>
      </c>
      <c r="F26" s="82"/>
    </row>
    <row r="27">
      <c r="A27" s="80" t="s">
        <v>827</v>
      </c>
      <c r="B27" s="85" t="s">
        <v>1794</v>
      </c>
      <c r="C27" s="15" t="s">
        <v>828</v>
      </c>
      <c r="D27" s="15" t="s">
        <v>829</v>
      </c>
      <c r="E27" s="46" t="str">
        <f>IFERROR(__xludf.DUMMYFUNCTION("VLOOKUP(C27,IMPORTRANGE(""https://docs.google.com/spreadsheets/d/1SQRLoxD_LXfQNfB7NOxI5jlxbkDlcNPwla_2gSTySP8/edit#gid=274515254"",""Dashboard!$C$2:$D$156""),2,0)"),"終了")</f>
        <v>終了</v>
      </c>
      <c r="F27" s="82"/>
    </row>
    <row r="28">
      <c r="A28" s="80" t="s">
        <v>304</v>
      </c>
      <c r="B28" s="85" t="s">
        <v>1795</v>
      </c>
      <c r="C28" s="15" t="s">
        <v>306</v>
      </c>
      <c r="D28" s="15" t="s">
        <v>307</v>
      </c>
      <c r="E28" s="46" t="str">
        <f>IFERROR(__xludf.DUMMYFUNCTION("VLOOKUP(C28,IMPORTRANGE(""https://docs.google.com/spreadsheets/d/1SQRLoxD_LXfQNfB7NOxI5jlxbkDlcNPwla_2gSTySP8/edit#gid=274515254"",""Dashboard!$C$2:$D$156""),2,0)"),"拒否")</f>
        <v>拒否</v>
      </c>
      <c r="F28" s="82"/>
    </row>
    <row r="29">
      <c r="A29" s="80" t="s">
        <v>1796</v>
      </c>
      <c r="B29" s="81" t="s">
        <v>1797</v>
      </c>
      <c r="C29" s="60" t="s">
        <v>1798</v>
      </c>
      <c r="D29" s="60" t="s">
        <v>1799</v>
      </c>
      <c r="E29" s="46" t="str">
        <f>IFERROR(__xludf.DUMMYFUNCTION("VLOOKUP(C29,IMPORTRANGE(""https://docs.google.com/spreadsheets/d/1SQRLoxD_LXfQNfB7NOxI5jlxbkDlcNPwla_2gSTySP8/edit#gid=274515254"",""Dashboard!$C$2:$D$156""),2,0)"),"優先順位上位チケット")</f>
        <v>優先順位上位チケット</v>
      </c>
      <c r="F29" s="82"/>
    </row>
    <row r="30">
      <c r="A30" s="80" t="s">
        <v>933</v>
      </c>
      <c r="B30" s="81" t="s">
        <v>1800</v>
      </c>
      <c r="C30" s="60" t="s">
        <v>1801</v>
      </c>
      <c r="D30" s="60" t="s">
        <v>1802</v>
      </c>
      <c r="E30" s="46" t="str">
        <f>IFERROR(__xludf.DUMMYFUNCTION("VLOOKUP(C30,IMPORTRANGE(""https://docs.google.com/spreadsheets/d/1SQRLoxD_LXfQNfB7NOxI5jlxbkDlcNPwla_2gSTySP8/edit#gid=274515254"",""Dashboard!$C$2:$D$156""),2,0)"),"チケット名")</f>
        <v>チケット名</v>
      </c>
      <c r="F30" s="82"/>
    </row>
    <row r="31">
      <c r="A31" s="80" t="s">
        <v>181</v>
      </c>
      <c r="B31" s="85" t="s">
        <v>1803</v>
      </c>
      <c r="C31" s="15" t="s">
        <v>183</v>
      </c>
      <c r="D31" s="15" t="s">
        <v>184</v>
      </c>
      <c r="E31" s="46" t="str">
        <f>IFERROR(__xludf.DUMMYFUNCTION("VLOOKUP(C31,IMPORTRANGE(""https://docs.google.com/spreadsheets/d/1SQRLoxD_LXfQNfB7NOxI5jlxbkDlcNPwla_2gSTySP8/edit#gid=274515254"",""Dashboard!$C$2:$D$156""),2,0)"),"保留")</f>
        <v>保留</v>
      </c>
      <c r="F31" s="82"/>
    </row>
    <row r="32">
      <c r="A32" s="80" t="s">
        <v>185</v>
      </c>
      <c r="B32" s="85" t="s">
        <v>1804</v>
      </c>
      <c r="C32" s="15" t="s">
        <v>186</v>
      </c>
      <c r="D32" s="15" t="s">
        <v>187</v>
      </c>
      <c r="E32" s="46" t="str">
        <f>IFERROR(__xludf.DUMMYFUNCTION("VLOOKUP(C32,IMPORTRANGE(""https://docs.google.com/spreadsheets/d/1SQRLoxD_LXfQNfB7NOxI5jlxbkDlcNPwla_2gSTySP8/edit#gid=274515254"",""Dashboard!$C$2:$D$156""),2,0)"),"進行中")</f>
        <v>進行中</v>
      </c>
      <c r="F32" s="82"/>
    </row>
    <row r="33">
      <c r="A33" s="80" t="s">
        <v>300</v>
      </c>
      <c r="B33" s="86"/>
      <c r="C33" s="15" t="s">
        <v>302</v>
      </c>
      <c r="D33" s="15" t="s">
        <v>303</v>
      </c>
      <c r="E33" s="46" t="str">
        <f>IFERROR(__xludf.DUMMYFUNCTION("VLOOKUP(C33,IMPORTRANGE(""https://docs.google.com/spreadsheets/d/1SQRLoxD_LXfQNfB7NOxI5jlxbkDlcNPwla_2gSTySP8/edit#gid=274515254"",""Dashboard!$C$2:$D$156""),2,0)"),"解決済み")</f>
        <v>解決済み</v>
      </c>
      <c r="F33" s="82"/>
    </row>
    <row r="34">
      <c r="A34" s="80" t="s">
        <v>827</v>
      </c>
      <c r="B34" s="86"/>
      <c r="C34" s="15" t="s">
        <v>828</v>
      </c>
      <c r="D34" s="15" t="s">
        <v>829</v>
      </c>
      <c r="E34" s="46" t="str">
        <f>IFERROR(__xludf.DUMMYFUNCTION("VLOOKUP(C34,IMPORTRANGE(""https://docs.google.com/spreadsheets/d/1SQRLoxD_LXfQNfB7NOxI5jlxbkDlcNPwla_2gSTySP8/edit#gid=274515254"",""Dashboard!$C$2:$D$156""),2,0)"),"終了")</f>
        <v>終了</v>
      </c>
      <c r="F34" s="82"/>
    </row>
    <row r="35">
      <c r="A35" s="80" t="s">
        <v>304</v>
      </c>
      <c r="B35" s="87" t="s">
        <v>1805</v>
      </c>
      <c r="C35" s="15" t="s">
        <v>306</v>
      </c>
      <c r="D35" s="15" t="s">
        <v>307</v>
      </c>
      <c r="E35" s="46" t="str">
        <f>IFERROR(__xludf.DUMMYFUNCTION("VLOOKUP(C35,IMPORTRANGE(""https://docs.google.com/spreadsheets/d/1SQRLoxD_LXfQNfB7NOxI5jlxbkDlcNPwla_2gSTySP8/edit#gid=274515254"",""Dashboard!$C$2:$D$156""),2,0)"),"拒否")</f>
        <v>拒否</v>
      </c>
      <c r="F35" s="82"/>
    </row>
    <row r="36">
      <c r="A36" s="80" t="s">
        <v>467</v>
      </c>
      <c r="B36" s="88" t="s">
        <v>1806</v>
      </c>
      <c r="C36" s="15" t="s">
        <v>1807</v>
      </c>
      <c r="D36" s="15" t="s">
        <v>1478</v>
      </c>
      <c r="E36" s="46" t="str">
        <f>IFERROR(__xludf.DUMMYFUNCTION("VLOOKUP(C36,IMPORTRANGE(""https://docs.google.com/spreadsheets/d/1SQRLoxD_LXfQNfB7NOxI5jlxbkDlcNPwla_2gSTySP8/edit#gid=274515254"",""Dashboard!$C$2:$D$156""),2,0)"),"期限")</f>
        <v>期限</v>
      </c>
      <c r="F36" s="82"/>
    </row>
    <row r="37">
      <c r="A37" s="80" t="s">
        <v>1808</v>
      </c>
      <c r="B37" s="85" t="s">
        <v>1809</v>
      </c>
      <c r="C37" s="15" t="s">
        <v>1810</v>
      </c>
      <c r="D37" s="15" t="s">
        <v>1811</v>
      </c>
      <c r="E37" s="46" t="str">
        <f>IFERROR(__xludf.DUMMYFUNCTION("VLOOKUP(C37,IMPORTRANGE(""https://docs.google.com/spreadsheets/d/1SQRLoxD_LXfQNfB7NOxI5jlxbkDlcNPwla_2gSTySP8/edit#gid=274515254"",""Dashboard!$C$2:$D$156""),2,0)"),"＊設定期限なし")</f>
        <v>＊設定期限なし</v>
      </c>
      <c r="F37" s="82"/>
    </row>
    <row r="38">
      <c r="A38" s="80" t="s">
        <v>1812</v>
      </c>
      <c r="B38" s="87" t="s">
        <v>1813</v>
      </c>
      <c r="C38" s="60" t="s">
        <v>1814</v>
      </c>
      <c r="D38" s="60" t="s">
        <v>1815</v>
      </c>
      <c r="E38" s="46" t="str">
        <f>IFERROR(__xludf.DUMMYFUNCTION("VLOOKUP(C38,IMPORTRANGE(""https://docs.google.com/spreadsheets/d/1SQRLoxD_LXfQNfB7NOxI5jlxbkDlcNPwla_2gSTySP8/edit#gid=274515254"",""Dashboard!$C$2:$D$156""),2,0)"),"次のユーザに割り当て済み")</f>
        <v>次のユーザに割り当て済み</v>
      </c>
      <c r="F38" s="82"/>
    </row>
    <row r="39">
      <c r="A39" s="80" t="s">
        <v>933</v>
      </c>
      <c r="B39" s="89" t="s">
        <v>1816</v>
      </c>
      <c r="C39" s="15" t="s">
        <v>1801</v>
      </c>
      <c r="D39" s="59" t="s">
        <v>1802</v>
      </c>
      <c r="E39" s="46" t="str">
        <f>IFERROR(__xludf.DUMMYFUNCTION("VLOOKUP(C39,IMPORTRANGE(""https://docs.google.com/spreadsheets/d/1SQRLoxD_LXfQNfB7NOxI5jlxbkDlcNPwla_2gSTySP8/edit#gid=274515254"",""Dashboard!$C$2:$D$156""),2,0)"),"チケット名")</f>
        <v>チケット名</v>
      </c>
      <c r="F39" s="82"/>
    </row>
    <row r="40">
      <c r="A40" s="80" t="s">
        <v>335</v>
      </c>
      <c r="B40" s="85" t="s">
        <v>1817</v>
      </c>
      <c r="C40" s="15" t="s">
        <v>442</v>
      </c>
      <c r="D40" s="15" t="s">
        <v>337</v>
      </c>
      <c r="E40" s="46" t="str">
        <f>IFERROR(__xludf.DUMMYFUNCTION("VLOOKUP(C40,IMPORTRANGE(""https://docs.google.com/spreadsheets/d/1SQRLoxD_LXfQNfB7NOxI5jlxbkDlcNPwla_2gSTySP8/edit#gid=274515254"",""Dashboard!$C$2:$D$156""),2,0)"),"担当者")</f>
        <v>担当者</v>
      </c>
      <c r="F40" s="82"/>
    </row>
    <row r="41">
      <c r="A41" s="80" t="s">
        <v>467</v>
      </c>
      <c r="B41" s="85" t="s">
        <v>1818</v>
      </c>
      <c r="C41" s="15" t="s">
        <v>443</v>
      </c>
      <c r="D41" s="15" t="s">
        <v>1478</v>
      </c>
      <c r="E41" s="46" t="str">
        <f>IFERROR(__xludf.DUMMYFUNCTION("VLOOKUP(C41,IMPORTRANGE(""https://docs.google.com/spreadsheets/d/1SQRLoxD_LXfQNfB7NOxI5jlxbkDlcNPwla_2gSTySP8/edit#gid=274515254"",""Dashboard!$C$2:$D$156""),2,0)"),"期限")</f>
        <v>期限</v>
      </c>
      <c r="F41" s="82"/>
    </row>
    <row r="42">
      <c r="A42" s="80" t="s">
        <v>341</v>
      </c>
      <c r="B42" s="85" t="s">
        <v>1819</v>
      </c>
      <c r="C42" s="84" t="s">
        <v>342</v>
      </c>
      <c r="D42" s="15" t="s">
        <v>1820</v>
      </c>
      <c r="E42" s="46" t="str">
        <f>IFERROR(__xludf.DUMMYFUNCTION("VLOOKUP(C42,IMPORTRANGE(""https://docs.google.com/spreadsheets/d/1SQRLoxD_LXfQNfB7NOxI5jlxbkDlcNPwla_2gSTySP8/edit#gid=274515254"",""Dashboard!$C$2:$D$156""),2,0)"),"優先順位")</f>
        <v>優先順位</v>
      </c>
      <c r="F42" s="82"/>
    </row>
    <row r="43">
      <c r="A43" s="80" t="s">
        <v>1821</v>
      </c>
      <c r="B43" s="85" t="s">
        <v>1822</v>
      </c>
      <c r="C43" s="15" t="s">
        <v>1823</v>
      </c>
      <c r="D43" s="15" t="s">
        <v>1824</v>
      </c>
      <c r="E43" s="46" t="str">
        <f>IFERROR(__xludf.DUMMYFUNCTION("VLOOKUP(C43,IMPORTRANGE(""https://docs.google.com/spreadsheets/d/1SQRLoxD_LXfQNfB7NOxI5jlxbkDlcNPwla_2gSTySP8/edit#gid=274515254"",""Dashboard!$C$2:$D$156""),2,0)"),"最重要")</f>
        <v>最重要</v>
      </c>
      <c r="F43" s="82"/>
    </row>
    <row r="44">
      <c r="A44" s="80" t="s">
        <v>880</v>
      </c>
      <c r="B44" s="85" t="s">
        <v>1825</v>
      </c>
      <c r="C44" s="15" t="s">
        <v>1826</v>
      </c>
      <c r="D44" s="15" t="s">
        <v>882</v>
      </c>
      <c r="E44" s="46" t="str">
        <f>IFERROR(__xludf.DUMMYFUNCTION("VLOOKUP(C44,IMPORTRANGE(""https://docs.google.com/spreadsheets/d/1SQRLoxD_LXfQNfB7NOxI5jlxbkDlcNPwla_2gSTySP8/edit#gid=274515254"",""Dashboard!$C$2:$D$156""),2,0)"),"高")</f>
        <v>高</v>
      </c>
      <c r="F44" s="82"/>
    </row>
    <row r="45">
      <c r="A45" s="80" t="s">
        <v>191</v>
      </c>
      <c r="B45" s="85" t="s">
        <v>1827</v>
      </c>
      <c r="C45" s="15" t="s">
        <v>192</v>
      </c>
      <c r="D45" s="15" t="s">
        <v>193</v>
      </c>
      <c r="E45" s="46" t="str">
        <f>IFERROR(__xludf.DUMMYFUNCTION("VLOOKUP(C45,IMPORTRANGE(""https://docs.google.com/spreadsheets/d/1SQRLoxD_LXfQNfB7NOxI5jlxbkDlcNPwla_2gSTySP8/edit#gid=274515254"",""Dashboard!$C$2:$D$156""),2,0)"),"中")</f>
        <v>中</v>
      </c>
      <c r="F45" s="82"/>
    </row>
    <row r="46">
      <c r="A46" s="80" t="s">
        <v>188</v>
      </c>
      <c r="B46" s="85" t="s">
        <v>1828</v>
      </c>
      <c r="C46" s="15" t="s">
        <v>189</v>
      </c>
      <c r="D46" s="15" t="s">
        <v>190</v>
      </c>
      <c r="E46" s="46" t="str">
        <f>IFERROR(__xludf.DUMMYFUNCTION("VLOOKUP(C46,IMPORTRANGE(""https://docs.google.com/spreadsheets/d/1SQRLoxD_LXfQNfB7NOxI5jlxbkDlcNPwla_2gSTySP8/edit#gid=274515254"",""Dashboard!$C$2:$D$156""),2,0)"),"低")</f>
        <v>低</v>
      </c>
      <c r="F46" s="82"/>
    </row>
    <row r="47">
      <c r="A47" s="80" t="s">
        <v>1829</v>
      </c>
      <c r="B47" s="90" t="s">
        <v>1830</v>
      </c>
      <c r="C47" s="60" t="s">
        <v>1831</v>
      </c>
      <c r="D47" s="60" t="s">
        <v>1832</v>
      </c>
      <c r="E47" s="46" t="str">
        <f>IFERROR(__xludf.DUMMYFUNCTION("VLOOKUP(C47,IMPORTRANGE(""https://docs.google.com/spreadsheets/d/1SQRLoxD_LXfQNfB7NOxI5jlxbkDlcNPwla_2gSTySP8/edit#gid=274515254"",""Dashboard!$C$2:$D$156""),2,0)"),"進捗")</f>
        <v>進捗</v>
      </c>
      <c r="F47" s="82"/>
    </row>
    <row r="48">
      <c r="A48" s="80" t="s">
        <v>1833</v>
      </c>
      <c r="B48" s="81" t="s">
        <v>1834</v>
      </c>
      <c r="C48" s="60" t="s">
        <v>1835</v>
      </c>
      <c r="D48" s="60" t="s">
        <v>1180</v>
      </c>
      <c r="E48" s="46" t="str">
        <f>IFERROR(__xludf.DUMMYFUNCTION("VLOOKUP(C48,IMPORTRANGE(""https://docs.google.com/spreadsheets/d/1SQRLoxD_LXfQNfB7NOxI5jlxbkDlcNPwla_2gSTySP8/edit#gid=274515254"",""Dashboard!$C$2:$D$156""),2,0)"),"ブックマーク")</f>
        <v>ブックマーク</v>
      </c>
      <c r="F48" s="82"/>
    </row>
    <row r="49">
      <c r="A49" s="80" t="s">
        <v>1836</v>
      </c>
      <c r="B49" s="91" t="s">
        <v>1837</v>
      </c>
      <c r="C49" s="60" t="s">
        <v>1838</v>
      </c>
      <c r="D49" s="60" t="s">
        <v>1839</v>
      </c>
      <c r="E49" s="46" t="str">
        <f>IFERROR(__xludf.DUMMYFUNCTION("VLOOKUP(C49,IMPORTRANGE(""https://docs.google.com/spreadsheets/d/1SQRLoxD_LXfQNfB7NOxI5jlxbkDlcNPwla_2gSTySP8/edit#gid=274515254"",""Dashboard!$C$2:$D$156""),2,0)"),"ステータス更新")</f>
        <v>ステータス更新</v>
      </c>
      <c r="F49" s="82"/>
    </row>
    <row r="50">
      <c r="A50" s="80" t="s">
        <v>1840</v>
      </c>
      <c r="B50" s="81" t="s">
        <v>1841</v>
      </c>
      <c r="C50" s="92" t="s">
        <v>1842</v>
      </c>
      <c r="D50" s="92" t="s">
        <v>1843</v>
      </c>
      <c r="E50" s="46" t="str">
        <f>IFERROR(__xludf.DUMMYFUNCTION("VLOOKUP(C50,IMPORTRANGE(""https://docs.google.com/spreadsheets/d/1SQRLoxD_LXfQNfB7NOxI5jlxbkDlcNPwla_2gSTySP8/edit#gid=274515254"",""Dashboard!$C$2:$D$156""),2,0)"),"優先順位追加")</f>
        <v>優先順位追加</v>
      </c>
      <c r="F50" s="82"/>
    </row>
    <row r="51">
      <c r="A51" s="80" t="s">
        <v>1844</v>
      </c>
      <c r="B51" s="81" t="s">
        <v>1845</v>
      </c>
      <c r="C51" s="60" t="s">
        <v>1846</v>
      </c>
      <c r="D51" s="59" t="s">
        <v>1847</v>
      </c>
      <c r="E51" s="46" t="str">
        <f>IFERROR(__xludf.DUMMYFUNCTION("VLOOKUP(C51,IMPORTRANGE(""https://docs.google.com/spreadsheets/d/1SQRLoxD_LXfQNfB7NOxI5jlxbkDlcNPwla_2gSTySP8/edit#gid=274515254"",""Dashboard!$C$2:$D$156""),2,0)"),"期限設定")</f>
        <v>期限設定</v>
      </c>
      <c r="F51" s="82"/>
    </row>
    <row r="52">
      <c r="A52" s="80" t="s">
        <v>1848</v>
      </c>
      <c r="B52" s="81" t="s">
        <v>1849</v>
      </c>
      <c r="C52" s="15" t="s">
        <v>102</v>
      </c>
      <c r="D52" s="15" t="s">
        <v>103</v>
      </c>
      <c r="E52" s="46" t="str">
        <f>IFERROR(__xludf.DUMMYFUNCTION("VLOOKUP(C52,IMPORTRANGE(""https://docs.google.com/spreadsheets/d/1SQRLoxD_LXfQNfB7NOxI5jlxbkDlcNPwla_2gSTySP8/edit#gid=274515254"",""Dashboard!$C$2:$D$156""),2,0)"),"1月")</f>
        <v>1月</v>
      </c>
      <c r="F52" s="82"/>
    </row>
    <row r="53">
      <c r="A53" s="59" t="s">
        <v>1850</v>
      </c>
      <c r="C53" s="15" t="s">
        <v>104</v>
      </c>
      <c r="D53" s="15" t="s">
        <v>105</v>
      </c>
      <c r="E53" s="46" t="str">
        <f>IFERROR(__xludf.DUMMYFUNCTION("VLOOKUP(C53,IMPORTRANGE(""https://docs.google.com/spreadsheets/d/1SQRLoxD_LXfQNfB7NOxI5jlxbkDlcNPwla_2gSTySP8/edit#gid=274515254"",""Dashboard!$C$2:$D$156""),2,0)"),"2月")</f>
        <v>2月</v>
      </c>
      <c r="F53" s="82"/>
    </row>
    <row r="54">
      <c r="A54" s="59" t="s">
        <v>1851</v>
      </c>
      <c r="C54" s="15" t="s">
        <v>106</v>
      </c>
      <c r="D54" s="15" t="s">
        <v>107</v>
      </c>
      <c r="E54" s="46" t="str">
        <f>IFERROR(__xludf.DUMMYFUNCTION("VLOOKUP(C54,IMPORTRANGE(""https://docs.google.com/spreadsheets/d/1SQRLoxD_LXfQNfB7NOxI5jlxbkDlcNPwla_2gSTySP8/edit#gid=274515254"",""Dashboard!$C$2:$D$156""),2,0)"),"3月")</f>
        <v>3月</v>
      </c>
      <c r="F54" s="82"/>
    </row>
    <row r="55">
      <c r="A55" s="59" t="s">
        <v>1852</v>
      </c>
      <c r="C55" s="15" t="s">
        <v>108</v>
      </c>
      <c r="D55" s="15" t="s">
        <v>109</v>
      </c>
      <c r="E55" s="46" t="str">
        <f>IFERROR(__xludf.DUMMYFUNCTION("VLOOKUP(C55,IMPORTRANGE(""https://docs.google.com/spreadsheets/d/1SQRLoxD_LXfQNfB7NOxI5jlxbkDlcNPwla_2gSTySP8/edit#gid=274515254"",""Dashboard!$C$2:$D$156""),2,0)"),"4月")</f>
        <v>4月</v>
      </c>
      <c r="F55" s="82"/>
    </row>
    <row r="56">
      <c r="A56" s="59" t="s">
        <v>649</v>
      </c>
      <c r="C56" s="15" t="s">
        <v>110</v>
      </c>
      <c r="D56" s="15" t="s">
        <v>111</v>
      </c>
      <c r="E56" s="46" t="str">
        <f>IFERROR(__xludf.DUMMYFUNCTION("VLOOKUP(C56,IMPORTRANGE(""https://docs.google.com/spreadsheets/d/1SQRLoxD_LXfQNfB7NOxI5jlxbkDlcNPwla_2gSTySP8/edit#gid=274515254"",""Dashboard!$C$2:$D$156""),2,0)"),"5月")</f>
        <v>5月</v>
      </c>
      <c r="F56" s="82"/>
    </row>
    <row r="57">
      <c r="A57" s="59" t="s">
        <v>1853</v>
      </c>
      <c r="C57" s="15" t="s">
        <v>112</v>
      </c>
      <c r="D57" s="15" t="s">
        <v>113</v>
      </c>
      <c r="E57" s="46" t="str">
        <f>IFERROR(__xludf.DUMMYFUNCTION("VLOOKUP(C57,IMPORTRANGE(""https://docs.google.com/spreadsheets/d/1SQRLoxD_LXfQNfB7NOxI5jlxbkDlcNPwla_2gSTySP8/edit#gid=274515254"",""Dashboard!$C$2:$D$156""),2,0)"),"6月")</f>
        <v>6月</v>
      </c>
      <c r="F57" s="82"/>
    </row>
    <row r="58">
      <c r="A58" s="59" t="s">
        <v>1854</v>
      </c>
      <c r="C58" s="15" t="s">
        <v>114</v>
      </c>
      <c r="D58" s="15" t="s">
        <v>115</v>
      </c>
      <c r="E58" s="46" t="str">
        <f>IFERROR(__xludf.DUMMYFUNCTION("VLOOKUP(C58,IMPORTRANGE(""https://docs.google.com/spreadsheets/d/1SQRLoxD_LXfQNfB7NOxI5jlxbkDlcNPwla_2gSTySP8/edit#gid=274515254"",""Dashboard!$C$2:$D$156""),2,0)"),"7月")</f>
        <v>7月</v>
      </c>
      <c r="F58" s="82"/>
    </row>
    <row r="59">
      <c r="A59" s="59" t="s">
        <v>1855</v>
      </c>
      <c r="C59" s="15" t="s">
        <v>116</v>
      </c>
      <c r="D59" s="15" t="s">
        <v>117</v>
      </c>
      <c r="E59" s="46" t="str">
        <f>IFERROR(__xludf.DUMMYFUNCTION("VLOOKUP(C59,IMPORTRANGE(""https://docs.google.com/spreadsheets/d/1SQRLoxD_LXfQNfB7NOxI5jlxbkDlcNPwla_2gSTySP8/edit#gid=274515254"",""Dashboard!$C$2:$D$156""),2,0)"),"8月")</f>
        <v>8月</v>
      </c>
      <c r="F59" s="82"/>
    </row>
    <row r="60">
      <c r="A60" s="59" t="s">
        <v>1856</v>
      </c>
      <c r="C60" s="15" t="s">
        <v>118</v>
      </c>
      <c r="D60" s="15" t="s">
        <v>119</v>
      </c>
      <c r="E60" s="46" t="str">
        <f>IFERROR(__xludf.DUMMYFUNCTION("VLOOKUP(C60,IMPORTRANGE(""https://docs.google.com/spreadsheets/d/1SQRLoxD_LXfQNfB7NOxI5jlxbkDlcNPwla_2gSTySP8/edit#gid=274515254"",""Dashboard!$C$2:$D$156""),2,0)"),"9月")</f>
        <v>9月</v>
      </c>
      <c r="F60" s="82"/>
    </row>
    <row r="61">
      <c r="A61" s="59" t="s">
        <v>1857</v>
      </c>
      <c r="C61" s="15" t="s">
        <v>120</v>
      </c>
      <c r="D61" s="15" t="s">
        <v>121</v>
      </c>
      <c r="E61" s="46" t="str">
        <f>IFERROR(__xludf.DUMMYFUNCTION("VLOOKUP(C61,IMPORTRANGE(""https://docs.google.com/spreadsheets/d/1SQRLoxD_LXfQNfB7NOxI5jlxbkDlcNPwla_2gSTySP8/edit#gid=274515254"",""Dashboard!$C$2:$D$156""),2,0)"),"10月")</f>
        <v>10月</v>
      </c>
      <c r="F61" s="82"/>
    </row>
    <row r="62">
      <c r="A62" s="59" t="s">
        <v>1858</v>
      </c>
      <c r="C62" s="15" t="s">
        <v>122</v>
      </c>
      <c r="D62" s="15" t="s">
        <v>123</v>
      </c>
      <c r="E62" s="46" t="str">
        <f>IFERROR(__xludf.DUMMYFUNCTION("VLOOKUP(C62,IMPORTRANGE(""https://docs.google.com/spreadsheets/d/1SQRLoxD_LXfQNfB7NOxI5jlxbkDlcNPwla_2gSTySP8/edit#gid=274515254"",""Dashboard!$C$2:$D$156""),2,0)"),"11月")</f>
        <v>11月</v>
      </c>
      <c r="F62" s="82"/>
    </row>
    <row r="63">
      <c r="A63" s="59" t="s">
        <v>1859</v>
      </c>
      <c r="C63" s="15" t="s">
        <v>124</v>
      </c>
      <c r="D63" s="15" t="s">
        <v>125</v>
      </c>
      <c r="E63" s="46" t="str">
        <f>IFERROR(__xludf.DUMMYFUNCTION("VLOOKUP(C63,IMPORTRANGE(""https://docs.google.com/spreadsheets/d/1SQRLoxD_LXfQNfB7NOxI5jlxbkDlcNPwla_2gSTySP8/edit#gid=274515254"",""Dashboard!$C$2:$D$156""),2,0)"),"12月")</f>
        <v>12月</v>
      </c>
      <c r="F63" s="82"/>
    </row>
    <row r="64">
      <c r="A64" s="59" t="s">
        <v>1860</v>
      </c>
      <c r="B64" s="81" t="s">
        <v>1849</v>
      </c>
      <c r="C64" s="15" t="s">
        <v>126</v>
      </c>
      <c r="D64" s="15" t="s">
        <v>127</v>
      </c>
      <c r="E64" s="46" t="str">
        <f>IFERROR(__xludf.DUMMYFUNCTION("VLOOKUP(C64,IMPORTRANGE(""https://docs.google.com/spreadsheets/d/1SQRLoxD_LXfQNfB7NOxI5jlxbkDlcNPwla_2gSTySP8/edit#gid=274515254"",""Dashboard!$C$2:$D$156""),2,0)"),"日")</f>
        <v>日</v>
      </c>
      <c r="F64" s="82"/>
    </row>
    <row r="65">
      <c r="A65" s="59" t="s">
        <v>1861</v>
      </c>
      <c r="C65" s="15" t="s">
        <v>128</v>
      </c>
      <c r="D65" s="15" t="s">
        <v>129</v>
      </c>
      <c r="E65" s="46" t="str">
        <f>IFERROR(__xludf.DUMMYFUNCTION("VLOOKUP(C65,IMPORTRANGE(""https://docs.google.com/spreadsheets/d/1SQRLoxD_LXfQNfB7NOxI5jlxbkDlcNPwla_2gSTySP8/edit#gid=274515254"",""Dashboard!$C$2:$D$156""),2,0)"),"月")</f>
        <v>月</v>
      </c>
      <c r="F65" s="82"/>
    </row>
    <row r="66">
      <c r="A66" s="59" t="s">
        <v>1862</v>
      </c>
      <c r="C66" s="15" t="s">
        <v>130</v>
      </c>
      <c r="D66" s="15" t="s">
        <v>131</v>
      </c>
      <c r="E66" s="46" t="str">
        <f>IFERROR(__xludf.DUMMYFUNCTION("VLOOKUP(C66,IMPORTRANGE(""https://docs.google.com/spreadsheets/d/1SQRLoxD_LXfQNfB7NOxI5jlxbkDlcNPwla_2gSTySP8/edit#gid=274515254"",""Dashboard!$C$2:$D$156""),2,0)"),"火")</f>
        <v>火</v>
      </c>
      <c r="F66" s="82"/>
    </row>
    <row r="67">
      <c r="A67" s="59" t="s">
        <v>1863</v>
      </c>
      <c r="B67" s="81" t="s">
        <v>1864</v>
      </c>
      <c r="C67" s="15" t="s">
        <v>133</v>
      </c>
      <c r="D67" s="15" t="s">
        <v>134</v>
      </c>
      <c r="E67" s="46" t="str">
        <f>IFERROR(__xludf.DUMMYFUNCTION("VLOOKUP(C67,IMPORTRANGE(""https://docs.google.com/spreadsheets/d/1SQRLoxD_LXfQNfB7NOxI5jlxbkDlcNPwla_2gSTySP8/edit#gid=274515254"",""Dashboard!$C$2:$D$156""),2,0)"),"水")</f>
        <v>水</v>
      </c>
      <c r="F67" s="82"/>
    </row>
    <row r="68">
      <c r="A68" s="59" t="s">
        <v>1865</v>
      </c>
      <c r="C68" s="15" t="s">
        <v>135</v>
      </c>
      <c r="D68" s="15" t="s">
        <v>136</v>
      </c>
      <c r="E68" s="46" t="str">
        <f>IFERROR(__xludf.DUMMYFUNCTION("VLOOKUP(C68,IMPORTRANGE(""https://docs.google.com/spreadsheets/d/1SQRLoxD_LXfQNfB7NOxI5jlxbkDlcNPwla_2gSTySP8/edit#gid=274515254"",""Dashboard!$C$2:$D$156""),2,0)"),"木")</f>
        <v>木</v>
      </c>
      <c r="F68" s="82"/>
    </row>
    <row r="69">
      <c r="A69" s="59" t="s">
        <v>1866</v>
      </c>
      <c r="C69" s="15" t="s">
        <v>137</v>
      </c>
      <c r="D69" s="15" t="s">
        <v>138</v>
      </c>
      <c r="E69" s="46" t="str">
        <f>IFERROR(__xludf.DUMMYFUNCTION("VLOOKUP(C69,IMPORTRANGE(""https://docs.google.com/spreadsheets/d/1SQRLoxD_LXfQNfB7NOxI5jlxbkDlcNPwla_2gSTySP8/edit#gid=274515254"",""Dashboard!$C$2:$D$156""),2,0)"),"金")</f>
        <v>金</v>
      </c>
      <c r="F69" s="82"/>
    </row>
    <row r="70">
      <c r="A70" s="59" t="s">
        <v>1867</v>
      </c>
      <c r="C70" s="15" t="s">
        <v>139</v>
      </c>
      <c r="D70" s="15" t="s">
        <v>140</v>
      </c>
      <c r="E70" s="46" t="str">
        <f>IFERROR(__xludf.DUMMYFUNCTION("VLOOKUP(C70,IMPORTRANGE(""https://docs.google.com/spreadsheets/d/1SQRLoxD_LXfQNfB7NOxI5jlxbkDlcNPwla_2gSTySP8/edit#gid=274515254"",""Dashboard!$C$2:$D$156""),2,0)"),"土")</f>
        <v>土</v>
      </c>
      <c r="F70" s="82"/>
    </row>
    <row r="71">
      <c r="A71" s="80" t="s">
        <v>1868</v>
      </c>
      <c r="B71" s="81" t="s">
        <v>1869</v>
      </c>
      <c r="C71" s="60" t="s">
        <v>1870</v>
      </c>
      <c r="D71" s="60" t="s">
        <v>1871</v>
      </c>
      <c r="E71" s="46" t="str">
        <f>IFERROR(__xludf.DUMMYFUNCTION("VLOOKUP(C71,IMPORTRANGE(""https://docs.google.com/spreadsheets/d/1SQRLoxD_LXfQNfB7NOxI5jlxbkDlcNPwla_2gSTySP8/edit#gid=274515254"",""Dashboard!$C$2:$D$156""),2,0)"),"ユーザの割り当て")</f>
        <v>ユーザの割り当て</v>
      </c>
      <c r="F71" s="82"/>
    </row>
    <row r="72">
      <c r="A72" s="80" t="s">
        <v>1872</v>
      </c>
      <c r="C72" s="59" t="s">
        <v>219</v>
      </c>
      <c r="D72" s="59" t="s">
        <v>220</v>
      </c>
      <c r="E72" s="46" t="str">
        <f>IFERROR(__xludf.DUMMYFUNCTION("VLOOKUP(C72,IMPORTRANGE(""https://docs.google.com/spreadsheets/d/1SQRLoxD_LXfQNfB7NOxI5jlxbkDlcNPwla_2gSTySP8/edit#gid=274515254"",""Dashboard!$C$2:$D$156""),2,0)"),"検索")</f>
        <v>検索</v>
      </c>
      <c r="F72" s="82"/>
    </row>
    <row r="73">
      <c r="A73" s="80" t="s">
        <v>1873</v>
      </c>
      <c r="B73" s="81" t="s">
        <v>1874</v>
      </c>
      <c r="C73" s="60" t="s">
        <v>1875</v>
      </c>
      <c r="D73" s="60" t="s">
        <v>1876</v>
      </c>
      <c r="E73" s="46" t="str">
        <f>IFERROR(__xludf.DUMMYFUNCTION("VLOOKUP(C73,IMPORTRANGE(""https://docs.google.com/spreadsheets/d/1SQRLoxD_LXfQNfB7NOxI5jlxbkDlcNPwla_2gSTySP8/edit#gid=274515254"",""Dashboard!$C$2:$D$156""),2,0)"),"テンプレートから読み込む")</f>
        <v>テンプレートから読み込む</v>
      </c>
      <c r="F73" s="82"/>
    </row>
    <row r="74">
      <c r="A74" s="80" t="s">
        <v>1877</v>
      </c>
      <c r="C74" s="15" t="s">
        <v>1878</v>
      </c>
      <c r="D74" s="15" t="s">
        <v>1879</v>
      </c>
      <c r="E74" s="46" t="str">
        <f>IFERROR(__xludf.DUMMYFUNCTION("VLOOKUP(C74,IMPORTRANGE(""https://docs.google.com/spreadsheets/d/1SQRLoxD_LXfQNfB7NOxI5jlxbkDlcNPwla_2gSTySP8/edit#gid=274515254"",""Dashboard!$C$2:$D$156""),2,0)"),"テンプレートの選択または新規テンプレートの作成")</f>
        <v>テンプレートの選択または新規テンプレートの作成</v>
      </c>
      <c r="F74" s="82"/>
    </row>
    <row r="75">
      <c r="A75" s="80" t="s">
        <v>1880</v>
      </c>
      <c r="C75" s="15" t="s">
        <v>1881</v>
      </c>
      <c r="D75" s="15" t="s">
        <v>1882</v>
      </c>
      <c r="E75" s="46" t="str">
        <f>IFERROR(__xludf.DUMMYFUNCTION("VLOOKUP(C75,IMPORTRANGE(""https://docs.google.com/spreadsheets/d/1SQRLoxD_LXfQNfB7NOxI5jlxbkDlcNPwla_2gSTySP8/edit#gid=274515254"",""Dashboard!$C$2:$D$156""),2,0)"),"テンプレートに含める")</f>
        <v>テンプレートに含める</v>
      </c>
      <c r="F75" s="82"/>
    </row>
    <row r="76">
      <c r="A76" s="80" t="s">
        <v>1883</v>
      </c>
      <c r="C76" s="15" t="s">
        <v>986</v>
      </c>
      <c r="D76" s="15" t="s">
        <v>928</v>
      </c>
      <c r="E76" s="46" t="str">
        <f>IFERROR(__xludf.DUMMYFUNCTION("VLOOKUP(C76,IMPORTRANGE(""https://docs.google.com/spreadsheets/d/1SQRLoxD_LXfQNfB7NOxI5jlxbkDlcNPwla_2gSTySP8/edit#gid=274515254"",""Dashboard!$C$2:$D$156""),2,0)"),"すべて")</f>
        <v>すべて</v>
      </c>
      <c r="F76" s="82"/>
    </row>
    <row r="77">
      <c r="A77" s="80" t="s">
        <v>1884</v>
      </c>
      <c r="C77" s="15" t="s">
        <v>1885</v>
      </c>
      <c r="D77" s="15" t="s">
        <v>1886</v>
      </c>
      <c r="E77" s="46" t="str">
        <f>IFERROR(__xludf.DUMMYFUNCTION("VLOOKUP(C77,IMPORTRANGE(""https://docs.google.com/spreadsheets/d/1SQRLoxD_LXfQNfB7NOxI5jlxbkDlcNPwla_2gSTySP8/edit#gid=274515254"",""Dashboard!$C$2:$D$156""),2,0)"),"カスタム")</f>
        <v>カスタム</v>
      </c>
      <c r="F77" s="82"/>
    </row>
    <row r="78">
      <c r="A78" s="80" t="s">
        <v>335</v>
      </c>
      <c r="B78" s="81" t="s">
        <v>1887</v>
      </c>
      <c r="C78" s="15" t="s">
        <v>442</v>
      </c>
      <c r="D78" s="15" t="s">
        <v>337</v>
      </c>
      <c r="E78" s="46" t="str">
        <f>IFERROR(__xludf.DUMMYFUNCTION("VLOOKUP(C78,IMPORTRANGE(""https://docs.google.com/spreadsheets/d/1SQRLoxD_LXfQNfB7NOxI5jlxbkDlcNPwla_2gSTySP8/edit#gid=274515254"",""Dashboard!$C$2:$D$156""),2,0)"),"担当者")</f>
        <v>担当者</v>
      </c>
      <c r="F78" s="82"/>
    </row>
    <row r="79">
      <c r="A79" s="80" t="s">
        <v>1888</v>
      </c>
      <c r="C79" s="15" t="s">
        <v>1644</v>
      </c>
      <c r="D79" s="15" t="s">
        <v>1645</v>
      </c>
      <c r="E79" s="46" t="str">
        <f>IFERROR(__xludf.DUMMYFUNCTION("VLOOKUP(C79,IMPORTRANGE(""https://docs.google.com/spreadsheets/d/1SQRLoxD_LXfQNfB7NOxI5jlxbkDlcNPwla_2gSTySP8/edit#gid=274515254"",""Dashboard!$C$2:$D$156""),2,0)"),"添付")</f>
        <v>添付</v>
      </c>
      <c r="F79" s="82"/>
    </row>
    <row r="80">
      <c r="A80" s="80" t="s">
        <v>1889</v>
      </c>
      <c r="C80" s="15" t="s">
        <v>1339</v>
      </c>
      <c r="D80" s="15" t="s">
        <v>1340</v>
      </c>
      <c r="E80" s="46" t="str">
        <f>IFERROR(__xludf.DUMMYFUNCTION("VLOOKUP(C80,IMPORTRANGE(""https://docs.google.com/spreadsheets/d/1SQRLoxD_LXfQNfB7NOxI5jlxbkDlcNPwla_2gSTySP8/edit#gid=274515254"",""Dashboard!$C$2:$D$156""),2,0)"),"チェックリスト")</f>
        <v>チェックリスト</v>
      </c>
      <c r="F80" s="82"/>
    </row>
    <row r="81">
      <c r="A81" s="80" t="s">
        <v>341</v>
      </c>
      <c r="B81" s="81" t="s">
        <v>1890</v>
      </c>
      <c r="C81" s="15" t="s">
        <v>342</v>
      </c>
      <c r="D81" s="15" t="s">
        <v>1820</v>
      </c>
      <c r="E81" s="46" t="str">
        <f>IFERROR(__xludf.DUMMYFUNCTION("VLOOKUP(C81,IMPORTRANGE(""https://docs.google.com/spreadsheets/d/1SQRLoxD_LXfQNfB7NOxI5jlxbkDlcNPwla_2gSTySP8/edit#gid=274515254"",""Dashboard!$C$2:$D$156""),2,0)"),"優先順位")</f>
        <v>優先順位</v>
      </c>
      <c r="F81" s="82"/>
    </row>
    <row r="82">
      <c r="A82" s="80" t="s">
        <v>1891</v>
      </c>
      <c r="C82" s="15" t="s">
        <v>1892</v>
      </c>
      <c r="D82" s="15" t="s">
        <v>1893</v>
      </c>
      <c r="E82" s="46" t="str">
        <f>IFERROR(__xludf.DUMMYFUNCTION("VLOOKUP(C82,IMPORTRANGE(""https://docs.google.com/spreadsheets/d/1SQRLoxD_LXfQNfB7NOxI5jlxbkDlcNPwla_2gSTySP8/edit#gid=274515254"",""Dashboard!$C$2:$D$156""),2,0)"),"管理者")</f>
        <v>管理者</v>
      </c>
      <c r="F82" s="82"/>
    </row>
    <row r="83">
      <c r="A83" s="80" t="s">
        <v>345</v>
      </c>
      <c r="C83" s="15" t="s">
        <v>346</v>
      </c>
      <c r="D83" s="15" t="s">
        <v>347</v>
      </c>
      <c r="E83" s="46" t="str">
        <f>IFERROR(__xludf.DUMMYFUNCTION("VLOOKUP(C83,IMPORTRANGE(""https://docs.google.com/spreadsheets/d/1SQRLoxD_LXfQNfB7NOxI5jlxbkDlcNPwla_2gSTySP8/edit#gid=274515254"",""Dashboard!$C$2:$D$156""),2,0)"),"タグ")</f>
        <v>タグ</v>
      </c>
      <c r="F83" s="82"/>
    </row>
    <row r="84">
      <c r="A84" s="80" t="s">
        <v>507</v>
      </c>
      <c r="B84" s="81" t="s">
        <v>1894</v>
      </c>
      <c r="C84" s="15" t="s">
        <v>508</v>
      </c>
      <c r="D84" s="15" t="s">
        <v>509</v>
      </c>
      <c r="E84" s="46" t="str">
        <f>IFERROR(__xludf.DUMMYFUNCTION("VLOOKUP(C84,IMPORTRANGE(""https://docs.google.com/spreadsheets/d/1SQRLoxD_LXfQNfB7NOxI5jlxbkDlcNPwla_2gSTySP8/edit#gid=274515254"",""Dashboard!$C$2:$D$156""),2,0)"),"ユーザ")</f>
        <v>ユーザ</v>
      </c>
      <c r="F84" s="82"/>
    </row>
    <row r="85">
      <c r="A85" s="80" t="s">
        <v>517</v>
      </c>
      <c r="C85" s="15" t="s">
        <v>519</v>
      </c>
      <c r="D85" s="15" t="s">
        <v>520</v>
      </c>
      <c r="E85" s="46" t="str">
        <f>IFERROR(__xludf.DUMMYFUNCTION("VLOOKUP(C85,IMPORTRANGE(""https://docs.google.com/spreadsheets/d/1SQRLoxD_LXfQNfB7NOxI5jlxbkDlcNPwla_2gSTySP8/edit#gid=274515254"",""Dashboard!$C$2:$D$156""),2,0)"),"チーム")</f>
        <v>チーム</v>
      </c>
      <c r="F85" s="82"/>
    </row>
    <row r="86">
      <c r="A86" s="80" t="s">
        <v>687</v>
      </c>
      <c r="C86" s="15" t="s">
        <v>527</v>
      </c>
      <c r="D86" s="59" t="s">
        <v>528</v>
      </c>
      <c r="E86" s="46" t="str">
        <f>IFERROR(__xludf.DUMMYFUNCTION("VLOOKUP(C86,IMPORTRANGE(""https://docs.google.com/spreadsheets/d/1SQRLoxD_LXfQNfB7NOxI5jlxbkDlcNPwla_2gSTySP8/edit#gid=274515254"",""Dashboard!$C$2:$D$156""),2,0)"),"スケジュール")</f>
        <v>スケジュール</v>
      </c>
      <c r="F86" s="82"/>
    </row>
    <row r="87">
      <c r="A87" s="80" t="s">
        <v>338</v>
      </c>
      <c r="B87" s="81" t="s">
        <v>1895</v>
      </c>
      <c r="C87" s="15" t="s">
        <v>339</v>
      </c>
      <c r="D87" s="15" t="s">
        <v>340</v>
      </c>
      <c r="E87" s="46" t="str">
        <f>IFERROR(__xludf.DUMMYFUNCTION("VLOOKUP(C87,IMPORTRANGE(""https://docs.google.com/spreadsheets/d/1SQRLoxD_LXfQNfB7NOxI5jlxbkDlcNPwla_2gSTySP8/edit#gid=274515254"",""Dashboard!$C$2:$D$156""),2,0)"),"ステータス")</f>
        <v>ステータス</v>
      </c>
      <c r="F87" s="82"/>
    </row>
    <row r="88">
      <c r="A88" s="80" t="s">
        <v>268</v>
      </c>
      <c r="B88" s="81" t="s">
        <v>1896</v>
      </c>
      <c r="C88" s="15" t="s">
        <v>269</v>
      </c>
      <c r="D88" s="15" t="s">
        <v>270</v>
      </c>
      <c r="E88" s="46" t="str">
        <f>IFERROR(__xludf.DUMMYFUNCTION("VLOOKUP(C88,IMPORTRANGE(""https://docs.google.com/spreadsheets/d/1SQRLoxD_LXfQNfB7NOxI5jlxbkDlcNPwla_2gSTySP8/edit#gid=274515254"",""Dashboard!$C$2:$D$156""),2,0)"),"キャンセル")</f>
        <v>キャンセル</v>
      </c>
      <c r="F88" s="82"/>
    </row>
    <row r="89">
      <c r="A89" s="80" t="s">
        <v>1897</v>
      </c>
      <c r="C89" s="15" t="s">
        <v>1898</v>
      </c>
      <c r="D89" s="15" t="s">
        <v>1899</v>
      </c>
      <c r="E89" s="46" t="str">
        <f>IFERROR(__xludf.DUMMYFUNCTION("VLOOKUP(C89,IMPORTRANGE(""https://docs.google.com/spreadsheets/d/1SQRLoxD_LXfQNfB7NOxI5jlxbkDlcNPwla_2gSTySP8/edit#gid=274515254"",""Dashboard!$C$2:$D$156""),2,0)"),"テンプレートを読み込む")</f>
        <v>テンプレートを読み込む</v>
      </c>
      <c r="F89" s="82"/>
    </row>
    <row r="90">
      <c r="A90" s="80" t="s">
        <v>1900</v>
      </c>
      <c r="B90" s="81" t="s">
        <v>1901</v>
      </c>
      <c r="C90" s="84" t="s">
        <v>1902</v>
      </c>
      <c r="D90" s="15" t="s">
        <v>1903</v>
      </c>
      <c r="E90" s="46" t="str">
        <f>IFERROR(__xludf.DUMMYFUNCTION("VLOOKUP(C90,IMPORTRANGE(""https://docs.google.com/spreadsheets/d/1SQRLoxD_LXfQNfB7NOxI5jlxbkDlcNPwla_2gSTySP8/edit#gid=274515254"",""Dashboard!$C$2:$D$156""),2,0)"),"タグを追加")</f>
        <v>タグを追加</v>
      </c>
      <c r="F90" s="82"/>
    </row>
    <row r="91">
      <c r="A91" s="80" t="s">
        <v>1904</v>
      </c>
      <c r="C91" s="60" t="s">
        <v>1905</v>
      </c>
      <c r="D91" s="15" t="s">
        <v>1906</v>
      </c>
      <c r="E91" s="46" t="str">
        <f>IFERROR(__xludf.DUMMYFUNCTION("VLOOKUP(C91,IMPORTRANGE(""https://docs.google.com/spreadsheets/d/1SQRLoxD_LXfQNfB7NOxI5jlxbkDlcNPwla_2gSTySP8/edit#gid=274515254"",""Dashboard!$C$2:$D$156""),2,0)"),"タグ検索／作成")</f>
        <v>タグ検索／作成</v>
      </c>
      <c r="F91" s="82"/>
    </row>
    <row r="92">
      <c r="A92" s="80" t="s">
        <v>1907</v>
      </c>
      <c r="B92" s="85" t="s">
        <v>1908</v>
      </c>
      <c r="C92" s="15" t="s">
        <v>1909</v>
      </c>
      <c r="D92" s="15" t="s">
        <v>1910</v>
      </c>
      <c r="E92" s="46" t="str">
        <f>IFERROR(__xludf.DUMMYFUNCTION("VLOOKUP(C92,IMPORTRANGE(""https://docs.google.com/spreadsheets/d/1SQRLoxD_LXfQNfB7NOxI5jlxbkDlcNPwla_2gSTySP8/edit#gid=274515254"",""Dashboard!$C$2:$D$156""),2,0)"),"チケットを追跡")</f>
        <v>チケットを追跡</v>
      </c>
      <c r="F92" s="82"/>
    </row>
    <row r="93">
      <c r="A93" s="80" t="s">
        <v>1911</v>
      </c>
      <c r="B93" s="85" t="s">
        <v>1912</v>
      </c>
      <c r="C93" s="15" t="s">
        <v>1913</v>
      </c>
      <c r="D93" s="15" t="s">
        <v>1914</v>
      </c>
      <c r="E93" s="46" t="str">
        <f>IFERROR(__xludf.DUMMYFUNCTION("VLOOKUP(C93,IMPORTRANGE(""https://docs.google.com/spreadsheets/d/1SQRLoxD_LXfQNfB7NOxI5jlxbkDlcNPwla_2gSTySP8/edit#gid=274515254"",""Dashboard!$C$2:$D$156""),2,0)"),"ユーザを追加")</f>
        <v>ユーザを追加</v>
      </c>
      <c r="F93" s="82"/>
    </row>
    <row r="94">
      <c r="A94" s="80" t="s">
        <v>1915</v>
      </c>
      <c r="B94" s="60"/>
      <c r="C94" s="15" t="s">
        <v>1916</v>
      </c>
      <c r="D94" s="15" t="s">
        <v>1917</v>
      </c>
      <c r="E94" s="46" t="str">
        <f>IFERROR(__xludf.DUMMYFUNCTION("VLOOKUP(C94,IMPORTRANGE(""https://docs.google.com/spreadsheets/d/1SQRLoxD_LXfQNfB7NOxI5jlxbkDlcNPwla_2gSTySP8/edit#gid=274515254"",""Dashboard!$C$2:$D$156""),2,0)"),"ユーザ名の検索")</f>
        <v>ユーザ名の検索</v>
      </c>
      <c r="F94" s="82"/>
    </row>
    <row r="95">
      <c r="A95" s="80" t="s">
        <v>524</v>
      </c>
      <c r="C95" s="15" t="s">
        <v>146</v>
      </c>
      <c r="D95" s="15" t="s">
        <v>147</v>
      </c>
      <c r="E95" s="46" t="str">
        <f>IFERROR(__xludf.DUMMYFUNCTION("VLOOKUP(C95,IMPORTRANGE(""https://docs.google.com/spreadsheets/d/1SQRLoxD_LXfQNfB7NOxI5jlxbkDlcNPwla_2gSTySP8/edit#gid=274515254"",""Dashboard!$C$2:$D$156""),2,0)"),"保存")</f>
        <v>保存</v>
      </c>
      <c r="F95" s="82"/>
    </row>
    <row r="96">
      <c r="A96" s="80" t="s">
        <v>1918</v>
      </c>
      <c r="B96" s="81" t="s">
        <v>1919</v>
      </c>
      <c r="C96" s="60" t="s">
        <v>1920</v>
      </c>
      <c r="D96" s="59" t="s">
        <v>1921</v>
      </c>
      <c r="E96" s="46" t="str">
        <f>IFERROR(__xludf.DUMMYFUNCTION("VLOOKUP(C96,IMPORTRANGE(""https://docs.google.com/spreadsheets/d/1SQRLoxD_LXfQNfB7NOxI5jlxbkDlcNPwla_2gSTySP8/edit#gid=274515254"",""Dashboard!$C$2:$D$156""),2,0)"),"チームを追加")</f>
        <v>チームを追加</v>
      </c>
      <c r="F96" s="82"/>
    </row>
    <row r="97">
      <c r="A97" s="80" t="s">
        <v>1922</v>
      </c>
      <c r="B97" s="87" t="s">
        <v>1923</v>
      </c>
      <c r="C97" s="60" t="s">
        <v>1670</v>
      </c>
      <c r="D97" s="15" t="s">
        <v>1671</v>
      </c>
      <c r="E97" s="46" t="str">
        <f>IFERROR(__xludf.DUMMYFUNCTION("VLOOKUP(C97,IMPORTRANGE(""https://docs.google.com/spreadsheets/d/1SQRLoxD_LXfQNfB7NOxI5jlxbkDlcNPwla_2gSTySP8/edit#gid=274515254"",""Dashboard!$C$2:$D$156""),2,0)"),"チーム検索")</f>
        <v>チーム検索</v>
      </c>
      <c r="F97" s="82"/>
    </row>
    <row r="98">
      <c r="A98" s="80" t="s">
        <v>517</v>
      </c>
      <c r="C98" s="15" t="s">
        <v>519</v>
      </c>
      <c r="D98" s="15" t="s">
        <v>520</v>
      </c>
      <c r="E98" s="46" t="str">
        <f>IFERROR(__xludf.DUMMYFUNCTION("VLOOKUP(C98,IMPORTRANGE(""https://docs.google.com/spreadsheets/d/1SQRLoxD_LXfQNfB7NOxI5jlxbkDlcNPwla_2gSTySP8/edit#gid=274515254"",""Dashboard!$C$2:$D$156""),2,0)"),"チーム")</f>
        <v>チーム</v>
      </c>
      <c r="F98" s="82"/>
    </row>
    <row r="99">
      <c r="A99" s="80" t="s">
        <v>1924</v>
      </c>
      <c r="C99" s="15" t="s">
        <v>1925</v>
      </c>
      <c r="D99" s="15" t="s">
        <v>1926</v>
      </c>
      <c r="E99" s="46" t="str">
        <f>IFERROR(__xludf.DUMMYFUNCTION("VLOOKUP(C99,IMPORTRANGE(""https://docs.google.com/spreadsheets/d/1SQRLoxD_LXfQNfB7NOxI5jlxbkDlcNPwla_2gSTySP8/edit#gid=274515254"",""Dashboard!$C$2:$D$156""),2,0)"),"読み出し")</f>
        <v>読み出し</v>
      </c>
      <c r="F99" s="82"/>
    </row>
    <row r="100">
      <c r="A100" s="80" t="s">
        <v>1927</v>
      </c>
      <c r="C100" s="15" t="s">
        <v>1928</v>
      </c>
      <c r="D100" s="15" t="s">
        <v>1929</v>
      </c>
      <c r="E100" s="46" t="str">
        <f>IFERROR(__xludf.DUMMYFUNCTION("VLOOKUP(C100,IMPORTRANGE(""https://docs.google.com/spreadsheets/d/1SQRLoxD_LXfQNfB7NOxI5jlxbkDlcNPwla_2gSTySP8/edit#gid=274515254"",""Dashboard!$C$2:$D$156""),2,0)"),"書き込み")</f>
        <v>書き込み</v>
      </c>
      <c r="F100" s="82"/>
    </row>
    <row r="101">
      <c r="A101" s="80" t="s">
        <v>1930</v>
      </c>
      <c r="C101" s="15" t="s">
        <v>1931</v>
      </c>
      <c r="D101" s="15" t="s">
        <v>1932</v>
      </c>
      <c r="E101" s="46" t="str">
        <f>IFERROR(__xludf.DUMMYFUNCTION("VLOOKUP(C101,IMPORTRANGE(""https://docs.google.com/spreadsheets/d/1SQRLoxD_LXfQNfB7NOxI5jlxbkDlcNPwla_2gSTySP8/edit#gid=274515254"",""Dashboard!$C$2:$D$156""),2,0)"),"ユーザを表示")</f>
        <v>ユーザを表示</v>
      </c>
      <c r="F101" s="82"/>
    </row>
    <row r="102">
      <c r="A102" s="80" t="s">
        <v>152</v>
      </c>
      <c r="B102" s="89" t="s">
        <v>1933</v>
      </c>
      <c r="C102" s="15" t="s">
        <v>1672</v>
      </c>
      <c r="D102" s="15" t="s">
        <v>155</v>
      </c>
      <c r="E102" s="93" t="s">
        <v>1934</v>
      </c>
      <c r="F102" s="82"/>
    </row>
    <row r="103">
      <c r="A103" s="80" t="s">
        <v>1935</v>
      </c>
      <c r="B103" s="89" t="s">
        <v>1936</v>
      </c>
      <c r="C103" s="94" t="s">
        <v>1674</v>
      </c>
      <c r="D103" s="94" t="s">
        <v>1937</v>
      </c>
      <c r="E103" s="93" t="s">
        <v>1938</v>
      </c>
      <c r="F103" s="82"/>
      <c r="G103" s="76"/>
    </row>
    <row r="104">
      <c r="A104" s="80" t="s">
        <v>1939</v>
      </c>
      <c r="B104" s="85" t="s">
        <v>1940</v>
      </c>
      <c r="C104" s="15" t="s">
        <v>1941</v>
      </c>
      <c r="D104" s="15" t="s">
        <v>1942</v>
      </c>
      <c r="E104" s="46" t="str">
        <f>IFERROR(__xludf.DUMMYFUNCTION("VLOOKUP(C104,IMPORTRANGE(""https://docs.google.com/spreadsheets/d/1SQRLoxD_LXfQNfB7NOxI5jlxbkDlcNPwla_2gSTySP8/edit#gid=274515254"",""Dashboard!$C$2:$D$156""),2,0)"),"ブックマークを追加")</f>
        <v>ブックマークを追加</v>
      </c>
      <c r="F104" s="82"/>
    </row>
    <row r="105">
      <c r="A105" s="80" t="s">
        <v>1943</v>
      </c>
      <c r="B105" s="85" t="s">
        <v>1944</v>
      </c>
      <c r="C105" s="15" t="s">
        <v>1945</v>
      </c>
      <c r="D105" s="15" t="s">
        <v>1946</v>
      </c>
      <c r="E105" s="46" t="str">
        <f>IFERROR(__xludf.DUMMYFUNCTION("VLOOKUP(C105,IMPORTRANGE(""https://docs.google.com/spreadsheets/d/1SQRLoxD_LXfQNfB7NOxI5jlxbkDlcNPwla_2gSTySP8/edit#gid=274515254"",""Dashboard!$C$2:$D$156""),2,0)"),"アーカイブを選択")</f>
        <v>アーカイブを選択</v>
      </c>
      <c r="F105" s="82"/>
    </row>
    <row r="106">
      <c r="A106" s="80" t="s">
        <v>1947</v>
      </c>
      <c r="B106" s="85" t="s">
        <v>1948</v>
      </c>
      <c r="C106" s="15" t="s">
        <v>1949</v>
      </c>
      <c r="D106" s="15" t="s">
        <v>1950</v>
      </c>
      <c r="E106" s="46" t="str">
        <f>IFERROR(__xludf.DUMMYFUNCTION("VLOOKUP(C106,IMPORTRANGE(""https://docs.google.com/spreadsheets/d/1SQRLoxD_LXfQNfB7NOxI5jlxbkDlcNPwla_2gSTySP8/edit#gid=274515254"",""Dashboard!$C$2:$D$156""),2,0)"),"選択した項目を削除")</f>
        <v>選択した項目を削除</v>
      </c>
      <c r="F106" s="82"/>
    </row>
    <row r="107">
      <c r="A107" s="80" t="s">
        <v>1951</v>
      </c>
      <c r="B107" s="87" t="s">
        <v>1952</v>
      </c>
      <c r="C107" s="59" t="s">
        <v>259</v>
      </c>
      <c r="D107" s="59" t="s">
        <v>260</v>
      </c>
      <c r="E107" s="46" t="str">
        <f>IFERROR(__xludf.DUMMYFUNCTION("VLOOKUP(C107,IMPORTRANGE(""https://docs.google.com/spreadsheets/d/1SQRLoxD_LXfQNfB7NOxI5jlxbkDlcNPwla_2gSTySP8/edit#gid=274515254"",""Dashboard!$C$2:$D$156""),2,0)"),"削除")</f>
        <v>削除</v>
      </c>
      <c r="F107" s="82"/>
    </row>
    <row r="108">
      <c r="A108" s="80" t="s">
        <v>1953</v>
      </c>
      <c r="B108" s="81" t="s">
        <v>1954</v>
      </c>
      <c r="C108" s="15" t="s">
        <v>1955</v>
      </c>
      <c r="D108" s="15" t="s">
        <v>1956</v>
      </c>
      <c r="E108" s="46" t="str">
        <f>IFERROR(__xludf.DUMMYFUNCTION("VLOOKUP(C108,IMPORTRANGE(""https://docs.google.com/spreadsheets/d/1SQRLoxD_LXfQNfB7NOxI5jlxbkDlcNPwla_2gSTySP8/edit#gid=274515254"",""Dashboard!$C$2:$D$156""),2,0)"),"複数のチケットを削除しますか？")</f>
        <v>複数のチケットを削除しますか？</v>
      </c>
      <c r="F108" s="82"/>
    </row>
    <row r="109">
      <c r="A109" s="80" t="s">
        <v>1957</v>
      </c>
      <c r="C109" s="15" t="s">
        <v>1958</v>
      </c>
      <c r="D109" s="15" t="s">
        <v>1959</v>
      </c>
      <c r="E109" s="46" t="str">
        <f>IFERROR(__xludf.DUMMYFUNCTION("VLOOKUP(C109,IMPORTRANGE(""https://docs.google.com/spreadsheets/d/1SQRLoxD_LXfQNfB7NOxI5jlxbkDlcNPwla_2gSTySP8/edit#gid=274515254"",""Dashboard!$C$2:$D$156""),2,0)"),"このアクションは実行できません")</f>
        <v>このアクションは実行できません</v>
      </c>
      <c r="F109" s="82"/>
    </row>
    <row r="110">
      <c r="A110" s="80" t="s">
        <v>492</v>
      </c>
      <c r="B110" s="81" t="s">
        <v>1960</v>
      </c>
      <c r="C110" s="60" t="s">
        <v>493</v>
      </c>
      <c r="D110" s="59" t="s">
        <v>494</v>
      </c>
      <c r="E110" s="46" t="str">
        <f>IFERROR(__xludf.DUMMYFUNCTION("VLOOKUP(C110,IMPORTRANGE(""https://docs.google.com/spreadsheets/d/1SQRLoxD_LXfQNfB7NOxI5jlxbkDlcNPwla_2gSTySP8/edit#gid=274515254"",""Dashboard!$C$2:$D$156""),2,0)"),"複製")</f>
        <v>複製</v>
      </c>
      <c r="F110" s="82"/>
    </row>
    <row r="111">
      <c r="A111" s="80" t="s">
        <v>1961</v>
      </c>
      <c r="B111" s="81" t="s">
        <v>1962</v>
      </c>
      <c r="C111" s="15" t="s">
        <v>1963</v>
      </c>
      <c r="D111" s="59" t="s">
        <v>1964</v>
      </c>
      <c r="E111" s="46" t="str">
        <f>IFERROR(__xludf.DUMMYFUNCTION("VLOOKUP(C111,IMPORTRANGE(""https://docs.google.com/spreadsheets/d/1SQRLoxD_LXfQNfB7NOxI5jlxbkDlcNPwla_2gSTySP8/edit#gid=274515254"",""Dashboard!$C$2:$D$156""),2,0)"),"新規チケット名")</f>
        <v>新規チケット名</v>
      </c>
      <c r="F111" s="82"/>
    </row>
    <row r="112">
      <c r="A112" s="80" t="s">
        <v>1965</v>
      </c>
      <c r="C112" s="15" t="s">
        <v>1966</v>
      </c>
      <c r="D112" s="15" t="s">
        <v>1967</v>
      </c>
      <c r="E112" s="46" t="str">
        <f>IFERROR(__xludf.DUMMYFUNCTION("VLOOKUP(C112,IMPORTRANGE(""https://docs.google.com/spreadsheets/d/1SQRLoxD_LXfQNfB7NOxI5jlxbkDlcNPwla_2gSTySP8/edit#gid=274515254"",""Dashboard!$C$2:$D$156""),2,0)"),"何をコピーしますか？")</f>
        <v>何をコピーしますか？</v>
      </c>
      <c r="F112" s="82"/>
    </row>
    <row r="113">
      <c r="A113" s="80" t="s">
        <v>1883</v>
      </c>
      <c r="B113" s="81" t="s">
        <v>1968</v>
      </c>
      <c r="C113" s="15" t="s">
        <v>986</v>
      </c>
      <c r="D113" s="15" t="s">
        <v>928</v>
      </c>
      <c r="E113" s="46" t="str">
        <f>IFERROR(__xludf.DUMMYFUNCTION("VLOOKUP(C113,IMPORTRANGE(""https://docs.google.com/spreadsheets/d/1SQRLoxD_LXfQNfB7NOxI5jlxbkDlcNPwla_2gSTySP8/edit#gid=274515254"",""Dashboard!$C$2:$D$156""),2,0)"),"すべて")</f>
        <v>すべて</v>
      </c>
      <c r="F113" s="82"/>
    </row>
    <row r="114">
      <c r="A114" s="80" t="s">
        <v>1969</v>
      </c>
      <c r="B114" s="87" t="s">
        <v>1970</v>
      </c>
      <c r="C114" s="59" t="s">
        <v>1971</v>
      </c>
      <c r="D114" s="59" t="s">
        <v>1972</v>
      </c>
      <c r="E114" s="46" t="str">
        <f>IFERROR(__xludf.DUMMYFUNCTION("VLOOKUP(C114,IMPORTRANGE(""https://docs.google.com/spreadsheets/d/1SQRLoxD_LXfQNfB7NOxI5jlxbkDlcNPwla_2gSTySP8/edit#gid=274515254"",""Dashboard!$C$2:$D$156""),2,0)"),"繰り返し")</f>
        <v>繰り返し</v>
      </c>
      <c r="F114" s="82"/>
    </row>
    <row r="115">
      <c r="A115" s="80" t="s">
        <v>335</v>
      </c>
      <c r="B115" s="81" t="s">
        <v>1973</v>
      </c>
      <c r="C115" s="60" t="s">
        <v>442</v>
      </c>
      <c r="D115" s="59" t="s">
        <v>337</v>
      </c>
      <c r="E115" s="46" t="str">
        <f>IFERROR(__xludf.DUMMYFUNCTION("VLOOKUP(C115,IMPORTRANGE(""https://docs.google.com/spreadsheets/d/1SQRLoxD_LXfQNfB7NOxI5jlxbkDlcNPwla_2gSTySP8/edit#gid=274515254"",""Dashboard!$C$2:$D$156""),2,0)"),"担当者")</f>
        <v>担当者</v>
      </c>
      <c r="F115" s="82"/>
    </row>
    <row r="116">
      <c r="A116" s="80" t="s">
        <v>1891</v>
      </c>
      <c r="B116" s="81" t="s">
        <v>1974</v>
      </c>
      <c r="C116" s="60" t="s">
        <v>1892</v>
      </c>
      <c r="D116" s="15" t="s">
        <v>1893</v>
      </c>
      <c r="E116" s="46" t="str">
        <f>IFERROR(__xludf.DUMMYFUNCTION("VLOOKUP(C116,IMPORTRANGE(""https://docs.google.com/spreadsheets/d/1SQRLoxD_LXfQNfB7NOxI5jlxbkDlcNPwla_2gSTySP8/edit#gid=274515254"",""Dashboard!$C$2:$D$156""),2,0)"),"管理者")</f>
        <v>管理者</v>
      </c>
      <c r="F116" s="82"/>
    </row>
    <row r="117">
      <c r="A117" s="80" t="s">
        <v>1975</v>
      </c>
      <c r="C117" s="59" t="s">
        <v>1976</v>
      </c>
      <c r="D117" s="15" t="s">
        <v>1977</v>
      </c>
      <c r="E117" s="46" t="str">
        <f>IFERROR(__xludf.DUMMYFUNCTION("VLOOKUP(C117,IMPORTRANGE(""https://docs.google.com/spreadsheets/d/1SQRLoxD_LXfQNfB7NOxI5jlxbkDlcNPwla_2gSTySP8/edit#gid=274515254"",""Dashboard!$C$2:$D$156""),2,0)"),"フォロワーを割り当て")</f>
        <v>フォロワーを割り当て</v>
      </c>
      <c r="F117" s="82"/>
    </row>
    <row r="118">
      <c r="A118" s="80" t="s">
        <v>1978</v>
      </c>
      <c r="B118" s="81" t="s">
        <v>1979</v>
      </c>
      <c r="C118" s="15" t="s">
        <v>1980</v>
      </c>
      <c r="D118" s="15" t="s">
        <v>1981</v>
      </c>
      <c r="E118" s="46" t="str">
        <f>IFERROR(__xludf.DUMMYFUNCTION("VLOOKUP(C118,IMPORTRANGE(""https://docs.google.com/spreadsheets/d/1SQRLoxD_LXfQNfB7NOxI5jlxbkDlcNPwla_2gSTySP8/edit#gid=274515254"",""Dashboard!$C$2:$D$156""),2,0)"),"チケット複製")</f>
        <v>チケット複製</v>
      </c>
      <c r="F118" s="82"/>
    </row>
    <row r="119">
      <c r="A119" s="80" t="s">
        <v>268</v>
      </c>
      <c r="C119" s="92" t="s">
        <v>269</v>
      </c>
      <c r="D119" s="94" t="s">
        <v>270</v>
      </c>
      <c r="E119" s="46" t="str">
        <f>IFERROR(__xludf.DUMMYFUNCTION("VLOOKUP(C119,IMPORTRANGE(""https://docs.google.com/spreadsheets/d/1SQRLoxD_LXfQNfB7NOxI5jlxbkDlcNPwla_2gSTySP8/edit#gid=274515254"",""Dashboard!$C$2:$D$156""),2,0)"),"キャンセル")</f>
        <v>キャンセル</v>
      </c>
      <c r="F119" s="82"/>
    </row>
    <row r="120">
      <c r="A120" s="80" t="s">
        <v>1982</v>
      </c>
      <c r="B120" s="85" t="s">
        <v>1983</v>
      </c>
      <c r="C120" s="15" t="s">
        <v>1984</v>
      </c>
      <c r="D120" s="15" t="s">
        <v>1985</v>
      </c>
      <c r="E120" s="46" t="str">
        <f>IFERROR(__xludf.DUMMYFUNCTION("VLOOKUP(C120,IMPORTRANGE(""https://docs.google.com/spreadsheets/d/1SQRLoxD_LXfQNfB7NOxI5jlxbkDlcNPwla_2gSTySP8/edit#gid=274515254"",""Dashboard!$C$2:$D$156""),2,0)"),"URLをコピー")</f>
        <v>URLをコピー</v>
      </c>
      <c r="F120" s="82"/>
    </row>
    <row r="121">
      <c r="A121" s="80" t="s">
        <v>1986</v>
      </c>
      <c r="B121" s="87" t="s">
        <v>1987</v>
      </c>
      <c r="C121" s="94" t="s">
        <v>1988</v>
      </c>
      <c r="D121" s="94" t="s">
        <v>1989</v>
      </c>
      <c r="E121" s="93" t="s">
        <v>1990</v>
      </c>
      <c r="F121" s="82"/>
    </row>
    <row r="122">
      <c r="A122" s="80" t="s">
        <v>1991</v>
      </c>
      <c r="B122" s="85" t="s">
        <v>1992</v>
      </c>
      <c r="C122" s="15" t="s">
        <v>1993</v>
      </c>
      <c r="D122" s="15" t="s">
        <v>1994</v>
      </c>
      <c r="E122" s="46" t="str">
        <f>IFERROR(__xludf.DUMMYFUNCTION("VLOOKUP(C122,IMPORTRANGE(""https://docs.google.com/spreadsheets/d/1SQRLoxD_LXfQNfB7NOxI5jlxbkDlcNPwla_2gSTySP8/edit#gid=274515254"",""Dashboard!$C$2:$D$156""),2,0)"),"アーカイブ")</f>
        <v>アーカイブ</v>
      </c>
      <c r="F122" s="82"/>
    </row>
    <row r="123">
      <c r="A123" s="80" t="s">
        <v>257</v>
      </c>
      <c r="B123" s="85" t="s">
        <v>1995</v>
      </c>
      <c r="C123" s="15" t="s">
        <v>259</v>
      </c>
      <c r="D123" s="15" t="s">
        <v>260</v>
      </c>
      <c r="E123" s="46" t="str">
        <f>IFERROR(__xludf.DUMMYFUNCTION("VLOOKUP(C123,IMPORTRANGE(""https://docs.google.com/spreadsheets/d/1SQRLoxD_LXfQNfB7NOxI5jlxbkDlcNPwla_2gSTySP8/edit#gid=274515254"",""Dashboard!$C$2:$D$156""),2,0)"),"削除")</f>
        <v>削除</v>
      </c>
      <c r="F123" s="82"/>
    </row>
    <row r="124">
      <c r="A124" s="80" t="s">
        <v>1996</v>
      </c>
      <c r="B124" s="81" t="s">
        <v>1997</v>
      </c>
      <c r="C124" s="15" t="s">
        <v>1998</v>
      </c>
      <c r="D124" s="15" t="s">
        <v>1999</v>
      </c>
      <c r="E124" s="46" t="str">
        <f>IFERROR(__xludf.DUMMYFUNCTION("VLOOKUP(C124,IMPORTRANGE(""https://docs.google.com/spreadsheets/d/1SQRLoxD_LXfQNfB7NOxI5jlxbkDlcNPwla_2gSTySP8/edit#gid=274515254"",""Dashboard!$C$2:$D$156""),2,0)"),"確認")</f>
        <v>確認</v>
      </c>
      <c r="F124" s="82"/>
    </row>
    <row r="125">
      <c r="A125" s="80" t="s">
        <v>2000</v>
      </c>
      <c r="C125" s="15" t="s">
        <v>2001</v>
      </c>
      <c r="D125" s="15" t="s">
        <v>2002</v>
      </c>
      <c r="E125" s="46" t="str">
        <f>IFERROR(__xludf.DUMMYFUNCTION("VLOOKUP(C125,IMPORTRANGE(""https://docs.google.com/spreadsheets/d/1SQRLoxD_LXfQNfB7NOxI5jlxbkDlcNPwla_2gSTySP8/edit#gid=274515254"",""Dashboard!$C$2:$D$156""),2,0)"),"このチケットの削除を実行しますか？")</f>
        <v>このチケットの削除を実行しますか？</v>
      </c>
      <c r="F125" s="82"/>
    </row>
    <row r="126">
      <c r="A126" s="80" t="s">
        <v>257</v>
      </c>
      <c r="C126" s="15" t="s">
        <v>259</v>
      </c>
      <c r="D126" s="15" t="s">
        <v>260</v>
      </c>
      <c r="E126" s="46" t="str">
        <f>IFERROR(__xludf.DUMMYFUNCTION("VLOOKUP(C126,IMPORTRANGE(""https://docs.google.com/spreadsheets/d/1SQRLoxD_LXfQNfB7NOxI5jlxbkDlcNPwla_2gSTySP8/edit#gid=274515254"",""Dashboard!$C$2:$D$156""),2,0)"),"削除")</f>
        <v>削除</v>
      </c>
      <c r="F126" s="82"/>
    </row>
    <row r="127">
      <c r="A127" s="80" t="s">
        <v>2003</v>
      </c>
      <c r="B127" s="81" t="s">
        <v>2004</v>
      </c>
      <c r="C127" s="60" t="s">
        <v>2005</v>
      </c>
      <c r="D127" s="60" t="s">
        <v>2006</v>
      </c>
      <c r="E127" s="46" t="str">
        <f>IFERROR(__xludf.DUMMYFUNCTION("VLOOKUP(C127,IMPORTRANGE(""https://docs.google.com/spreadsheets/d/1SQRLoxD_LXfQNfB7NOxI5jlxbkDlcNPwla_2gSTySP8/edit#gid=274515254"",""Dashboard!$C$2:$D$156""),2,0)"),"チケットをピン留め")</f>
        <v>チケットをピン留め</v>
      </c>
      <c r="F127" s="82"/>
    </row>
    <row r="128">
      <c r="A128" s="80" t="s">
        <v>2007</v>
      </c>
      <c r="B128" s="95" t="s">
        <v>2008</v>
      </c>
      <c r="C128" s="92" t="s">
        <v>2009</v>
      </c>
      <c r="D128" s="92" t="s">
        <v>2010</v>
      </c>
      <c r="E128" s="93" t="s">
        <v>2011</v>
      </c>
      <c r="F128" s="82"/>
    </row>
    <row r="129">
      <c r="A129" s="80" t="s">
        <v>2012</v>
      </c>
      <c r="B129" s="91" t="s">
        <v>2013</v>
      </c>
      <c r="C129" s="60" t="s">
        <v>2014</v>
      </c>
      <c r="D129" s="60" t="s">
        <v>2015</v>
      </c>
      <c r="E129" s="46" t="str">
        <f>IFERROR(__xludf.DUMMYFUNCTION("VLOOKUP(C129,IMPORTRANGE(""https://docs.google.com/spreadsheets/d/1SQRLoxD_LXfQNfB7NOxI5jlxbkDlcNPwla_2gSTySP8/edit#gid=274515254"",""Dashboard!$C$2:$D$156""),2,0)"),"添付ファイルをダウンロード")</f>
        <v>添付ファイルをダウンロード</v>
      </c>
      <c r="F129" s="82"/>
    </row>
    <row r="130">
      <c r="A130" s="80" t="s">
        <v>2016</v>
      </c>
      <c r="B130" s="85" t="s">
        <v>2017</v>
      </c>
      <c r="C130" s="15" t="s">
        <v>2018</v>
      </c>
      <c r="D130" s="15" t="s">
        <v>2019</v>
      </c>
      <c r="E130" s="46" t="str">
        <f>IFERROR(__xludf.DUMMYFUNCTION("VLOOKUP(C130,IMPORTRANGE(""https://docs.google.com/spreadsheets/d/1SQRLoxD_LXfQNfB7NOxI5jlxbkDlcNPwla_2gSTySP8/edit#gid=274515254"",""Dashboard!$C$2:$D$156""),2,0)"),"チケットに添付ファイルはありません！")</f>
        <v>チケットに添付ファイルはありません！</v>
      </c>
      <c r="F130" s="82"/>
    </row>
    <row r="131">
      <c r="A131" s="80" t="s">
        <v>984</v>
      </c>
      <c r="B131" s="85" t="s">
        <v>2020</v>
      </c>
      <c r="C131" s="15" t="s">
        <v>988</v>
      </c>
      <c r="D131" s="15" t="s">
        <v>989</v>
      </c>
      <c r="E131" s="46" t="str">
        <f>IFERROR(__xludf.DUMMYFUNCTION("VLOOKUP(C131,IMPORTRANGE(""https://docs.google.com/spreadsheets/d/1SQRLoxD_LXfQNfB7NOxI5jlxbkDlcNPwla_2gSTySP8/edit#gid=274515254"",""Dashboard!$C$2:$D$156""),2,0)"),"ファイルダウンロード中")</f>
        <v>ファイルダウンロード中</v>
      </c>
      <c r="F131" s="82"/>
    </row>
    <row r="132">
      <c r="A132" s="80" t="s">
        <v>2021</v>
      </c>
      <c r="B132" s="85" t="s">
        <v>2022</v>
      </c>
      <c r="C132" s="15" t="s">
        <v>2023</v>
      </c>
      <c r="D132" s="15" t="s">
        <v>2024</v>
      </c>
      <c r="E132" s="46" t="str">
        <f>IFERROR(__xludf.DUMMYFUNCTION("VLOOKUP(C132,IMPORTRANGE(""https://docs.google.com/spreadsheets/d/1SQRLoxD_LXfQNfB7NOxI5jlxbkDlcNPwla_2gSTySP8/edit#gid=274515254"",""Dashboard!$C$2:$D$156""),2,0)"),"完了！")</f>
        <v>完了！</v>
      </c>
      <c r="F132" s="82"/>
    </row>
    <row r="133">
      <c r="A133" s="80" t="s">
        <v>2025</v>
      </c>
      <c r="B133" s="85" t="s">
        <v>2026</v>
      </c>
      <c r="C133" s="15" t="s">
        <v>1350</v>
      </c>
      <c r="D133" s="15" t="s">
        <v>2027</v>
      </c>
      <c r="E133" s="46" t="str">
        <f>IFERROR(__xludf.DUMMYFUNCTION("VLOOKUP(C133,IMPORTRANGE(""https://docs.google.com/spreadsheets/d/1SQRLoxD_LXfQNfB7NOxI5jlxbkDlcNPwla_2gSTySP8/edit#gid=274515254"",""Dashboard!$C$2:$D$156""),2,0)"),"承認")</f>
        <v>承認</v>
      </c>
      <c r="F133" s="82"/>
    </row>
    <row r="134">
      <c r="A134" s="80" t="s">
        <v>2028</v>
      </c>
      <c r="B134" s="85" t="s">
        <v>2029</v>
      </c>
      <c r="C134" s="15" t="s">
        <v>1352</v>
      </c>
      <c r="D134" s="15" t="s">
        <v>2030</v>
      </c>
      <c r="E134" s="46" t="str">
        <f>IFERROR(__xludf.DUMMYFUNCTION("VLOOKUP(C134,IMPORTRANGE(""https://docs.google.com/spreadsheets/d/1SQRLoxD_LXfQNfB7NOxI5jlxbkDlcNPwla_2gSTySP8/edit#gid=274515254"",""Dashboard!$C$2:$D$156""),2,0)"),"中止")</f>
        <v>中止</v>
      </c>
      <c r="F134" s="82"/>
    </row>
    <row r="135">
      <c r="A135" s="80" t="s">
        <v>242</v>
      </c>
      <c r="B135" s="85" t="s">
        <v>2031</v>
      </c>
      <c r="C135" s="15" t="s">
        <v>243</v>
      </c>
      <c r="D135" s="15" t="s">
        <v>244</v>
      </c>
      <c r="E135" s="46" t="str">
        <f>IFERROR(__xludf.DUMMYFUNCTION("VLOOKUP(C135,IMPORTRANGE(""https://docs.google.com/spreadsheets/d/1SQRLoxD_LXfQNfB7NOxI5jlxbkDlcNPwla_2gSTySP8/edit#gid=274515254"",""Dashboard!$C$2:$D$156""),2,0)"),"テンプレートとして保存")</f>
        <v>テンプレートとして保存</v>
      </c>
      <c r="F135" s="82"/>
    </row>
    <row r="136">
      <c r="A136" s="80" t="s">
        <v>1877</v>
      </c>
      <c r="B136" s="81" t="s">
        <v>2032</v>
      </c>
      <c r="C136" s="15" t="s">
        <v>1878</v>
      </c>
      <c r="D136" s="15" t="s">
        <v>1879</v>
      </c>
      <c r="E136" s="46" t="str">
        <f>IFERROR(__xludf.DUMMYFUNCTION("VLOOKUP(C136,IMPORTRANGE(""https://docs.google.com/spreadsheets/d/1SQRLoxD_LXfQNfB7NOxI5jlxbkDlcNPwla_2gSTySP8/edit#gid=274515254"",""Dashboard!$C$2:$D$156""),2,0)"),"テンプレートの選択または新規テンプレートの作成")</f>
        <v>テンプレートの選択または新規テンプレートの作成</v>
      </c>
      <c r="F136" s="82"/>
    </row>
    <row r="137">
      <c r="A137" s="80" t="s">
        <v>86</v>
      </c>
      <c r="C137" s="15" t="s">
        <v>87</v>
      </c>
      <c r="D137" s="15" t="s">
        <v>88</v>
      </c>
      <c r="E137" s="46" t="str">
        <f>IFERROR(__xludf.DUMMYFUNCTION("VLOOKUP(C137,IMPORTRANGE(""https://docs.google.com/spreadsheets/d/1SQRLoxD_LXfQNfB7NOxI5jlxbkDlcNPwla_2gSTySP8/edit#gid=274515254"",""Dashboard!$C$2:$D$156""),2,0)"),"アセット")</f>
        <v>アセット</v>
      </c>
      <c r="F137" s="82"/>
    </row>
    <row r="138">
      <c r="A138" s="80" t="s">
        <v>1872</v>
      </c>
      <c r="C138" s="59" t="s">
        <v>219</v>
      </c>
      <c r="D138" s="15" t="s">
        <v>220</v>
      </c>
      <c r="E138" s="46" t="str">
        <f>IFERROR(__xludf.DUMMYFUNCTION("VLOOKUP(C138,IMPORTRANGE(""https://docs.google.com/spreadsheets/d/1SQRLoxD_LXfQNfB7NOxI5jlxbkDlcNPwla_2gSTySP8/edit#gid=274515254"",""Dashboard!$C$2:$D$156""),2,0)"),"検索")</f>
        <v>検索</v>
      </c>
      <c r="F138" s="82"/>
    </row>
    <row r="139">
      <c r="A139" s="80" t="s">
        <v>2033</v>
      </c>
      <c r="B139" s="81" t="s">
        <v>2034</v>
      </c>
      <c r="C139" s="59" t="s">
        <v>2035</v>
      </c>
      <c r="D139" s="15" t="s">
        <v>2036</v>
      </c>
      <c r="E139" s="46" t="str">
        <f>IFERROR(__xludf.DUMMYFUNCTION("VLOOKUP(C139,IMPORTRANGE(""https://docs.google.com/spreadsheets/d/1SQRLoxD_LXfQNfB7NOxI5jlxbkDlcNPwla_2gSTySP8/edit#gid=274515254"",""Dashboard!$C$2:$D$156""),2,0)"),"共有")</f>
        <v>共有</v>
      </c>
      <c r="F139" s="82"/>
    </row>
    <row r="140">
      <c r="A140" s="80" t="s">
        <v>2037</v>
      </c>
      <c r="C140" s="15" t="s">
        <v>2038</v>
      </c>
      <c r="D140" s="15" t="s">
        <v>2039</v>
      </c>
      <c r="E140" s="46" t="str">
        <f>IFERROR(__xludf.DUMMYFUNCTION("VLOOKUP(C140,IMPORTRANGE(""https://docs.google.com/spreadsheets/d/1SQRLoxD_LXfQNfB7NOxI5jlxbkDlcNPwla_2gSTySP8/edit#gid=274515254"",""Dashboard!$C$2:$D$156""),2,0)"),"非公開")</f>
        <v>非公開</v>
      </c>
      <c r="F140" s="82"/>
    </row>
    <row r="141">
      <c r="A141" s="80" t="s">
        <v>2040</v>
      </c>
      <c r="C141" s="15" t="s">
        <v>2041</v>
      </c>
      <c r="D141" s="15" t="s">
        <v>2042</v>
      </c>
      <c r="E141" s="46" t="str">
        <f>IFERROR(__xludf.DUMMYFUNCTION("VLOOKUP(C141,IMPORTRANGE(""https://docs.google.com/spreadsheets/d/1SQRLoxD_LXfQNfB7NOxI5jlxbkDlcNPwla_2gSTySP8/edit#gid=274515254"",""Dashboard!$C$2:$D$156""),2,0)"),"すべてのメンバー")</f>
        <v>すべてのメンバー</v>
      </c>
      <c r="F141" s="82"/>
    </row>
    <row r="142">
      <c r="A142" s="80" t="s">
        <v>2043</v>
      </c>
      <c r="C142" s="15" t="s">
        <v>2044</v>
      </c>
      <c r="D142" s="15" t="s">
        <v>2045</v>
      </c>
      <c r="E142" s="46" t="str">
        <f>IFERROR(__xludf.DUMMYFUNCTION("VLOOKUP(C142,IMPORTRANGE(""https://docs.google.com/spreadsheets/d/1SQRLoxD_LXfQNfB7NOxI5jlxbkDlcNPwla_2gSTySP8/edit#gid=274515254"",""Dashboard!$C$2:$D$156""),2,0)"),"人を選択")</f>
        <v>人を選択</v>
      </c>
      <c r="F142" s="82"/>
    </row>
    <row r="143">
      <c r="A143" s="80" t="s">
        <v>1880</v>
      </c>
      <c r="B143" s="81" t="s">
        <v>2046</v>
      </c>
      <c r="C143" s="60" t="s">
        <v>1881</v>
      </c>
      <c r="D143" s="15" t="s">
        <v>1882</v>
      </c>
      <c r="E143" s="46" t="str">
        <f>IFERROR(__xludf.DUMMYFUNCTION("VLOOKUP(C143,IMPORTRANGE(""https://docs.google.com/spreadsheets/d/1SQRLoxD_LXfQNfB7NOxI5jlxbkDlcNPwla_2gSTySP8/edit#gid=274515254"",""Dashboard!$C$2:$D$156""),2,0)"),"テンプレートに含める")</f>
        <v>テンプレートに含める</v>
      </c>
      <c r="F143" s="82"/>
    </row>
    <row r="144">
      <c r="A144" s="80" t="s">
        <v>1883</v>
      </c>
      <c r="C144" s="15" t="s">
        <v>986</v>
      </c>
      <c r="D144" s="15" t="s">
        <v>928</v>
      </c>
      <c r="E144" s="46" t="str">
        <f>IFERROR(__xludf.DUMMYFUNCTION("VLOOKUP(C144,IMPORTRANGE(""https://docs.google.com/spreadsheets/d/1SQRLoxD_LXfQNfB7NOxI5jlxbkDlcNPwla_2gSTySP8/edit#gid=274515254"",""Dashboard!$C$2:$D$156""),2,0)"),"すべて")</f>
        <v>すべて</v>
      </c>
      <c r="F144" s="82"/>
    </row>
    <row r="145">
      <c r="A145" s="80" t="s">
        <v>1884</v>
      </c>
      <c r="C145" s="15" t="s">
        <v>1885</v>
      </c>
      <c r="D145" s="15" t="s">
        <v>1886</v>
      </c>
      <c r="E145" s="46" t="str">
        <f>IFERROR(__xludf.DUMMYFUNCTION("VLOOKUP(C145,IMPORTRANGE(""https://docs.google.com/spreadsheets/d/1SQRLoxD_LXfQNfB7NOxI5jlxbkDlcNPwla_2gSTySP8/edit#gid=274515254"",""Dashboard!$C$2:$D$156""),2,0)"),"カスタム")</f>
        <v>カスタム</v>
      </c>
      <c r="F145" s="82"/>
    </row>
    <row r="146">
      <c r="A146" s="80" t="s">
        <v>335</v>
      </c>
      <c r="B146" s="81" t="s">
        <v>2047</v>
      </c>
      <c r="C146" s="15" t="s">
        <v>442</v>
      </c>
      <c r="D146" s="15" t="s">
        <v>337</v>
      </c>
      <c r="E146" s="46" t="str">
        <f>IFERROR(__xludf.DUMMYFUNCTION("VLOOKUP(C146,IMPORTRANGE(""https://docs.google.com/spreadsheets/d/1SQRLoxD_LXfQNfB7NOxI5jlxbkDlcNPwla_2gSTySP8/edit#gid=274515254"",""Dashboard!$C$2:$D$156""),2,0)"),"担当者")</f>
        <v>担当者</v>
      </c>
      <c r="F146" s="82"/>
    </row>
    <row r="147">
      <c r="A147" s="80" t="s">
        <v>2048</v>
      </c>
      <c r="C147" s="15" t="s">
        <v>1644</v>
      </c>
      <c r="D147" s="15" t="s">
        <v>1645</v>
      </c>
      <c r="E147" s="46" t="str">
        <f>IFERROR(__xludf.DUMMYFUNCTION("VLOOKUP(C147,IMPORTRANGE(""https://docs.google.com/spreadsheets/d/1SQRLoxD_LXfQNfB7NOxI5jlxbkDlcNPwla_2gSTySP8/edit#gid=274515254"",""Dashboard!$C$2:$D$156""),2,0)"),"添付")</f>
        <v>添付</v>
      </c>
      <c r="F147" s="82"/>
    </row>
    <row r="148">
      <c r="A148" s="80" t="s">
        <v>1889</v>
      </c>
      <c r="C148" s="15" t="s">
        <v>1339</v>
      </c>
      <c r="D148" s="15" t="s">
        <v>1340</v>
      </c>
      <c r="E148" s="46" t="str">
        <f>IFERROR(__xludf.DUMMYFUNCTION("VLOOKUP(C148,IMPORTRANGE(""https://docs.google.com/spreadsheets/d/1SQRLoxD_LXfQNfB7NOxI5jlxbkDlcNPwla_2gSTySP8/edit#gid=274515254"",""Dashboard!$C$2:$D$156""),2,0)"),"チェックリスト")</f>
        <v>チェックリスト</v>
      </c>
      <c r="F148" s="82"/>
    </row>
    <row r="149">
      <c r="A149" s="80" t="s">
        <v>341</v>
      </c>
      <c r="B149" s="81" t="s">
        <v>2049</v>
      </c>
      <c r="C149" s="15" t="s">
        <v>342</v>
      </c>
      <c r="D149" s="15" t="s">
        <v>1820</v>
      </c>
      <c r="E149" s="46" t="str">
        <f>IFERROR(__xludf.DUMMYFUNCTION("VLOOKUP(C149,IMPORTRANGE(""https://docs.google.com/spreadsheets/d/1SQRLoxD_LXfQNfB7NOxI5jlxbkDlcNPwla_2gSTySP8/edit#gid=274515254"",""Dashboard!$C$2:$D$156""),2,0)"),"優先順位")</f>
        <v>優先順位</v>
      </c>
      <c r="F149" s="82"/>
    </row>
    <row r="150">
      <c r="A150" s="80" t="s">
        <v>1891</v>
      </c>
      <c r="C150" s="15" t="s">
        <v>1892</v>
      </c>
      <c r="D150" s="15" t="s">
        <v>1893</v>
      </c>
      <c r="E150" s="46" t="str">
        <f>IFERROR(__xludf.DUMMYFUNCTION("VLOOKUP(C150,IMPORTRANGE(""https://docs.google.com/spreadsheets/d/1SQRLoxD_LXfQNfB7NOxI5jlxbkDlcNPwla_2gSTySP8/edit#gid=274515254"",""Dashboard!$C$2:$D$156""),2,0)"),"管理者")</f>
        <v>管理者</v>
      </c>
      <c r="F150" s="82"/>
    </row>
    <row r="151">
      <c r="A151" s="80" t="s">
        <v>345</v>
      </c>
      <c r="C151" s="15" t="s">
        <v>346</v>
      </c>
      <c r="D151" s="15" t="s">
        <v>347</v>
      </c>
      <c r="E151" s="46" t="str">
        <f>IFERROR(__xludf.DUMMYFUNCTION("VLOOKUP(C151,IMPORTRANGE(""https://docs.google.com/spreadsheets/d/1SQRLoxD_LXfQNfB7NOxI5jlxbkDlcNPwla_2gSTySP8/edit#gid=274515254"",""Dashboard!$C$2:$D$156""),2,0)"),"タグ")</f>
        <v>タグ</v>
      </c>
      <c r="F151" s="82"/>
    </row>
    <row r="152">
      <c r="A152" s="80" t="s">
        <v>507</v>
      </c>
      <c r="B152" s="81" t="s">
        <v>2050</v>
      </c>
      <c r="C152" s="15" t="s">
        <v>508</v>
      </c>
      <c r="D152" s="15" t="s">
        <v>509</v>
      </c>
      <c r="E152" s="46" t="str">
        <f>IFERROR(__xludf.DUMMYFUNCTION("VLOOKUP(C152,IMPORTRANGE(""https://docs.google.com/spreadsheets/d/1SQRLoxD_LXfQNfB7NOxI5jlxbkDlcNPwla_2gSTySP8/edit#gid=274515254"",""Dashboard!$C$2:$D$156""),2,0)"),"ユーザ")</f>
        <v>ユーザ</v>
      </c>
      <c r="F152" s="82"/>
    </row>
    <row r="153">
      <c r="A153" s="80" t="s">
        <v>517</v>
      </c>
      <c r="C153" s="15" t="s">
        <v>519</v>
      </c>
      <c r="D153" s="15" t="s">
        <v>520</v>
      </c>
      <c r="E153" s="46" t="str">
        <f>IFERROR(__xludf.DUMMYFUNCTION("VLOOKUP(C153,IMPORTRANGE(""https://docs.google.com/spreadsheets/d/1SQRLoxD_LXfQNfB7NOxI5jlxbkDlcNPwla_2gSTySP8/edit#gid=274515254"",""Dashboard!$C$2:$D$156""),2,0)"),"チーム")</f>
        <v>チーム</v>
      </c>
      <c r="F153" s="82"/>
    </row>
    <row r="154">
      <c r="A154" s="80" t="s">
        <v>687</v>
      </c>
      <c r="C154" s="96" t="s">
        <v>527</v>
      </c>
      <c r="D154" s="97" t="s">
        <v>528</v>
      </c>
      <c r="E154" s="98" t="str">
        <f>IFERROR(__xludf.DUMMYFUNCTION("VLOOKUP(C154,IMPORTRANGE(""https://docs.google.com/spreadsheets/d/1SQRLoxD_LXfQNfB7NOxI5jlxbkDlcNPwla_2gSTySP8/edit#gid=274515254"",""Dashboard!$C$2:$D$156""),2,0)"),"スケジュール")</f>
        <v>スケジュール</v>
      </c>
      <c r="F154" s="82"/>
    </row>
    <row r="155">
      <c r="A155" s="80" t="s">
        <v>338</v>
      </c>
      <c r="B155" s="81" t="s">
        <v>2051</v>
      </c>
      <c r="C155" s="59" t="s">
        <v>339</v>
      </c>
      <c r="D155" s="60" t="s">
        <v>340</v>
      </c>
      <c r="E155" s="46" t="str">
        <f>IFERROR(__xludf.DUMMYFUNCTION("VLOOKUP(C155,IMPORTRANGE(""https://docs.google.com/spreadsheets/d/1SQRLoxD_LXfQNfB7NOxI5jlxbkDlcNPwla_2gSTySP8/edit#gid=274515254"",""Dashboard!$C$2:$D$156""),2,0)"),"ステータス")</f>
        <v>ステータス</v>
      </c>
      <c r="F155" s="82"/>
    </row>
    <row r="156">
      <c r="A156" s="80" t="s">
        <v>268</v>
      </c>
      <c r="B156" s="81" t="s">
        <v>2052</v>
      </c>
      <c r="C156" s="15" t="s">
        <v>269</v>
      </c>
      <c r="D156" s="15" t="s">
        <v>270</v>
      </c>
      <c r="E156" s="46" t="str">
        <f>IFERROR(__xludf.DUMMYFUNCTION("VLOOKUP(C156,IMPORTRANGE(""https://docs.google.com/spreadsheets/d/1SQRLoxD_LXfQNfB7NOxI5jlxbkDlcNPwla_2gSTySP8/edit#gid=274515254"",""Dashboard!$C$2:$D$156""),2,0)"),"キャンセル")</f>
        <v>キャンセル</v>
      </c>
      <c r="F156" s="82"/>
    </row>
    <row r="157">
      <c r="A157" s="80" t="s">
        <v>242</v>
      </c>
      <c r="C157" s="15" t="s">
        <v>243</v>
      </c>
      <c r="D157" s="15" t="s">
        <v>244</v>
      </c>
      <c r="E157" s="46" t="str">
        <f>IFERROR(__xludf.DUMMYFUNCTION("VLOOKUP(C157,IMPORTRANGE(""https://docs.google.com/spreadsheets/d/1SQRLoxD_LXfQNfB7NOxI5jlxbkDlcNPwla_2gSTySP8/edit#gid=274515254"",""Dashboard!$C$2:$D$156""),2,0)"),"テンプレートとして保存")</f>
        <v>テンプレートとして保存</v>
      </c>
      <c r="F157" s="82"/>
    </row>
    <row r="158">
      <c r="A158" s="80" t="s">
        <v>1873</v>
      </c>
      <c r="B158" s="81" t="s">
        <v>2053</v>
      </c>
      <c r="C158" s="60" t="s">
        <v>1875</v>
      </c>
      <c r="D158" s="59" t="s">
        <v>1876</v>
      </c>
      <c r="E158" s="46" t="str">
        <f>IFERROR(__xludf.DUMMYFUNCTION("VLOOKUP(C158,IMPORTRANGE(""https://docs.google.com/spreadsheets/d/1SQRLoxD_LXfQNfB7NOxI5jlxbkDlcNPwla_2gSTySP8/edit#gid=274515254"",""Dashboard!$C$2:$D$156""),2,0)"),"テンプレートから読み込む")</f>
        <v>テンプレートから読み込む</v>
      </c>
      <c r="F158" s="82"/>
    </row>
    <row r="159">
      <c r="A159" s="80" t="s">
        <v>268</v>
      </c>
      <c r="B159" s="81" t="s">
        <v>2054</v>
      </c>
      <c r="C159" s="15" t="s">
        <v>269</v>
      </c>
      <c r="D159" s="15" t="s">
        <v>270</v>
      </c>
      <c r="E159" s="46" t="str">
        <f>IFERROR(__xludf.DUMMYFUNCTION("VLOOKUP(C159,IMPORTRANGE(""https://docs.google.com/spreadsheets/d/1SQRLoxD_LXfQNfB7NOxI5jlxbkDlcNPwla_2gSTySP8/edit#gid=274515254"",""Dashboard!$C$2:$D$156""),2,0)"),"キャンセル")</f>
        <v>キャンセル</v>
      </c>
      <c r="F159" s="82"/>
    </row>
    <row r="160">
      <c r="A160" s="80" t="s">
        <v>1897</v>
      </c>
      <c r="C160" s="15" t="s">
        <v>1898</v>
      </c>
      <c r="D160" s="15" t="s">
        <v>1899</v>
      </c>
      <c r="E160" s="46" t="str">
        <f>IFERROR(__xludf.DUMMYFUNCTION("VLOOKUP(C160,IMPORTRANGE(""https://docs.google.com/spreadsheets/d/1SQRLoxD_LXfQNfB7NOxI5jlxbkDlcNPwla_2gSTySP8/edit#gid=274515254"",""Dashboard!$C$2:$D$156""),2,0)"),"テンプレートを読み込む")</f>
        <v>テンプレートを読み込む</v>
      </c>
      <c r="F160" s="82"/>
    </row>
    <row r="161">
      <c r="B161" s="66"/>
      <c r="C161" s="66"/>
      <c r="D161" s="66"/>
    </row>
    <row r="162">
      <c r="B162" s="66"/>
      <c r="C162" s="60"/>
      <c r="D162" s="66"/>
    </row>
    <row r="163">
      <c r="B163" s="66"/>
      <c r="C163" s="82"/>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sheetData>
  <mergeCells count="25">
    <mergeCell ref="B52:B63"/>
    <mergeCell ref="B64:B66"/>
    <mergeCell ref="B67:B70"/>
    <mergeCell ref="B71:B72"/>
    <mergeCell ref="B73:B77"/>
    <mergeCell ref="B78:B80"/>
    <mergeCell ref="B81:B83"/>
    <mergeCell ref="B84:B86"/>
    <mergeCell ref="B88:B89"/>
    <mergeCell ref="B90:B91"/>
    <mergeCell ref="B94:B95"/>
    <mergeCell ref="B97:B101"/>
    <mergeCell ref="B108:B109"/>
    <mergeCell ref="B111:B112"/>
    <mergeCell ref="B149:B151"/>
    <mergeCell ref="B152:B154"/>
    <mergeCell ref="B156:B157"/>
    <mergeCell ref="B159:B160"/>
    <mergeCell ref="B116:B117"/>
    <mergeCell ref="B118:B119"/>
    <mergeCell ref="B124:B126"/>
    <mergeCell ref="B136:B138"/>
    <mergeCell ref="B139:B142"/>
    <mergeCell ref="B143:B145"/>
    <mergeCell ref="B146:B148"/>
  </mergeCells>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0"/>
    <hyperlink r:id="rId31" ref="B31"/>
    <hyperlink r:id="rId32" ref="B32"/>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64"/>
    <hyperlink r:id="rId52" ref="B67"/>
    <hyperlink r:id="rId53" ref="B71"/>
    <hyperlink r:id="rId54" ref="B73"/>
    <hyperlink r:id="rId55" ref="B78"/>
    <hyperlink r:id="rId56" ref="B81"/>
    <hyperlink r:id="rId57" ref="B84"/>
    <hyperlink r:id="rId58" ref="B87"/>
    <hyperlink r:id="rId59" ref="B88"/>
    <hyperlink r:id="rId60" ref="B90"/>
    <hyperlink r:id="rId61" ref="B92"/>
    <hyperlink r:id="rId62" ref="B93"/>
    <hyperlink r:id="rId63" ref="B96"/>
    <hyperlink r:id="rId64" ref="B97"/>
    <hyperlink r:id="rId65" ref="B102"/>
    <hyperlink r:id="rId66" ref="B103"/>
    <hyperlink r:id="rId67" ref="B104"/>
    <hyperlink r:id="rId68" ref="B105"/>
    <hyperlink r:id="rId69" ref="B106"/>
    <hyperlink r:id="rId70" ref="B107"/>
    <hyperlink r:id="rId71" ref="B108"/>
    <hyperlink r:id="rId72" ref="B110"/>
    <hyperlink r:id="rId73" ref="B111"/>
    <hyperlink r:id="rId74" ref="B113"/>
    <hyperlink r:id="rId75" ref="B114"/>
    <hyperlink r:id="rId76" ref="B115"/>
    <hyperlink r:id="rId77" ref="B116"/>
    <hyperlink r:id="rId78" ref="B118"/>
    <hyperlink r:id="rId79" ref="B120"/>
    <hyperlink r:id="rId80" ref="B121"/>
    <hyperlink r:id="rId81" ref="B122"/>
    <hyperlink r:id="rId82" ref="B123"/>
    <hyperlink r:id="rId83" ref="B124"/>
    <hyperlink r:id="rId84" ref="B127"/>
    <hyperlink r:id="rId85" ref="B128"/>
    <hyperlink r:id="rId86" ref="B129"/>
    <hyperlink r:id="rId87" ref="B130"/>
    <hyperlink r:id="rId88" ref="B131"/>
    <hyperlink r:id="rId89" ref="B132"/>
    <hyperlink r:id="rId90" ref="B133"/>
    <hyperlink r:id="rId91" ref="B134"/>
    <hyperlink r:id="rId92" ref="B135"/>
    <hyperlink r:id="rId93" ref="B136"/>
    <hyperlink r:id="rId94" ref="B139"/>
    <hyperlink r:id="rId95" ref="B143"/>
    <hyperlink r:id="rId96" ref="B146"/>
    <hyperlink r:id="rId97" ref="B149"/>
    <hyperlink r:id="rId98" ref="B152"/>
    <hyperlink r:id="rId99" ref="B155"/>
    <hyperlink r:id="rId100" ref="B156"/>
    <hyperlink r:id="rId101" ref="B158"/>
    <hyperlink r:id="rId102" ref="B159"/>
  </hyperlinks>
  <drawing r:id="rId103"/>
  <legacyDrawing r:id="rId10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6.43"/>
    <col customWidth="1" min="2" max="2" width="35.14"/>
    <col customWidth="1" min="3" max="3" width="31.14"/>
    <col customWidth="1" min="4" max="4" width="31.43"/>
    <col customWidth="1" min="5" max="5" width="20.0"/>
  </cols>
  <sheetData>
    <row r="1">
      <c r="A1" s="99" t="s">
        <v>1208</v>
      </c>
      <c r="B1" s="5" t="s">
        <v>6</v>
      </c>
      <c r="C1" s="5" t="s">
        <v>7</v>
      </c>
      <c r="D1" s="5" t="s">
        <v>8</v>
      </c>
      <c r="E1" s="100" t="s">
        <v>1355</v>
      </c>
      <c r="F1" s="78"/>
    </row>
    <row r="2">
      <c r="A2" s="54" t="str">
        <f>IFERROR(__xludf.DUMMYFUNCTION("JOIN(""-"",""app"",SPLIT(LOWER( C2),"" ""))"),"app-home")</f>
        <v>app-home</v>
      </c>
      <c r="B2" s="8" t="s">
        <v>2055</v>
      </c>
      <c r="C2" s="66" t="s">
        <v>9</v>
      </c>
      <c r="D2" s="66" t="s">
        <v>1057</v>
      </c>
      <c r="E2" s="93" t="s">
        <v>9</v>
      </c>
    </row>
    <row r="3">
      <c r="A3" s="54" t="str">
        <f>IFERROR(__xludf.DUMMYFUNCTION("JOIN(""-"",""app"",SPLIT(LOWER( C3),"" ""))"),"app-dashboard")</f>
        <v>app-dashboard</v>
      </c>
      <c r="C3" s="66" t="s">
        <v>2056</v>
      </c>
      <c r="D3" s="66" t="s">
        <v>2057</v>
      </c>
      <c r="E3" s="93" t="s">
        <v>2056</v>
      </c>
    </row>
    <row r="4">
      <c r="A4" s="54" t="str">
        <f>IFERROR(__xludf.DUMMYFUNCTION("JOIN(""-"",""app"",SPLIT(LOWER( C4),"" ""))"),"app-terra")</f>
        <v>app-terra</v>
      </c>
      <c r="C4" s="66" t="s">
        <v>379</v>
      </c>
      <c r="D4" s="66" t="s">
        <v>379</v>
      </c>
      <c r="E4" s="54" t="s">
        <v>2058</v>
      </c>
    </row>
    <row r="5">
      <c r="A5" s="54" t="str">
        <f>IFERROR(__xludf.DUMMYFUNCTION("JOIN(""-"",""app"",SPLIT(LOWER( C5),"" ""))"),"app-thermal")</f>
        <v>app-thermal</v>
      </c>
      <c r="C5" s="66" t="s">
        <v>838</v>
      </c>
      <c r="D5" s="66" t="s">
        <v>838</v>
      </c>
      <c r="E5" s="46" t="str">
        <f>IFERROR(__xludf.DUMMYFUNCTION("VLOOKUP(C5,IMPORTRANGE(""https://docs.google.com/spreadsheets/d/1SQRLoxD_LXfQNfB7NOxI5jlxbkDlcNPwla_2gSTySP8/edit#gid=274515254"",""Home!$C$2:$D$158""),2,0)"),"Thermal / サーマル")</f>
        <v>Thermal / サーマル</v>
      </c>
    </row>
    <row r="6">
      <c r="A6" s="54" t="str">
        <f>IFERROR(__xludf.DUMMYFUNCTION("JOIN(""-"",""app"",SPLIT(LOWER( C6),"" ""))"),"app-tickets")</f>
        <v>app-tickets</v>
      </c>
      <c r="C6" s="101" t="s">
        <v>914</v>
      </c>
      <c r="D6" s="66" t="s">
        <v>914</v>
      </c>
      <c r="E6" s="46" t="str">
        <f>IFERROR(__xludf.DUMMYFUNCTION("VLOOKUP(C6,IMPORTRANGE(""https://docs.google.com/spreadsheets/d/1SQRLoxD_LXfQNfB7NOxI5jlxbkDlcNPwla_2gSTySP8/edit#gid=274515254"",""Home!$C$2:$D$158""),2,0)"),"Tickets / チケット")</f>
        <v>Tickets / チケット</v>
      </c>
    </row>
    <row r="7">
      <c r="A7" s="54" t="str">
        <f>IFERROR(__xludf.DUMMYFUNCTION("JOIN(""-"",""app"",SPLIT(LOWER( C7),"" ""))"),"app-vault")</f>
        <v>app-vault</v>
      </c>
      <c r="C7" s="66" t="s">
        <v>985</v>
      </c>
      <c r="D7" s="66" t="s">
        <v>985</v>
      </c>
      <c r="E7" s="46" t="str">
        <f>IFERROR(__xludf.DUMMYFUNCTION("VLOOKUP(C7,IMPORTRANGE(""https://docs.google.com/spreadsheets/d/1SQRLoxD_LXfQNfB7NOxI5jlxbkDlcNPwla_2gSTySP8/edit#gid=274515254"",""Home!$C$2:$D$158""),2,0)"),"Vault / ボールト")</f>
        <v>Vault / ボールト</v>
      </c>
    </row>
    <row r="8">
      <c r="A8" s="54" t="str">
        <f>IFERROR(__xludf.DUMMYFUNCTION("JOIN(""-"",""app"",SPLIT(LOWER( C8),"" ""))"),"app-project-management")</f>
        <v>app-project-management</v>
      </c>
      <c r="C8" s="66" t="s">
        <v>2059</v>
      </c>
      <c r="D8" s="66" t="s">
        <v>2060</v>
      </c>
      <c r="E8" s="93" t="s">
        <v>2059</v>
      </c>
    </row>
    <row r="9">
      <c r="A9" s="54" t="str">
        <f>IFERROR(__xludf.DUMMYFUNCTION("JOIN(""-"",""app"",SPLIT(LOWER( C9),"" ""))"),"app-users")</f>
        <v>app-users</v>
      </c>
      <c r="C9" s="66" t="s">
        <v>508</v>
      </c>
      <c r="D9" s="66" t="s">
        <v>509</v>
      </c>
      <c r="E9" s="93" t="s">
        <v>2061</v>
      </c>
      <c r="F9" s="2"/>
    </row>
    <row r="10">
      <c r="A10" s="54" t="str">
        <f>IFERROR(__xludf.DUMMYFUNCTION("JOIN(""-"",""app"",SPLIT(LOWER( C10),"" ""))"),"app-asset-dashboard")</f>
        <v>app-asset-dashboard</v>
      </c>
      <c r="C10" s="66" t="s">
        <v>2062</v>
      </c>
      <c r="D10" s="66" t="s">
        <v>2063</v>
      </c>
      <c r="E10" s="46" t="str">
        <f>IFERROR(__xludf.DUMMYFUNCTION("VLOOKUP(C10,IMPORTRANGE(""https://docs.google.com/spreadsheets/d/1SQRLoxD_LXfQNfB7NOxI5jlxbkDlcNPwla_2gSTySP8/edit#gid=274515254"",""Home!$C$2:$D$158""),2,0)"),"アセットダッシュボード")</f>
        <v>アセットダッシュボード</v>
      </c>
    </row>
    <row r="11">
      <c r="A11" s="54" t="s">
        <v>2064</v>
      </c>
      <c r="C11" s="66" t="s">
        <v>2065</v>
      </c>
      <c r="D11" s="66" t="s">
        <v>2066</v>
      </c>
      <c r="E11" s="93" t="s">
        <v>2067</v>
      </c>
      <c r="F11" s="2"/>
    </row>
    <row r="12">
      <c r="A12" s="54" t="s">
        <v>2068</v>
      </c>
      <c r="C12" s="66" t="s">
        <v>2069</v>
      </c>
      <c r="D12" s="66" t="s">
        <v>2069</v>
      </c>
      <c r="E12" s="46" t="str">
        <f>IFERROR(__xludf.DUMMYFUNCTION("VLOOKUP(C12,IMPORTRANGE(""https://docs.google.com/spreadsheets/d/1SQRLoxD_LXfQNfB7NOxI5jlxbkDlcNPwla_2gSTySP8/edit#gid=274515254"",""Home!$C$2:$D$158""),2,0)"),"ソーラー")</f>
        <v>ソーラー</v>
      </c>
    </row>
    <row r="13">
      <c r="A13" s="54" t="s">
        <v>2070</v>
      </c>
      <c r="C13" s="66" t="s">
        <v>2071</v>
      </c>
      <c r="D13" s="66" t="s">
        <v>2072</v>
      </c>
      <c r="E13" s="46" t="str">
        <f>IFERROR(__xludf.DUMMYFUNCTION("VLOOKUP(C13,IMPORTRANGE(""https://docs.google.com/spreadsheets/d/1SQRLoxD_LXfQNfB7NOxI5jlxbkDlcNPwla_2gSTySP8/edit#gid=274515254"",""Home!$C$2:$D$158""),2,0)"),"建設モニタリング")</f>
        <v>建設モニタリング</v>
      </c>
    </row>
    <row r="14">
      <c r="A14" s="54" t="s">
        <v>2073</v>
      </c>
      <c r="C14" s="66" t="s">
        <v>2074</v>
      </c>
      <c r="D14" s="66" t="s">
        <v>2075</v>
      </c>
      <c r="E14" s="93" t="s">
        <v>2076</v>
      </c>
      <c r="F14" s="2"/>
    </row>
    <row r="15">
      <c r="A15" s="102" t="str">
        <f>IFERROR(__xludf.DUMMYFUNCTION("JOIN(""-"",""app"",SPLIT(LOWER( C15),"" ""))"),"app-asset-map")</f>
        <v>app-asset-map</v>
      </c>
      <c r="C15" s="26" t="s">
        <v>1728</v>
      </c>
      <c r="D15" s="66" t="s">
        <v>1729</v>
      </c>
      <c r="E15" s="46" t="str">
        <f>IFERROR(__xludf.DUMMYFUNCTION("VLOOKUP(C15,IMPORTRANGE(""https://docs.google.com/spreadsheets/d/1SQRLoxD_LXfQNfB7NOxI5jlxbkDlcNPwla_2gSTySP8/edit#gid=274515254"",""Home!$C$2:$D$158""),2,0)"),"アセットマップ")</f>
        <v>アセットマップ</v>
      </c>
    </row>
    <row r="16">
      <c r="A16" s="102" t="str">
        <f>IFERROR(__xludf.DUMMYFUNCTION("JOIN(""-"",""app"",SPLIT(LOWER( C16),"" ""))"),"app-group-by:-all")</f>
        <v>app-group-by:-all</v>
      </c>
      <c r="C16" s="66" t="s">
        <v>2077</v>
      </c>
      <c r="D16" s="66" t="s">
        <v>2078</v>
      </c>
      <c r="E16" s="46" t="str">
        <f>IFERROR(__xludf.DUMMYFUNCTION("VLOOKUP(C16,IMPORTRANGE(""https://docs.google.com/spreadsheets/d/1SQRLoxD_LXfQNfB7NOxI5jlxbkDlcNPwla_2gSTySP8/edit#gid=274515254"",""Home!$C$2:$D$158""),2,0)"),"グループ：すべて")</f>
        <v>グループ：すべて</v>
      </c>
    </row>
    <row r="17">
      <c r="A17" s="102" t="str">
        <f>IFERROR(__xludf.DUMMYFUNCTION("JOIN(""-"",""app"",SPLIT(LOWER( C17),"" ""))"),"app-sort-by:-none")</f>
        <v>app-sort-by:-none</v>
      </c>
      <c r="C17" s="66" t="s">
        <v>2079</v>
      </c>
      <c r="D17" s="66" t="s">
        <v>2080</v>
      </c>
      <c r="E17" s="46" t="str">
        <f>IFERROR(__xludf.DUMMYFUNCTION("VLOOKUP(C17,IMPORTRANGE(""https://docs.google.com/spreadsheets/d/1SQRLoxD_LXfQNfB7NOxI5jlxbkDlcNPwla_2gSTySP8/edit#gid=274515254"",""Home!$C$2:$D$158""),2,0)"),"ソート：なし")</f>
        <v>ソート：なし</v>
      </c>
    </row>
    <row r="18">
      <c r="A18" s="102" t="str">
        <f>IFERROR(__xludf.DUMMYFUNCTION("JOIN(""-"",""app"",SPLIT(LOWER( C18),"" ""))"),"app-new-asset")</f>
        <v>app-new-asset</v>
      </c>
      <c r="C18" s="66" t="s">
        <v>2081</v>
      </c>
      <c r="D18" s="66" t="s">
        <v>2082</v>
      </c>
      <c r="E18" s="93" t="s">
        <v>2083</v>
      </c>
      <c r="F18" s="2"/>
    </row>
    <row r="19">
      <c r="A19" s="102" t="str">
        <f>IFERROR(__xludf.DUMMYFUNCTION("JOIN(""-"",""app"",SPLIT(LOWER( C19),"" ""))"),"app-assets-dashboard")</f>
        <v>app-assets-dashboard</v>
      </c>
      <c r="B19" s="103" t="s">
        <v>2084</v>
      </c>
      <c r="C19" s="104" t="s">
        <v>2085</v>
      </c>
      <c r="D19" s="104" t="s">
        <v>2086</v>
      </c>
      <c r="E19" s="46" t="str">
        <f>IFERROR(__xludf.DUMMYFUNCTION("VLOOKUP(C19,IMPORTRANGE(""https://docs.google.com/spreadsheets/d/1SQRLoxD_LXfQNfB7NOxI5jlxbkDlcNPwla_2gSTySP8/edit#gid=274515254"",""Home!$C$2:$D$158""),2,0)"),"アセットダッシュボード")</f>
        <v>アセットダッシュボード</v>
      </c>
    </row>
    <row r="20">
      <c r="A20" s="102" t="str">
        <f>IFERROR(__xludf.DUMMYFUNCTION("JOIN(""-"",""app"",SPLIT(LOWER( C20),"" ""))"),"app-no-assets-found")</f>
        <v>app-no-assets-found</v>
      </c>
      <c r="C20" s="104" t="s">
        <v>2087</v>
      </c>
      <c r="D20" s="104" t="s">
        <v>2088</v>
      </c>
      <c r="E20" s="93" t="s">
        <v>2089</v>
      </c>
      <c r="F20" s="2"/>
    </row>
    <row r="21">
      <c r="A21" s="102" t="str">
        <f>IFERROR(__xludf.DUMMYFUNCTION("JOIN(""-"",""app"",SPLIT(LOWER( C21),"" ""))"),"app-create-new-asset")</f>
        <v>app-create-new-asset</v>
      </c>
      <c r="C21" s="104" t="s">
        <v>2090</v>
      </c>
      <c r="D21" s="104" t="s">
        <v>2091</v>
      </c>
      <c r="E21" s="93" t="s">
        <v>2083</v>
      </c>
      <c r="F21" s="2"/>
    </row>
    <row r="22">
      <c r="A22" s="102" t="str">
        <f>IFERROR(__xludf.DUMMYFUNCTION("JOIN(""-"",""app"",SPLIT(LOWER( C22),"" ""))"),"app-create-asset-for")</f>
        <v>app-create-asset-for</v>
      </c>
      <c r="B22" s="103" t="s">
        <v>2092</v>
      </c>
      <c r="C22" s="104" t="s">
        <v>2093</v>
      </c>
      <c r="D22" s="104" t="s">
        <v>2094</v>
      </c>
      <c r="E22" s="93" t="s">
        <v>2095</v>
      </c>
      <c r="F22" s="2"/>
    </row>
    <row r="23">
      <c r="A23" s="102" t="str">
        <f>IFERROR(__xludf.DUMMYFUNCTION("JOIN(""-"",""app"",SPLIT(LOWER( C23),"" ""))"),"app-select-asset-type")</f>
        <v>app-select-asset-type</v>
      </c>
      <c r="C23" s="104" t="s">
        <v>2096</v>
      </c>
      <c r="D23" s="104" t="s">
        <v>2097</v>
      </c>
      <c r="E23" s="93" t="s">
        <v>2098</v>
      </c>
      <c r="F23" s="2"/>
    </row>
    <row r="24">
      <c r="A24" s="102" t="str">
        <f>IFERROR(__xludf.DUMMYFUNCTION("JOIN(""-"",""app"",SPLIT(LOWER( C24),"" ""))"),"app-select-entity")</f>
        <v>app-select-entity</v>
      </c>
      <c r="C24" s="104" t="s">
        <v>2099</v>
      </c>
      <c r="D24" s="104" t="s">
        <v>2100</v>
      </c>
      <c r="E24" s="93" t="s">
        <v>2101</v>
      </c>
      <c r="F24" s="2"/>
    </row>
    <row r="25">
      <c r="A25" s="102" t="str">
        <f>IFERROR(__xludf.DUMMYFUNCTION("JOIN(""-"",""app"",SPLIT(LOWER( C25),"" ""))"),"app-select-owner")</f>
        <v>app-select-owner</v>
      </c>
      <c r="C25" s="104" t="s">
        <v>2102</v>
      </c>
      <c r="D25" s="104" t="s">
        <v>2103</v>
      </c>
      <c r="E25" s="46" t="str">
        <f>IFERROR(__xludf.DUMMYFUNCTION("VLOOKUP(C25,IMPORTRANGE(""https://docs.google.com/spreadsheets/d/1SQRLoxD_LXfQNfB7NOxI5jlxbkDlcNPwla_2gSTySP8/edit#gid=274515254"",""Home!$C$2:$D$158""),2,0)"),"所有者を選択")</f>
        <v>所有者を選択</v>
      </c>
    </row>
    <row r="26">
      <c r="A26" s="102" t="str">
        <f>IFERROR(__xludf.DUMMYFUNCTION("JOIN(""-"",""app"",SPLIT(LOWER( C26),"" ""))"),"app-enter-tags")</f>
        <v>app-enter-tags</v>
      </c>
      <c r="B26" s="105" t="s">
        <v>2104</v>
      </c>
      <c r="C26" s="106" t="s">
        <v>2105</v>
      </c>
      <c r="D26" s="106" t="s">
        <v>2106</v>
      </c>
      <c r="E26" s="46" t="str">
        <f>IFERROR(__xludf.DUMMYFUNCTION("VLOOKUP(C26,IMPORTRANGE(""https://docs.google.com/spreadsheets/d/1SQRLoxD_LXfQNfB7NOxI5jlxbkDlcNPwla_2gSTySP8/edit#gid=274515254"",""Home!$C$2:$D$158""),2,0)"),"タグの入力")</f>
        <v>タグの入力</v>
      </c>
    </row>
    <row r="27">
      <c r="A27" s="54" t="s">
        <v>2107</v>
      </c>
      <c r="B27" s="8" t="s">
        <v>2108</v>
      </c>
      <c r="C27" s="66" t="s">
        <v>2109</v>
      </c>
      <c r="D27" s="66" t="s">
        <v>2110</v>
      </c>
      <c r="E27" s="46" t="str">
        <f>IFERROR(__xludf.DUMMYFUNCTION("VLOOKUP(C27,IMPORTRANGE(""https://docs.google.com/spreadsheets/d/1SQRLoxD_LXfQNfB7NOxI5jlxbkDlcNPwla_2gSTySP8/edit#gid=274515254"",""Home!$C$2:$D$158""),2,0)"),"組織検索")</f>
        <v>組織検索</v>
      </c>
    </row>
    <row r="28">
      <c r="A28" s="54" t="s">
        <v>926</v>
      </c>
      <c r="B28" s="8" t="s">
        <v>2111</v>
      </c>
      <c r="C28" s="66" t="s">
        <v>927</v>
      </c>
      <c r="D28" s="66" t="s">
        <v>1034</v>
      </c>
      <c r="E28" s="93" t="s">
        <v>2067</v>
      </c>
      <c r="F28" s="2"/>
    </row>
    <row r="29">
      <c r="A29" s="54" t="s">
        <v>2112</v>
      </c>
      <c r="C29" s="66" t="s">
        <v>2113</v>
      </c>
      <c r="D29" s="66" t="s">
        <v>2114</v>
      </c>
      <c r="E29" s="46" t="str">
        <f>IFERROR(__xludf.DUMMYFUNCTION("VLOOKUP(C29,IMPORTRANGE(""https://docs.google.com/spreadsheets/d/1SQRLoxD_LXfQNfB7NOxI5jlxbkDlcNPwla_2gSTySP8/edit#gid=274515254"",""Home!$C$2:$D$158""),2,0)"),"タイプ")</f>
        <v>タイプ</v>
      </c>
    </row>
    <row r="30">
      <c r="A30" s="54" t="s">
        <v>345</v>
      </c>
      <c r="C30" s="66" t="s">
        <v>346</v>
      </c>
      <c r="D30" s="66" t="s">
        <v>347</v>
      </c>
      <c r="E30" s="46" t="str">
        <f>IFERROR(__xludf.DUMMYFUNCTION("VLOOKUP(C30,IMPORTRANGE(""https://docs.google.com/spreadsheets/d/1SQRLoxD_LXfQNfB7NOxI5jlxbkDlcNPwla_2gSTySP8/edit#gid=274515254"",""Home!$C$2:$D$158""),2,0)"),"タグ")</f>
        <v>タグ</v>
      </c>
    </row>
    <row r="31">
      <c r="A31" s="54" t="s">
        <v>2115</v>
      </c>
      <c r="B31" s="8" t="s">
        <v>2116</v>
      </c>
      <c r="C31" s="66" t="s">
        <v>2117</v>
      </c>
      <c r="D31" s="66" t="s">
        <v>2118</v>
      </c>
      <c r="E31" s="46" t="str">
        <f>IFERROR(__xludf.DUMMYFUNCTION("VLOOKUP(C31,IMPORTRANGE(""https://docs.google.com/spreadsheets/d/1SQRLoxD_LXfQNfB7NOxI5jlxbkDlcNPwla_2gSTySP8/edit#gid=274515254"",""Home!$C$2:$D$158""),2,0)"),"アクセスが拒否されました")</f>
        <v>アクセスが拒否されました</v>
      </c>
    </row>
    <row r="32">
      <c r="A32" s="54" t="s">
        <v>2119</v>
      </c>
      <c r="C32" s="70" t="s">
        <v>2120</v>
      </c>
      <c r="D32" s="107" t="s">
        <v>2121</v>
      </c>
      <c r="E32" s="46" t="str">
        <f>IFERROR(__xludf.DUMMYFUNCTION("VLOOKUP(C32,IMPORTRANGE(""https://docs.google.com/spreadsheets/d/1SQRLoxD_LXfQNfB7NOxI5jlxbkDlcNPwla_2gSTySP8/edit#gid=274515254"",""Home!$C$2:$D$158""),2,0)"),"この機能にアクセスする権限がありません。登録することで、管理者がこの機能へのアクセスを許可できます。この機能を有効にして組織が利用できるようにしますか？")</f>
        <v>この機能にアクセスする権限がありません。登録することで、管理者がこの機能へのアクセスを許可できます。この機能を有効にして組織が利用できるようにしますか？</v>
      </c>
    </row>
    <row r="33">
      <c r="A33" s="54" t="s">
        <v>2122</v>
      </c>
      <c r="C33" s="66" t="s">
        <v>2123</v>
      </c>
      <c r="D33" s="66" t="s">
        <v>2124</v>
      </c>
      <c r="E33" s="93" t="s">
        <v>2125</v>
      </c>
      <c r="F33" s="2"/>
    </row>
    <row r="34">
      <c r="A34" s="54" t="s">
        <v>268</v>
      </c>
      <c r="C34" s="66" t="s">
        <v>269</v>
      </c>
      <c r="D34" s="66" t="s">
        <v>270</v>
      </c>
      <c r="E34" s="46" t="str">
        <f>IFERROR(__xludf.DUMMYFUNCTION("VLOOKUP(C34,IMPORTRANGE(""https://docs.google.com/spreadsheets/d/1SQRLoxD_LXfQNfB7NOxI5jlxbkDlcNPwla_2gSTySP8/edit#gid=274515254"",""Home!$C$2:$D$158""),2,0)"),"キャンセル")</f>
        <v>キャンセル</v>
      </c>
    </row>
    <row r="35">
      <c r="A35" s="54" t="s">
        <v>2126</v>
      </c>
      <c r="B35" s="8" t="s">
        <v>2127</v>
      </c>
      <c r="C35" s="66" t="s">
        <v>2128</v>
      </c>
      <c r="D35" s="67" t="s">
        <v>2128</v>
      </c>
      <c r="E35" s="46" t="str">
        <f>IFERROR(__xludf.DUMMYFUNCTION("VLOOKUP(C35,IMPORTRANGE(""https://docs.google.com/spreadsheets/d/1SQRLoxD_LXfQNfB7NOxI5jlxbkDlcNPwla_2gSTySP8/edit#gid=274515254"",""Home!$C$2:$D$158""),2,0)"),"コア")</f>
        <v>コア</v>
      </c>
    </row>
    <row r="36">
      <c r="A36" s="54" t="s">
        <v>2129</v>
      </c>
      <c r="C36" s="66" t="s">
        <v>1023</v>
      </c>
      <c r="D36" s="66" t="s">
        <v>2130</v>
      </c>
      <c r="E36" s="46" t="str">
        <f>IFERROR(__xludf.DUMMYFUNCTION("VLOOKUP(C36,IMPORTRANGE(""https://docs.google.com/spreadsheets/d/1SQRLoxD_LXfQNfB7NOxI5jlxbkDlcNPwla_2gSTySP8/edit#gid=274515254"",""Home!$C$2:$D$158""),2,0)"),"ミッション")</f>
        <v>ミッション</v>
      </c>
    </row>
    <row r="37">
      <c r="A37" s="54" t="s">
        <v>2131</v>
      </c>
      <c r="C37" s="66" t="s">
        <v>2132</v>
      </c>
      <c r="D37" s="66" t="s">
        <v>2133</v>
      </c>
      <c r="E37" s="46" t="str">
        <f>IFERROR(__xludf.DUMMYFUNCTION("VLOOKUP(C37,IMPORTRANGE(""https://docs.google.com/spreadsheets/d/1SQRLoxD_LXfQNfB7NOxI5jlxbkDlcNPwla_2gSTySP8/edit#gid=274515254"",""Home!$C$2:$D$158""),2,0)"),"処理中")</f>
        <v>処理中</v>
      </c>
    </row>
    <row r="38">
      <c r="A38" s="54" t="s">
        <v>165</v>
      </c>
      <c r="B38" s="20" t="s">
        <v>2134</v>
      </c>
      <c r="C38" s="66" t="s">
        <v>166</v>
      </c>
      <c r="D38" s="66" t="s">
        <v>167</v>
      </c>
      <c r="E38" s="46" t="str">
        <f>IFERROR(__xludf.DUMMYFUNCTION("VLOOKUP(C38,IMPORTRANGE(""https://docs.google.com/spreadsheets/d/1SQRLoxD_LXfQNfB7NOxI5jlxbkDlcNPwla_2gSTySP8/edit#gid=274515254"",""Home!$C$2:$D$158""),2,0)"),"ピン留め")</f>
        <v>ピン留め</v>
      </c>
    </row>
    <row r="39">
      <c r="A39" s="54" t="s">
        <v>2135</v>
      </c>
      <c r="C39" s="66" t="s">
        <v>2136</v>
      </c>
      <c r="D39" s="66" t="s">
        <v>2137</v>
      </c>
      <c r="E39" s="46" t="str">
        <f>IFERROR(__xludf.DUMMYFUNCTION("VLOOKUP(C39,IMPORTRANGE(""https://docs.google.com/spreadsheets/d/1SQRLoxD_LXfQNfB7NOxI5jlxbkDlcNPwla_2gSTySP8/edit#gid=274515254"",""Home!$C$2:$D$158""),2,0)"),"ピン留めされたページなし")</f>
        <v>ピン留めされたページなし</v>
      </c>
    </row>
    <row r="40">
      <c r="A40" s="54" t="s">
        <v>2138</v>
      </c>
      <c r="C40" s="26" t="s">
        <v>2139</v>
      </c>
      <c r="D40" s="67" t="s">
        <v>2140</v>
      </c>
      <c r="E40" s="46" t="str">
        <f>IFERROR(__xludf.DUMMYFUNCTION("VLOOKUP(C40,IMPORTRANGE(""https://docs.google.com/spreadsheets/d/1SQRLoxD_LXfQNfB7NOxI5jlxbkDlcNPwla_2gSTySP8/edit#gid=274515254"",""Home!$C$2:$D$158""),2,0)"),"ピンを使用してワンクリックでページに直接アクセスできます。ページを開いて右上のアイコンをクリックすることで即アクセスできます。")</f>
        <v>ピンを使用してワンクリックでページに直接アクセスできます。ページを開いて右上のアイコンをクリックすることで即アクセスできます。</v>
      </c>
    </row>
    <row r="41">
      <c r="A41" s="54" t="s">
        <v>2141</v>
      </c>
      <c r="B41" s="8" t="s">
        <v>2142</v>
      </c>
      <c r="C41" s="66" t="s">
        <v>2143</v>
      </c>
      <c r="D41" s="66" t="s">
        <v>2144</v>
      </c>
      <c r="E41" s="46" t="str">
        <f>IFERROR(__xludf.DUMMYFUNCTION("VLOOKUP(C41,IMPORTRANGE(""https://docs.google.com/spreadsheets/d/1SQRLoxD_LXfQNfB7NOxI5jlxbkDlcNPwla_2gSTySP8/edit#gid=274515254"",""Home!$C$2:$D$158""),2,0)"),"ユーザーを招待")</f>
        <v>ユーザーを招待</v>
      </c>
    </row>
    <row r="42">
      <c r="A42" s="54" t="s">
        <v>2145</v>
      </c>
      <c r="C42" s="66" t="s">
        <v>2146</v>
      </c>
      <c r="D42" s="66" t="s">
        <v>2147</v>
      </c>
      <c r="E42" s="46" t="str">
        <f>IFERROR(__xludf.DUMMYFUNCTION("VLOOKUP(C42,IMPORTRANGE(""https://docs.google.com/spreadsheets/d/1SQRLoxD_LXfQNfB7NOxI5jlxbkDlcNPwla_2gSTySP8/edit#gid=274515254"",""Home!$C$2:$D$158""),2,0)"),"新規ユーザーを招待")</f>
        <v>新規ユーザーを招待</v>
      </c>
    </row>
    <row r="43">
      <c r="A43" s="54" t="s">
        <v>2148</v>
      </c>
      <c r="C43" s="26" t="s">
        <v>2149</v>
      </c>
      <c r="D43" s="66" t="s">
        <v>2150</v>
      </c>
      <c r="E43" s="46" t="str">
        <f>IFERROR(__xludf.DUMMYFUNCTION("VLOOKUP(C43,IMPORTRANGE(""https://docs.google.com/spreadsheets/d/1SQRLoxD_LXfQNfB7NOxI5jlxbkDlcNPwla_2gSTySP8/edit#gid=274515254"",""Home!$C$2:$D$158""),2,0)"),"ユーザーはあなたの組織にサインアップするためのメールを受信します。")</f>
        <v>ユーザーはあなたの組織にサインアップするためのメールを受信します。</v>
      </c>
    </row>
    <row r="44">
      <c r="A44" s="54" t="s">
        <v>2151</v>
      </c>
      <c r="C44" s="66" t="s">
        <v>2152</v>
      </c>
      <c r="D44" s="26" t="s">
        <v>2153</v>
      </c>
      <c r="E44" s="46" t="str">
        <f>IFERROR(__xludf.DUMMYFUNCTION("VLOOKUP(C44,IMPORTRANGE(""https://docs.google.com/spreadsheets/d/1SQRLoxD_LXfQNfB7NOxI5jlxbkDlcNPwla_2gSTySP8/edit#gid=274515254"",""Home!$C$2:$D$158""),2,0)"),"別の組織のユーザーを招待")</f>
        <v>別の組織のユーザーを招待</v>
      </c>
    </row>
    <row r="45">
      <c r="A45" s="54" t="s">
        <v>2154</v>
      </c>
      <c r="C45" s="66" t="s">
        <v>2155</v>
      </c>
      <c r="D45" s="26" t="s">
        <v>2156</v>
      </c>
      <c r="E45" s="46" t="str">
        <f>IFERROR(__xludf.DUMMYFUNCTION("VLOOKUP(C45,IMPORTRANGE(""https://docs.google.com/spreadsheets/d/1SQRLoxD_LXfQNfB7NOxI5jlxbkDlcNPwla_2gSTySP8/edit#gid=274515254"",""Home!$C$2:$D$158""),2,0)"),"別の組織のユーザーはあなたの組織にゲストとして追加されます。通常どおりリソース／チームに追加可能です。")</f>
        <v>別の組織のユーザーはあなたの組織にゲストとして追加されます。通常どおりリソース／チームに追加可能です。</v>
      </c>
    </row>
    <row r="46">
      <c r="A46" s="108" t="str">
        <f>IFERROR(__xludf.DUMMYFUNCTION("JOIN(""-"",""app"",SPLIT(LOWER( C46),"" ""))"),"app-type-email-address-and-press-enter")</f>
        <v>app-type-email-address-and-press-enter</v>
      </c>
      <c r="B46" s="109" t="s">
        <v>2157</v>
      </c>
      <c r="C46" s="106" t="s">
        <v>2158</v>
      </c>
      <c r="D46" s="106" t="s">
        <v>2159</v>
      </c>
      <c r="E46" s="54" t="s">
        <v>2160</v>
      </c>
    </row>
    <row r="47">
      <c r="A47" s="108" t="str">
        <f>IFERROR(__xludf.DUMMYFUNCTION("JOIN(""-"",""app"",SPLIT(LOWER( C47),"" ""))"),"app-name-(optional)")</f>
        <v>app-name-(optional)</v>
      </c>
      <c r="C47" s="104" t="s">
        <v>2161</v>
      </c>
      <c r="D47" s="104" t="s">
        <v>2162</v>
      </c>
      <c r="E47" s="54" t="s">
        <v>2163</v>
      </c>
    </row>
    <row r="48">
      <c r="A48" s="108" t="str">
        <f>IFERROR(__xludf.DUMMYFUNCTION("JOIN(""-"",""app"",SPLIT(LOWER( C48),"" ""))"),"app-type-name")</f>
        <v>app-type-name</v>
      </c>
      <c r="C48" s="104" t="s">
        <v>2164</v>
      </c>
      <c r="D48" s="104" t="s">
        <v>2165</v>
      </c>
      <c r="E48" s="54" t="s">
        <v>2166</v>
      </c>
    </row>
    <row r="49">
      <c r="A49" s="108" t="str">
        <f>IFERROR(__xludf.DUMMYFUNCTION("JOIN(""-"",""app"",SPLIT(LOWER( C49),"" ""))"),"app-note")</f>
        <v>app-note</v>
      </c>
      <c r="C49" s="104" t="s">
        <v>2167</v>
      </c>
      <c r="D49" s="104" t="s">
        <v>2168</v>
      </c>
      <c r="E49" s="54" t="s">
        <v>2169</v>
      </c>
    </row>
    <row r="50">
      <c r="A50" s="108" t="str">
        <f>IFERROR(__xludf.DUMMYFUNCTION("JOIN(""-"",""app"",SPLIT(LOWER( C50),"" ""))"),"app-type-email-address-and-press-enter")</f>
        <v>app-type-email-address-and-press-enter</v>
      </c>
      <c r="B50" s="103" t="s">
        <v>2170</v>
      </c>
      <c r="C50" s="106" t="s">
        <v>2158</v>
      </c>
      <c r="D50" s="106" t="s">
        <v>2159</v>
      </c>
      <c r="E50" s="110" t="s">
        <v>2160</v>
      </c>
    </row>
    <row r="51">
      <c r="A51" s="108" t="str">
        <f>IFERROR(__xludf.DUMMYFUNCTION("JOIN(""-"",""app"",SPLIT(LOWER( C51),"" ""))"),"app-note")</f>
        <v>app-note</v>
      </c>
      <c r="C51" s="104" t="s">
        <v>2167</v>
      </c>
      <c r="D51" s="104" t="s">
        <v>2168</v>
      </c>
      <c r="E51" s="54" t="s">
        <v>2169</v>
      </c>
    </row>
    <row r="52">
      <c r="A52" s="111"/>
      <c r="B52" s="103" t="s">
        <v>2171</v>
      </c>
      <c r="C52" s="106" t="s">
        <v>2172</v>
      </c>
      <c r="D52" s="106" t="s">
        <v>2173</v>
      </c>
      <c r="E52" s="112" t="s">
        <v>2174</v>
      </c>
    </row>
    <row r="53">
      <c r="A53" s="108" t="str">
        <f>IFERROR(__xludf.DUMMYFUNCTION("JOIN(""-"",""app"",SPLIT(LOWER( C53),"" ""))"),"app-invite-guest-users")</f>
        <v>app-invite-guest-users</v>
      </c>
      <c r="C53" s="104" t="s">
        <v>2175</v>
      </c>
      <c r="D53" s="104" t="s">
        <v>2144</v>
      </c>
      <c r="E53" s="54" t="s">
        <v>2176</v>
      </c>
    </row>
    <row r="54">
      <c r="A54" s="54" t="s">
        <v>2177</v>
      </c>
      <c r="B54" s="8" t="s">
        <v>2178</v>
      </c>
      <c r="C54" s="66" t="s">
        <v>2179</v>
      </c>
      <c r="D54" s="66" t="s">
        <v>2180</v>
      </c>
      <c r="E54" s="93" t="s">
        <v>2181</v>
      </c>
      <c r="F54" s="2"/>
    </row>
    <row r="55">
      <c r="A55" s="54" t="s">
        <v>2182</v>
      </c>
      <c r="C55" s="66" t="s">
        <v>2183</v>
      </c>
      <c r="D55" s="66" t="s">
        <v>2184</v>
      </c>
      <c r="E55" s="46" t="str">
        <f>IFERROR(__xludf.DUMMYFUNCTION("VLOOKUP(C55,IMPORTRANGE(""https://docs.google.com/spreadsheets/d/1SQRLoxD_LXfQNfB7NOxI5jlxbkDlcNPwla_2gSTySP8/edit#gid=274515254"",""Home!$C$2:$D$158""),2,0)"),"新規グループ")</f>
        <v>新規グループ</v>
      </c>
    </row>
    <row r="56">
      <c r="A56" s="54" t="s">
        <v>2185</v>
      </c>
      <c r="C56" s="66" t="s">
        <v>2186</v>
      </c>
      <c r="D56" s="66" t="s">
        <v>2187</v>
      </c>
      <c r="E56" s="46" t="str">
        <f>IFERROR(__xludf.DUMMYFUNCTION("VLOOKUP(C56,IMPORTRANGE(""https://docs.google.com/spreadsheets/d/1SQRLoxD_LXfQNfB7NOxI5jlxbkDlcNPwla_2gSTySP8/edit#gid=274515254"",""Home!$C$2:$D$158""),2,0)"),"新規コンテナ")</f>
        <v>新規コンテナ</v>
      </c>
    </row>
    <row r="57">
      <c r="A57" s="54" t="s">
        <v>2188</v>
      </c>
      <c r="B57" s="8" t="s">
        <v>2189</v>
      </c>
      <c r="C57" s="66" t="s">
        <v>2190</v>
      </c>
      <c r="D57" s="66" t="s">
        <v>2191</v>
      </c>
      <c r="E57" s="46" t="str">
        <f>IFERROR(__xludf.DUMMYFUNCTION("VLOOKUP(C57,IMPORTRANGE(""https://docs.google.com/spreadsheets/d/1SQRLoxD_LXfQNfB7NOxI5jlxbkDlcNPwla_2gSTySP8/edit#gid=274515254"",""Home!$C$2:$D$158""),2,0)"),"次のグループを作成")</f>
        <v>次のグループを作成</v>
      </c>
    </row>
    <row r="58">
      <c r="A58" s="54" t="s">
        <v>2192</v>
      </c>
      <c r="C58" s="66" t="s">
        <v>2193</v>
      </c>
      <c r="D58" s="66" t="s">
        <v>2194</v>
      </c>
      <c r="E58" s="46" t="str">
        <f>IFERROR(__xludf.DUMMYFUNCTION("VLOOKUP(C58,IMPORTRANGE(""https://docs.google.com/spreadsheets/d/1SQRLoxD_LXfQNfB7NOxI5jlxbkDlcNPwla_2gSTySP8/edit#gid=274515254"",""Home!$C$2:$D$158""),2,0)"),"説明")</f>
        <v>説明</v>
      </c>
    </row>
    <row r="59">
      <c r="A59" s="54" t="s">
        <v>2195</v>
      </c>
      <c r="C59" s="66" t="s">
        <v>2196</v>
      </c>
      <c r="D59" s="66" t="s">
        <v>2197</v>
      </c>
      <c r="E59" s="46" t="str">
        <f>IFERROR(__xludf.DUMMYFUNCTION("VLOOKUP(C59,IMPORTRANGE(""https://docs.google.com/spreadsheets/d/1SQRLoxD_LXfQNfB7NOxI5jlxbkDlcNPwla_2gSTySP8/edit#gid=274515254"",""Home!$C$2:$D$158""),2,0)"),"アセットを選択")</f>
        <v>アセットを選択</v>
      </c>
    </row>
    <row r="60">
      <c r="A60" s="108" t="str">
        <f>IFERROR(__xludf.DUMMYFUNCTION("JOIN(""-"",""app"",SPLIT(LOWER( C60),"" ""))"),"app-select-owner")</f>
        <v>app-select-owner</v>
      </c>
      <c r="B60" s="103" t="s">
        <v>2198</v>
      </c>
      <c r="C60" s="104" t="s">
        <v>2102</v>
      </c>
      <c r="D60" s="104" t="s">
        <v>2103</v>
      </c>
      <c r="E60" s="46" t="str">
        <f>IFERROR(__xludf.DUMMYFUNCTION("VLOOKUP(C60,IMPORTRANGE(""https://docs.google.com/spreadsheets/d/1SQRLoxD_LXfQNfB7NOxI5jlxbkDlcNPwla_2gSTySP8/edit#gid=274515254"",""Home!$C$2:$D$158""),2,0)"),"所有者を選択")</f>
        <v>所有者を選択</v>
      </c>
    </row>
    <row r="61">
      <c r="A61" s="54" t="s">
        <v>2199</v>
      </c>
      <c r="B61" s="8" t="s">
        <v>2200</v>
      </c>
      <c r="C61" s="66" t="s">
        <v>2201</v>
      </c>
      <c r="D61" s="66" t="s">
        <v>2202</v>
      </c>
      <c r="E61" s="46" t="str">
        <f>IFERROR(__xludf.DUMMYFUNCTION("VLOOKUP(C61,IMPORTRANGE(""https://docs.google.com/spreadsheets/d/1SQRLoxD_LXfQNfB7NOxI5jlxbkDlcNPwla_2gSTySP8/edit#gid=274515254"",""Home!$C$2:$D$158""),2,0)"),"詳細設定")</f>
        <v>詳細設定</v>
      </c>
    </row>
    <row r="62">
      <c r="A62" s="54" t="s">
        <v>2203</v>
      </c>
      <c r="C62" s="66" t="s">
        <v>2204</v>
      </c>
      <c r="D62" s="66" t="s">
        <v>2205</v>
      </c>
      <c r="E62" s="46" t="str">
        <f>IFERROR(__xludf.DUMMYFUNCTION("VLOOKUP(C62,IMPORTRANGE(""https://docs.google.com/spreadsheets/d/1SQRLoxD_LXfQNfB7NOxI5jlxbkDlcNPwla_2gSTySP8/edit#gid=274515254"",""Home!$C$2:$D$158""),2,0)"),"変更を保存")</f>
        <v>変更を保存</v>
      </c>
    </row>
    <row r="63">
      <c r="A63" s="54" t="s">
        <v>2206</v>
      </c>
      <c r="C63" s="66" t="s">
        <v>2207</v>
      </c>
      <c r="D63" s="67" t="s">
        <v>2208</v>
      </c>
      <c r="E63" s="46" t="str">
        <f>IFERROR(__xludf.DUMMYFUNCTION("VLOOKUP(C63,IMPORTRANGE(""https://docs.google.com/spreadsheets/d/1SQRLoxD_LXfQNfB7NOxI5jlxbkDlcNPwla_2gSTySP8/edit#gid=274515254"",""Home!$C$2:$D$158""),2,0)"),"グループの色／アイコン")</f>
        <v>グループの色／アイコン</v>
      </c>
    </row>
    <row r="64">
      <c r="A64" s="54" t="s">
        <v>2209</v>
      </c>
      <c r="C64" s="66" t="s">
        <v>2210</v>
      </c>
      <c r="D64" s="66" t="s">
        <v>2211</v>
      </c>
      <c r="E64" s="46" t="str">
        <f>IFERROR(__xludf.DUMMYFUNCTION("VLOOKUP(C64,IMPORTRANGE(""https://docs.google.com/spreadsheets/d/1SQRLoxD_LXfQNfB7NOxI5jlxbkDlcNPwla_2gSTySP8/edit#gid=274515254"",""Home!$C$2:$D$158""),2,0)"),"または")</f>
        <v>または</v>
      </c>
    </row>
    <row r="65">
      <c r="A65" s="54" t="s">
        <v>2212</v>
      </c>
      <c r="C65" s="66" t="s">
        <v>2213</v>
      </c>
      <c r="D65" s="67" t="s">
        <v>2214</v>
      </c>
      <c r="E65" s="46" t="str">
        <f>IFERROR(__xludf.DUMMYFUNCTION("VLOOKUP(C65,IMPORTRANGE(""https://docs.google.com/spreadsheets/d/1SQRLoxD_LXfQNfB7NOxI5jlxbkDlcNPwla_2gSTySP8/edit#gid=274515254"",""Home!$C$2:$D$158""),2,0)"),"アイコンをアップロード")</f>
        <v>アイコンをアップロード</v>
      </c>
    </row>
    <row r="66">
      <c r="A66" s="108" t="str">
        <f>IFERROR(__xludf.DUMMYFUNCTION("JOIN(""-"",""app"",SPLIT(LOWER( C66),"" ""))"),"app-create-container-for")</f>
        <v>app-create-container-for</v>
      </c>
      <c r="B66" s="103" t="s">
        <v>2215</v>
      </c>
      <c r="C66" s="104" t="s">
        <v>2216</v>
      </c>
      <c r="D66" s="104" t="s">
        <v>2217</v>
      </c>
      <c r="E66" s="54" t="s">
        <v>2218</v>
      </c>
    </row>
    <row r="67">
      <c r="A67" s="108" t="str">
        <f>IFERROR(__xludf.DUMMYFUNCTION("JOIN(""-"",""app"",SPLIT(LOWER( C67),"" ""))"),"app-select-owner")</f>
        <v>app-select-owner</v>
      </c>
      <c r="C67" s="104" t="s">
        <v>2102</v>
      </c>
      <c r="D67" s="104" t="s">
        <v>2103</v>
      </c>
      <c r="E67" s="46" t="str">
        <f>IFERROR(__xludf.DUMMYFUNCTION("VLOOKUP(C67,IMPORTRANGE(""https://docs.google.com/spreadsheets/d/1SQRLoxD_LXfQNfB7NOxI5jlxbkDlcNPwla_2gSTySP8/edit#gid=274515254"",""Home!$C$2:$D$158""),2,0)"),"所有者を選択")</f>
        <v>所有者を選択</v>
      </c>
    </row>
    <row r="68">
      <c r="A68" s="102" t="str">
        <f>IFERROR(__xludf.DUMMYFUNCTION("JOIN(""-"",""app"",SPLIT(LOWER( C68),"" ""))"),"app-enter-tags")</f>
        <v>app-enter-tags</v>
      </c>
      <c r="C68" s="106" t="s">
        <v>2105</v>
      </c>
      <c r="D68" s="106" t="s">
        <v>2106</v>
      </c>
      <c r="E68" s="46" t="str">
        <f>IFERROR(__xludf.DUMMYFUNCTION("VLOOKUP(C68,IMPORTRANGE(""https://docs.google.com/spreadsheets/d/1SQRLoxD_LXfQNfB7NOxI5jlxbkDlcNPwla_2gSTySP8/edit#gid=274515254"",""Home!$C$2:$D$158""),2,0)"),"タグの入力")</f>
        <v>タグの入力</v>
      </c>
    </row>
    <row r="69">
      <c r="A69" s="54" t="s">
        <v>345</v>
      </c>
      <c r="B69" s="20" t="s">
        <v>2219</v>
      </c>
      <c r="C69" s="66" t="s">
        <v>346</v>
      </c>
      <c r="D69" s="66" t="s">
        <v>347</v>
      </c>
      <c r="E69" s="46" t="str">
        <f>IFERROR(__xludf.DUMMYFUNCTION("VLOOKUP(C69,IMPORTRANGE(""https://docs.google.com/spreadsheets/d/1SQRLoxD_LXfQNfB7NOxI5jlxbkDlcNPwla_2gSTySP8/edit#gid=274515254"",""Home!$C$2:$D$158""),2,0)"),"タグ")</f>
        <v>タグ</v>
      </c>
    </row>
    <row r="70">
      <c r="A70" s="54" t="s">
        <v>2220</v>
      </c>
      <c r="C70" s="66" t="s">
        <v>2105</v>
      </c>
      <c r="D70" s="66" t="s">
        <v>2106</v>
      </c>
      <c r="E70" s="46" t="str">
        <f>IFERROR(__xludf.DUMMYFUNCTION("VLOOKUP(C70,IMPORTRANGE(""https://docs.google.com/spreadsheets/d/1SQRLoxD_LXfQNfB7NOxI5jlxbkDlcNPwla_2gSTySP8/edit#gid=274515254"",""Home!$C$2:$D$158""),2,0)"),"タグの入力")</f>
        <v>タグの入力</v>
      </c>
    </row>
    <row r="71">
      <c r="A71" s="102" t="str">
        <f>IFERROR(__xludf.DUMMYFUNCTION("JOIN(""-"",""app"",SPLIT(LOWER( C71),"" ""))"),"app-half-yearly")</f>
        <v>app-half-yearly</v>
      </c>
      <c r="C71" s="66" t="s">
        <v>2221</v>
      </c>
      <c r="D71" s="66" t="s">
        <v>2222</v>
      </c>
      <c r="E71" s="46" t="str">
        <f>IFERROR(__xludf.DUMMYFUNCTION("VLOOKUP(C71,IMPORTRANGE(""https://docs.google.com/spreadsheets/d/1SQRLoxD_LXfQNfB7NOxI5jlxbkDlcNPwla_2gSTySP8/edit#gid=274515254"",""Home!$C$2:$D$158""),2,0)"),"半年毎")</f>
        <v>半年毎</v>
      </c>
    </row>
    <row r="72">
      <c r="A72" s="102" t="str">
        <f>IFERROR(__xludf.DUMMYFUNCTION("JOIN(""-"",""app"",SPLIT(LOWER( C72),"" ""))"),"app-preventative")</f>
        <v>app-preventative</v>
      </c>
      <c r="C72" s="66" t="s">
        <v>2223</v>
      </c>
      <c r="D72" s="66" t="s">
        <v>2224</v>
      </c>
      <c r="E72" s="46" t="str">
        <f>IFERROR(__xludf.DUMMYFUNCTION("VLOOKUP(C72,IMPORTRANGE(""https://docs.google.com/spreadsheets/d/1SQRLoxD_LXfQNfB7NOxI5jlxbkDlcNPwla_2gSTySP8/edit#gid=274515254"",""Home!$C$2:$D$158""),2,0)"),"予防的")</f>
        <v>予防的</v>
      </c>
    </row>
    <row r="73">
      <c r="A73" s="102" t="str">
        <f>IFERROR(__xludf.DUMMYFUNCTION("JOIN(""-"",""app"",SPLIT(LOWER( C73),"" ""))"),"app-evacuation-line")</f>
        <v>app-evacuation-line</v>
      </c>
      <c r="C73" s="66" t="s">
        <v>2225</v>
      </c>
      <c r="D73" s="26" t="s">
        <v>2226</v>
      </c>
      <c r="E73" s="46" t="str">
        <f>IFERROR(__xludf.DUMMYFUNCTION("VLOOKUP(C73,IMPORTRANGE(""https://docs.google.com/spreadsheets/d/1SQRLoxD_LXfQNfB7NOxI5jlxbkDlcNPwla_2gSTySP8/edit#gid=274515254"",""Home!$C$2:$D$158""),2,0)"),"排気ライン")</f>
        <v>排気ライン</v>
      </c>
    </row>
    <row r="74">
      <c r="A74" s="102" t="str">
        <f>IFERROR(__xludf.DUMMYFUNCTION("JOIN(""-"",""app"",SPLIT(LOWER( C74),"" ""))"),"app-thermography")</f>
        <v>app-thermography</v>
      </c>
      <c r="C74" s="66" t="s">
        <v>60</v>
      </c>
      <c r="D74" s="66" t="s">
        <v>61</v>
      </c>
      <c r="E74" s="46" t="str">
        <f>IFERROR(__xludf.DUMMYFUNCTION("VLOOKUP(C74,IMPORTRANGE(""https://docs.google.com/spreadsheets/d/1SQRLoxD_LXfQNfB7NOxI5jlxbkDlcNPwla_2gSTySP8/edit#gid=274515254"",""Home!$C$2:$D$158""),2,0)"),"サーモグラフィ")</f>
        <v>サーモグラフィ</v>
      </c>
    </row>
    <row r="75">
      <c r="A75" s="102" t="str">
        <f>IFERROR(__xludf.DUMMYFUNCTION("JOIN(""-"",""app"",SPLIT(LOWER( C75),"" ""))"),"app-check")</f>
        <v>app-check</v>
      </c>
      <c r="C75" s="66" t="s">
        <v>2227</v>
      </c>
      <c r="D75" s="66" t="s">
        <v>2228</v>
      </c>
      <c r="E75" s="46" t="str">
        <f>IFERROR(__xludf.DUMMYFUNCTION("VLOOKUP(C75,IMPORTRANGE(""https://docs.google.com/spreadsheets/d/1SQRLoxD_LXfQNfB7NOxI5jlxbkDlcNPwla_2gSTySP8/edit#gid=274515254"",""Home!$C$2:$D$158""),2,0)"),"確認")</f>
        <v>確認</v>
      </c>
    </row>
    <row r="76">
      <c r="A76" s="102" t="str">
        <f>IFERROR(__xludf.DUMMYFUNCTION("JOIN(""-"",""app"",SPLIT(LOWER( C76),"" ""))"),"app-topography")</f>
        <v>app-topography</v>
      </c>
      <c r="C76" s="66" t="s">
        <v>2229</v>
      </c>
      <c r="D76" s="66" t="s">
        <v>2230</v>
      </c>
      <c r="E76" s="46" t="str">
        <f>IFERROR(__xludf.DUMMYFUNCTION("VLOOKUP(C76,IMPORTRANGE(""https://docs.google.com/spreadsheets/d/1SQRLoxD_LXfQNfB7NOxI5jlxbkDlcNPwla_2gSTySP8/edit#gid=274515254"",""Home!$C$2:$D$158""),2,0)"),"地形")</f>
        <v>地形</v>
      </c>
    </row>
    <row r="77">
      <c r="A77" s="102" t="str">
        <f>IFERROR(__xludf.DUMMYFUNCTION("JOIN(""-"",""app"",SPLIT(LOWER( C77),"" ""))"),"app-design")</f>
        <v>app-design</v>
      </c>
      <c r="C77" s="66" t="s">
        <v>2231</v>
      </c>
      <c r="D77" s="66" t="s">
        <v>2232</v>
      </c>
      <c r="E77" s="46" t="str">
        <f>IFERROR(__xludf.DUMMYFUNCTION("VLOOKUP(C77,IMPORTRANGE(""https://docs.google.com/spreadsheets/d/1SQRLoxD_LXfQNfB7NOxI5jlxbkDlcNPwla_2gSTySP8/edit#gid=274515254"",""Home!$C$2:$D$158""),2,0)"),"設計")</f>
        <v>設計</v>
      </c>
    </row>
    <row r="78">
      <c r="A78" s="102" t="str">
        <f>IFERROR(__xludf.DUMMYFUNCTION("JOIN(""-"",""app"",SPLIT(LOWER( C78),"" ""))"),"app-barcode")</f>
        <v>app-barcode</v>
      </c>
      <c r="C78" s="66" t="s">
        <v>2233</v>
      </c>
      <c r="D78" s="67" t="s">
        <v>2234</v>
      </c>
      <c r="E78" s="46" t="str">
        <f>IFERROR(__xludf.DUMMYFUNCTION("VLOOKUP(C78,IMPORTRANGE(""https://docs.google.com/spreadsheets/d/1SQRLoxD_LXfQNfB7NOxI5jlxbkDlcNPwla_2gSTySP8/edit#gid=274515254"",""Home!$C$2:$D$158""),2,0)"),"バーコード")</f>
        <v>バーコード</v>
      </c>
    </row>
    <row r="79">
      <c r="A79" s="102" t="str">
        <f>IFERROR(__xludf.DUMMYFUNCTION("JOIN(""-"",""app"",SPLIT(LOWER( C79),"" ""))"),"app-utility")</f>
        <v>app-utility</v>
      </c>
      <c r="C79" s="66" t="s">
        <v>2235</v>
      </c>
      <c r="D79" s="66" t="s">
        <v>2236</v>
      </c>
      <c r="E79" s="46" t="str">
        <f>IFERROR(__xludf.DUMMYFUNCTION("VLOOKUP(C79,IMPORTRANGE(""https://docs.google.com/spreadsheets/d/1SQRLoxD_LXfQNfB7NOxI5jlxbkDlcNPwla_2gSTySP8/edit#gid=274515254"",""Home!$C$2:$D$158""),2,0)"),"電力設備")</f>
        <v>電力設備</v>
      </c>
    </row>
    <row r="80">
      <c r="A80" s="102" t="str">
        <f>IFERROR(__xludf.DUMMYFUNCTION("JOIN(""-"",""app"",SPLIT(LOWER( C80),"" ""))"),"app-rooftop")</f>
        <v>app-rooftop</v>
      </c>
      <c r="C80" s="66" t="s">
        <v>2237</v>
      </c>
      <c r="D80" s="66" t="s">
        <v>2238</v>
      </c>
      <c r="E80" s="46" t="str">
        <f>IFERROR(__xludf.DUMMYFUNCTION("VLOOKUP(C80,IMPORTRANGE(""https://docs.google.com/spreadsheets/d/1SQRLoxD_LXfQNfB7NOxI5jlxbkDlcNPwla_2gSTySP8/edit#gid=274515254"",""Home!$C$2:$D$158""),2,0)"),"屋上")</f>
        <v>屋上</v>
      </c>
    </row>
    <row r="81">
      <c r="A81" s="102" t="str">
        <f>IFERROR(__xludf.DUMMYFUNCTION("JOIN(""-"",""app"",SPLIT(LOWER( C81),"" ""))"),"app-corrective")</f>
        <v>app-corrective</v>
      </c>
      <c r="C81" s="66" t="s">
        <v>2239</v>
      </c>
      <c r="D81" s="66" t="s">
        <v>2240</v>
      </c>
      <c r="E81" s="46" t="str">
        <f>IFERROR(__xludf.DUMMYFUNCTION("VLOOKUP(C81,IMPORTRANGE(""https://docs.google.com/spreadsheets/d/1SQRLoxD_LXfQNfB7NOxI5jlxbkDlcNPwla_2gSTySP8/edit#gid=274515254"",""Home!$C$2:$D$158""),2,0)"),"修正")</f>
        <v>修正</v>
      </c>
    </row>
    <row r="82">
      <c r="A82" s="102" t="str">
        <f>IFERROR(__xludf.DUMMYFUNCTION("JOIN(""-"",""app"",SPLIT(LOWER( C82),"" ""))"),"app-vault")</f>
        <v>app-vault</v>
      </c>
      <c r="C82" s="66" t="s">
        <v>985</v>
      </c>
      <c r="D82" s="66" t="s">
        <v>985</v>
      </c>
      <c r="E82" s="46" t="str">
        <f>IFERROR(__xludf.DUMMYFUNCTION("VLOOKUP(C82,IMPORTRANGE(""https://docs.google.com/spreadsheets/d/1SQRLoxD_LXfQNfB7NOxI5jlxbkDlcNPwla_2gSTySP8/edit#gid=274515254"",""Home!$C$2:$D$158""),2,0)"),"Vault / ボールト")</f>
        <v>Vault / ボールト</v>
      </c>
    </row>
    <row r="83">
      <c r="A83" s="102" t="str">
        <f>IFERROR(__xludf.DUMMYFUNCTION("JOIN(""-"",""app"",SPLIT(LOWER( C83),"" ""))"),"app-configuration")</f>
        <v>app-configuration</v>
      </c>
      <c r="C83" s="66" t="s">
        <v>2241</v>
      </c>
      <c r="D83" s="66" t="s">
        <v>1072</v>
      </c>
      <c r="E83" s="46" t="str">
        <f>IFERROR(__xludf.DUMMYFUNCTION("VLOOKUP(C83,IMPORTRANGE(""https://docs.google.com/spreadsheets/d/1SQRLoxD_LXfQNfB7NOxI5jlxbkDlcNPwla_2gSTySP8/edit#gid=274515254"",""Home!$C$2:$D$158""),2,0)"),"構成")</f>
        <v>構成</v>
      </c>
    </row>
    <row r="84">
      <c r="A84" s="102" t="str">
        <f>IFERROR(__xludf.DUMMYFUNCTION("JOIN(""-"",""app"",SPLIT(LOWER( C84),"" ""))"),"app-fortnightly")</f>
        <v>app-fortnightly</v>
      </c>
      <c r="C84" s="66" t="s">
        <v>2242</v>
      </c>
      <c r="D84" s="66" t="s">
        <v>2243</v>
      </c>
      <c r="E84" s="46" t="str">
        <f>IFERROR(__xludf.DUMMYFUNCTION("VLOOKUP(C84,IMPORTRANGE(""https://docs.google.com/spreadsheets/d/1SQRLoxD_LXfQNfB7NOxI5jlxbkDlcNPwla_2gSTySP8/edit#gid=274515254"",""Home!$C$2:$D$158""),2,0)"),"隔週")</f>
        <v>隔週</v>
      </c>
    </row>
    <row r="85">
      <c r="A85" s="102" t="str">
        <f>IFERROR(__xludf.DUMMYFUNCTION("JOIN(""-"",""app"",SPLIT(LOWER( C85),"" ""))"),"app-site-selection")</f>
        <v>app-site-selection</v>
      </c>
      <c r="C85" s="66" t="s">
        <v>2244</v>
      </c>
      <c r="D85" s="66" t="s">
        <v>2245</v>
      </c>
      <c r="E85" s="46" t="str">
        <f>IFERROR(__xludf.DUMMYFUNCTION("VLOOKUP(C85,IMPORTRANGE(""https://docs.google.com/spreadsheets/d/1SQRLoxD_LXfQNfB7NOxI5jlxbkDlcNPwla_2gSTySP8/edit#gid=274515254"",""Home!$C$2:$D$158""),2,0)"),"現場選択")</f>
        <v>現場選択</v>
      </c>
    </row>
    <row r="86">
      <c r="A86" s="102" t="str">
        <f>IFERROR(__xludf.DUMMYFUNCTION("JOIN(""-"",""app"",SPLIT(LOWER( C86),"" ""))"),"app-development")</f>
        <v>app-development</v>
      </c>
      <c r="C86" s="66" t="s">
        <v>2246</v>
      </c>
      <c r="D86" s="66" t="s">
        <v>2247</v>
      </c>
      <c r="E86" s="46" t="str">
        <f>IFERROR(__xludf.DUMMYFUNCTION("VLOOKUP(C86,IMPORTRANGE(""https://docs.google.com/spreadsheets/d/1SQRLoxD_LXfQNfB7NOxI5jlxbkDlcNPwla_2gSTySP8/edit#gid=274515254"",""Home!$C$2:$D$158""),2,0)"),"開発")</f>
        <v>開発</v>
      </c>
    </row>
    <row r="87">
      <c r="A87" s="102" t="str">
        <f>IFERROR(__xludf.DUMMYFUNCTION("JOIN(""-"",""app"",SPLIT(LOWER( C87),"" ""))"),"app-general")</f>
        <v>app-general</v>
      </c>
      <c r="C87" s="66" t="s">
        <v>2248</v>
      </c>
      <c r="D87" s="66" t="s">
        <v>2248</v>
      </c>
      <c r="E87" s="46" t="str">
        <f>IFERROR(__xludf.DUMMYFUNCTION("VLOOKUP(C87,IMPORTRANGE(""https://docs.google.com/spreadsheets/d/1SQRLoxD_LXfQNfB7NOxI5jlxbkDlcNPwla_2gSTySP8/edit#gid=274515254"",""Home!$C$2:$D$158""),2,0)"),"一般")</f>
        <v>一般</v>
      </c>
    </row>
    <row r="88">
      <c r="A88" s="102" t="str">
        <f>IFERROR(__xludf.DUMMYFUNCTION("JOIN(""-"",""app"",SPLIT(LOWER( C88),"" ""))"),"app-monthly")</f>
        <v>app-monthly</v>
      </c>
      <c r="C88" s="66" t="s">
        <v>592</v>
      </c>
      <c r="D88" s="66" t="s">
        <v>593</v>
      </c>
      <c r="E88" s="46" t="str">
        <f>IFERROR(__xludf.DUMMYFUNCTION("VLOOKUP(C88,IMPORTRANGE(""https://docs.google.com/spreadsheets/d/1SQRLoxD_LXfQNfB7NOxI5jlxbkDlcNPwla_2gSTySP8/edit#gid=274515254"",""Home!$C$2:$D$158""),2,0)"),"毎月")</f>
        <v>毎月</v>
      </c>
    </row>
    <row r="89">
      <c r="A89" s="102" t="str">
        <f>IFERROR(__xludf.DUMMYFUNCTION("JOIN(""-"",""app"",SPLIT(LOWER( C89),"" ""))"),"app-finance")</f>
        <v>app-finance</v>
      </c>
      <c r="C89" s="66" t="s">
        <v>2249</v>
      </c>
      <c r="D89" s="66" t="s">
        <v>2250</v>
      </c>
      <c r="E89" s="46" t="str">
        <f>IFERROR(__xludf.DUMMYFUNCTION("VLOOKUP(C89,IMPORTRANGE(""https://docs.google.com/spreadsheets/d/1SQRLoxD_LXfQNfB7NOxI5jlxbkDlcNPwla_2gSTySP8/edit#gid=274515254"",""Home!$C$2:$D$158""),2,0)"),"ファイナンス")</f>
        <v>ファイナンス</v>
      </c>
    </row>
    <row r="90">
      <c r="A90" s="102" t="str">
        <f>IFERROR(__xludf.DUMMYFUNCTION("JOIN(""-"",""app"",SPLIT(LOWER( C90),"" ""))"),"app-row-obtained-(row-right-of-way)")</f>
        <v>app-row-obtained-(row-right-of-way)</v>
      </c>
      <c r="C90" s="66" t="s">
        <v>2251</v>
      </c>
      <c r="D90" s="66" t="s">
        <v>2252</v>
      </c>
      <c r="E90" s="46" t="str">
        <f>IFERROR(__xludf.DUMMYFUNCTION("VLOOKUP(C90,IMPORTRANGE(""https://docs.google.com/spreadsheets/d/1SQRLoxD_LXfQNfB7NOxI5jlxbkDlcNPwla_2gSTySP8/edit#gid=274515254"",""Home!$C$2:$D$158""),2,0)"),"取得通行権（ROW）")</f>
        <v>取得通行権（ROW）</v>
      </c>
    </row>
    <row r="91">
      <c r="A91" s="102" t="str">
        <f>IFERROR(__xludf.DUMMYFUNCTION("JOIN(""-"",""app"",SPLIT(LOWER( C91),"" ""))"),"app-quality")</f>
        <v>app-quality</v>
      </c>
      <c r="C91" s="66" t="s">
        <v>2253</v>
      </c>
      <c r="D91" s="66" t="s">
        <v>2254</v>
      </c>
      <c r="E91" s="46" t="str">
        <f>IFERROR(__xludf.DUMMYFUNCTION("VLOOKUP(C91,IMPORTRANGE(""https://docs.google.com/spreadsheets/d/1SQRLoxD_LXfQNfB7NOxI5jlxbkDlcNPwla_2gSTySP8/edit#gid=274515254"",""Home!$C$2:$D$158""),2,0)"),"品質")</f>
        <v>品質</v>
      </c>
    </row>
    <row r="92">
      <c r="A92" s="102" t="str">
        <f>IFERROR(__xludf.DUMMYFUNCTION("JOIN(""-"",""app"",SPLIT(LOWER( C92),"" ""))"),"app-mechanical")</f>
        <v>app-mechanical</v>
      </c>
      <c r="C92" s="66" t="s">
        <v>2255</v>
      </c>
      <c r="D92" s="67" t="s">
        <v>2256</v>
      </c>
      <c r="E92" s="46" t="str">
        <f>IFERROR(__xludf.DUMMYFUNCTION("VLOOKUP(C92,IMPORTRANGE(""https://docs.google.com/spreadsheets/d/1SQRLoxD_LXfQNfB7NOxI5jlxbkDlcNPwla_2gSTySP8/edit#gid=274515254"",""Home!$C$2:$D$158""),2,0)"),"機械")</f>
        <v>機械</v>
      </c>
    </row>
    <row r="93">
      <c r="A93" s="102" t="str">
        <f>IFERROR(__xludf.DUMMYFUNCTION("JOIN(""-"",""app"",SPLIT(LOWER( C93),"" ""))"),"app-good-for-construction")</f>
        <v>app-good-for-construction</v>
      </c>
      <c r="C93" s="66" t="s">
        <v>2257</v>
      </c>
      <c r="D93" s="66" t="s">
        <v>2258</v>
      </c>
      <c r="E93" s="46" t="str">
        <f>IFERROR(__xludf.DUMMYFUNCTION("VLOOKUP(C93,IMPORTRANGE(""https://docs.google.com/spreadsheets/d/1SQRLoxD_LXfQNfB7NOxI5jlxbkDlcNPwla_2gSTySP8/edit#gid=274515254"",""Home!$C$2:$D$158""),2,0)"),"建設に適切")</f>
        <v>建設に適切</v>
      </c>
    </row>
    <row r="94">
      <c r="A94" s="102" t="str">
        <f>IFERROR(__xludf.DUMMYFUNCTION("JOIN(""-"",""app"",SPLIT(LOWER( C94),"" ""))"),"app-warranty")</f>
        <v>app-warranty</v>
      </c>
      <c r="C94" s="66" t="s">
        <v>2259</v>
      </c>
      <c r="D94" s="66" t="s">
        <v>2260</v>
      </c>
      <c r="E94" s="46" t="str">
        <f>IFERROR(__xludf.DUMMYFUNCTION("VLOOKUP(C94,IMPORTRANGE(""https://docs.google.com/spreadsheets/d/1SQRLoxD_LXfQNfB7NOxI5jlxbkDlcNPwla_2gSTySP8/edit#gid=274515254"",""Home!$C$2:$D$158""),2,0)"),"保証")</f>
        <v>保証</v>
      </c>
    </row>
    <row r="95">
      <c r="A95" s="102" t="str">
        <f>IFERROR(__xludf.DUMMYFUNCTION("JOIN(""-"",""app"",SPLIT(LOWER( C95),"" ""))"),"app-daily")</f>
        <v>app-daily</v>
      </c>
      <c r="C95" s="66" t="s">
        <v>573</v>
      </c>
      <c r="D95" s="66" t="s">
        <v>574</v>
      </c>
      <c r="E95" s="46" t="str">
        <f>IFERROR(__xludf.DUMMYFUNCTION("VLOOKUP(C95,IMPORTRANGE(""https://docs.google.com/spreadsheets/d/1SQRLoxD_LXfQNfB7NOxI5jlxbkDlcNPwla_2gSTySP8/edit#gid=274515254"",""Home!$C$2:$D$158""),2,0)"),"毎日")</f>
        <v>毎日</v>
      </c>
    </row>
    <row r="96">
      <c r="A96" s="102" t="str">
        <f>IFERROR(__xludf.DUMMYFUNCTION("JOIN(""-"",""app"",SPLIT(LOWER( C96),"" ""))"),"app-broken")</f>
        <v>app-broken</v>
      </c>
      <c r="C96" s="66" t="s">
        <v>2261</v>
      </c>
      <c r="D96" s="66" t="s">
        <v>2262</v>
      </c>
      <c r="E96" s="46" t="str">
        <f>IFERROR(__xludf.DUMMYFUNCTION("VLOOKUP(C96,IMPORTRANGE(""https://docs.google.com/spreadsheets/d/1SQRLoxD_LXfQNfB7NOxI5jlxbkDlcNPwla_2gSTySP8/edit#gid=274515254"",""Home!$C$2:$D$158""),2,0)"),"破損")</f>
        <v>破損</v>
      </c>
    </row>
    <row r="97">
      <c r="A97" s="102" t="str">
        <f>IFERROR(__xludf.DUMMYFUNCTION("JOIN(""-"",""app"",SPLIT(LOWER( C97),"" ""))"),"app-d&amp;e")</f>
        <v>app-d&amp;e</v>
      </c>
      <c r="C97" s="66" t="s">
        <v>2263</v>
      </c>
      <c r="D97" s="66" t="s">
        <v>2264</v>
      </c>
      <c r="E97" s="46" t="str">
        <f>IFERROR(__xludf.DUMMYFUNCTION("VLOOKUP(C97,IMPORTRANGE(""https://docs.google.com/spreadsheets/d/1SQRLoxD_LXfQNfB7NOxI5jlxbkDlcNPwla_2gSTySP8/edit#gid=274515254"",""Home!$C$2:$D$158""),2,0)"),"D&amp;E")</f>
        <v>D&amp;E</v>
      </c>
    </row>
    <row r="98">
      <c r="A98" s="102" t="str">
        <f>IFERROR(__xludf.DUMMYFUNCTION("JOIN(""-"",""app"",SPLIT(LOWER( C98),"" ""))"),"app-quarterly")</f>
        <v>app-quarterly</v>
      </c>
      <c r="C98" s="66" t="s">
        <v>2265</v>
      </c>
      <c r="D98" s="66" t="s">
        <v>2266</v>
      </c>
      <c r="E98" s="46" t="str">
        <f>IFERROR(__xludf.DUMMYFUNCTION("VLOOKUP(C98,IMPORTRANGE(""https://docs.google.com/spreadsheets/d/1SQRLoxD_LXfQNfB7NOxI5jlxbkDlcNPwla_2gSTySP8/edit#gid=274515254"",""Home!$C$2:$D$158""),2,0)"),"四半期毎")</f>
        <v>四半期毎</v>
      </c>
    </row>
    <row r="99">
      <c r="A99" s="102" t="str">
        <f>IFERROR(__xludf.DUMMYFUNCTION("JOIN(""-"",""app"",SPLIT(LOWER( C99),"" ""))"),"app-miscellaneous")</f>
        <v>app-miscellaneous</v>
      </c>
      <c r="C99" s="66" t="s">
        <v>2267</v>
      </c>
      <c r="D99" s="67" t="s">
        <v>2268</v>
      </c>
      <c r="E99" s="46" t="str">
        <f>IFERROR(__xludf.DUMMYFUNCTION("VLOOKUP(C99,IMPORTRANGE(""https://docs.google.com/spreadsheets/d/1SQRLoxD_LXfQNfB7NOxI5jlxbkDlcNPwla_2gSTySP8/edit#gid=274515254"",""Home!$C$2:$D$158""),2,0)"),"備考")</f>
        <v>備考</v>
      </c>
    </row>
    <row r="100">
      <c r="A100" s="102" t="str">
        <f>IFERROR(__xludf.DUMMYFUNCTION("JOIN(""-"",""app"",SPLIT(LOWER( C100),"" ""))"),"app-construction")</f>
        <v>app-construction</v>
      </c>
      <c r="C100" s="66" t="s">
        <v>2071</v>
      </c>
      <c r="D100" s="66" t="s">
        <v>2072</v>
      </c>
      <c r="E100" s="46" t="str">
        <f>IFERROR(__xludf.DUMMYFUNCTION("VLOOKUP(C100,IMPORTRANGE(""https://docs.google.com/spreadsheets/d/1SQRLoxD_LXfQNfB7NOxI5jlxbkDlcNPwla_2gSTySP8/edit#gid=274515254"",""Home!$C$2:$D$158""),2,0)"),"建設モニタリング")</f>
        <v>建設モニタリング</v>
      </c>
    </row>
    <row r="101">
      <c r="A101" s="102" t="str">
        <f>IFERROR(__xludf.DUMMYFUNCTION("JOIN(""-"",""app"",SPLIT(LOWER( C101),"" ""))"),"app-electrical")</f>
        <v>app-electrical</v>
      </c>
      <c r="C101" s="66" t="s">
        <v>2269</v>
      </c>
      <c r="D101" s="67" t="s">
        <v>2270</v>
      </c>
      <c r="E101" s="46" t="str">
        <f>IFERROR(__xludf.DUMMYFUNCTION("VLOOKUP(C101,IMPORTRANGE(""https://docs.google.com/spreadsheets/d/1SQRLoxD_LXfQNfB7NOxI5jlxbkDlcNPwla_2gSTySP8/edit#gid=274515254"",""Home!$C$2:$D$158""),2,0)"),"電気")</f>
        <v>電気</v>
      </c>
    </row>
    <row r="102">
      <c r="A102" s="102" t="str">
        <f>IFERROR(__xludf.DUMMYFUNCTION("JOIN(""-"",""app"",SPLIT(LOWER( C102),"" ""))"),"app-nevada")</f>
        <v>app-nevada</v>
      </c>
      <c r="C102" s="66" t="s">
        <v>2271</v>
      </c>
      <c r="D102" s="66" t="s">
        <v>2272</v>
      </c>
      <c r="E102" s="46" t="str">
        <f>IFERROR(__xludf.DUMMYFUNCTION("VLOOKUP(C102,IMPORTRANGE(""https://docs.google.com/spreadsheets/d/1SQRLoxD_LXfQNfB7NOxI5jlxbkDlcNPwla_2gSTySP8/edit#gid=274515254"",""Home!$C$2:$D$158""),2,0)"),"ネバダ")</f>
        <v>ネバダ</v>
      </c>
    </row>
    <row r="103">
      <c r="A103" s="102" t="str">
        <f>IFERROR(__xludf.DUMMYFUNCTION("JOIN(""-"",""app"",SPLIT(LOWER( C103),"" ""))"),"app-fixed-tilt")</f>
        <v>app-fixed-tilt</v>
      </c>
      <c r="C103" s="66" t="s">
        <v>2273</v>
      </c>
      <c r="D103" s="66" t="s">
        <v>2274</v>
      </c>
      <c r="E103" s="46" t="str">
        <f>IFERROR(__xludf.DUMMYFUNCTION("VLOOKUP(C103,IMPORTRANGE(""https://docs.google.com/spreadsheets/d/1SQRLoxD_LXfQNfB7NOxI5jlxbkDlcNPwla_2gSTySP8/edit#gid=274515254"",""Home!$C$2:$D$158""),2,0)"),"固定傾斜")</f>
        <v>固定傾斜</v>
      </c>
    </row>
    <row r="104">
      <c r="A104" s="102" t="str">
        <f>IFERROR(__xludf.DUMMYFUNCTION("JOIN(""-"",""app"",SPLIT(LOWER( C104),"" ""))"),"app-inverter")</f>
        <v>app-inverter</v>
      </c>
      <c r="C104" s="66" t="s">
        <v>330</v>
      </c>
      <c r="D104" s="66" t="s">
        <v>331</v>
      </c>
      <c r="E104" s="46" t="str">
        <f>IFERROR(__xludf.DUMMYFUNCTION("VLOOKUP(C104,IMPORTRANGE(""https://docs.google.com/spreadsheets/d/1SQRLoxD_LXfQNfB7NOxI5jlxbkDlcNPwla_2gSTySP8/edit#gid=274515254"",""Home!$C$2:$D$158""),2,0)"),"インバータ")</f>
        <v>インバータ</v>
      </c>
    </row>
    <row r="105">
      <c r="A105" s="102" t="str">
        <f>IFERROR(__xludf.DUMMYFUNCTION("JOIN(""-"",""app"",SPLIT(LOWER( C105),"" ""))"),"app-gas-mains")</f>
        <v>app-gas-mains</v>
      </c>
      <c r="C105" s="66" t="s">
        <v>2275</v>
      </c>
      <c r="D105" s="66" t="s">
        <v>2276</v>
      </c>
      <c r="E105" s="46" t="str">
        <f>IFERROR(__xludf.DUMMYFUNCTION("VLOOKUP(C105,IMPORTRANGE(""https://docs.google.com/spreadsheets/d/1SQRLoxD_LXfQNfB7NOxI5jlxbkDlcNPwla_2gSTySP8/edit#gid=274515254"",""Home!$C$2:$D$158""),2,0)"),"ガス主管")</f>
        <v>ガス主管</v>
      </c>
    </row>
    <row r="106">
      <c r="A106" s="102" t="str">
        <f>IFERROR(__xludf.DUMMYFUNCTION("JOIN(""-"",""app"",SPLIT(LOWER( C106),"" ""))"),"app-structural")</f>
        <v>app-structural</v>
      </c>
      <c r="C106" s="66" t="s">
        <v>2277</v>
      </c>
      <c r="D106" s="66" t="s">
        <v>2278</v>
      </c>
      <c r="E106" s="46" t="str">
        <f>IFERROR(__xludf.DUMMYFUNCTION("VLOOKUP(C106,IMPORTRANGE(""https://docs.google.com/spreadsheets/d/1SQRLoxD_LXfQNfB7NOxI5jlxbkDlcNPwla_2gSTySP8/edit#gid=274515254"",""Home!$C$2:$D$158""),2,0)"),"構造的")</f>
        <v>構造的</v>
      </c>
    </row>
    <row r="107">
      <c r="A107" s="102" t="str">
        <f>IFERROR(__xludf.DUMMYFUNCTION("JOIN(""-"",""app"",SPLIT(LOWER( C107),"" ""))"),"app-yearly")</f>
        <v>app-yearly</v>
      </c>
      <c r="C107" s="66" t="s">
        <v>638</v>
      </c>
      <c r="D107" s="66" t="s">
        <v>639</v>
      </c>
      <c r="E107" s="46" t="str">
        <f>IFERROR(__xludf.DUMMYFUNCTION("VLOOKUP(C107,IMPORTRANGE(""https://docs.google.com/spreadsheets/d/1SQRLoxD_LXfQNfB7NOxI5jlxbkDlcNPwla_2gSTySP8/edit#gid=274515254"",""Home!$C$2:$D$158""),2,0)"),"毎年")</f>
        <v>毎年</v>
      </c>
    </row>
    <row r="108">
      <c r="A108" s="102" t="str">
        <f>IFERROR(__xludf.DUMMYFUNCTION("JOIN(""-"",""app"",SPLIT(LOWER( C108),"" ""))"),"app-civil")</f>
        <v>app-civil</v>
      </c>
      <c r="C108" s="66" t="s">
        <v>2279</v>
      </c>
      <c r="D108" s="66" t="s">
        <v>2279</v>
      </c>
      <c r="E108" s="46" t="str">
        <f>IFERROR(__xludf.DUMMYFUNCTION("VLOOKUP(C108,IMPORTRANGE(""https://docs.google.com/spreadsheets/d/1SQRLoxD_LXfQNfB7NOxI5jlxbkDlcNPwla_2gSTySP8/edit#gid=274515254"",""Home!$C$2:$D$158""),2,0)"),"土木")</f>
        <v>土木</v>
      </c>
    </row>
    <row r="109">
      <c r="A109" s="102" t="str">
        <f>IFERROR(__xludf.DUMMYFUNCTION("JOIN(""-"",""app"",SPLIT(LOWER( C109),"" ""))"),"app-manual")</f>
        <v>app-manual</v>
      </c>
      <c r="C109" s="66" t="s">
        <v>2280</v>
      </c>
      <c r="D109" s="66" t="s">
        <v>2280</v>
      </c>
      <c r="E109" s="46" t="str">
        <f>IFERROR(__xludf.DUMMYFUNCTION("VLOOKUP(C109,IMPORTRANGE(""https://docs.google.com/spreadsheets/d/1SQRLoxD_LXfQNfB7NOxI5jlxbkDlcNPwla_2gSTySP8/edit#gid=274515254"",""Home!$C$2:$D$158""),2,0)"),"マニュアル")</f>
        <v>マニュアル</v>
      </c>
    </row>
    <row r="110">
      <c r="A110" s="102" t="str">
        <f>IFERROR(__xludf.DUMMYFUNCTION("JOIN(""-"",""app"",SPLIT(LOWER( C110),"" ""))"),"app-module")</f>
        <v>app-module</v>
      </c>
      <c r="C110" s="66" t="s">
        <v>2281</v>
      </c>
      <c r="D110" s="67" t="s">
        <v>2282</v>
      </c>
      <c r="E110" s="46" t="str">
        <f>IFERROR(__xludf.DUMMYFUNCTION("VLOOKUP(C110,IMPORTRANGE(""https://docs.google.com/spreadsheets/d/1SQRLoxD_LXfQNfB7NOxI5jlxbkDlcNPwla_2gSTySP8/edit#gid=274515254"",""Home!$C$2:$D$158""),2,0)"),"モジュール")</f>
        <v>モジュール</v>
      </c>
    </row>
    <row r="111">
      <c r="A111" s="102" t="str">
        <f>IFERROR(__xludf.DUMMYFUNCTION("JOIN(""-"",""app"",SPLIT(LOWER( C111),"" ""))"),"app-feasibility-study")</f>
        <v>app-feasibility-study</v>
      </c>
      <c r="C111" s="66" t="s">
        <v>2283</v>
      </c>
      <c r="D111" s="66" t="s">
        <v>2284</v>
      </c>
      <c r="E111" s="46" t="str">
        <f>IFERROR(__xludf.DUMMYFUNCTION("VLOOKUP(C111,IMPORTRANGE(""https://docs.google.com/spreadsheets/d/1SQRLoxD_LXfQNfB7NOxI5jlxbkDlcNPwla_2gSTySP8/edit#gid=274515254"",""Home!$C$2:$D$158""),2,0)"),"フィジビリティスタディ")</f>
        <v>フィジビリティスタディ</v>
      </c>
    </row>
    <row r="112">
      <c r="A112" s="102" t="str">
        <f>IFERROR(__xludf.DUMMYFUNCTION("JOIN(""-"",""app"",SPLIT(LOWER( C112),"" ""))"),"app-module-replacement")</f>
        <v>app-module-replacement</v>
      </c>
      <c r="C112" s="66" t="s">
        <v>2285</v>
      </c>
      <c r="D112" s="66" t="s">
        <v>2286</v>
      </c>
      <c r="E112" s="46" t="str">
        <f>IFERROR(__xludf.DUMMYFUNCTION("VLOOKUP(C112,IMPORTRANGE(""https://docs.google.com/spreadsheets/d/1SQRLoxD_LXfQNfB7NOxI5jlxbkDlcNPwla_2gSTySP8/edit#gid=274515254"",""Home!$C$2:$D$158""),2,0)"),"モジュール交換")</f>
        <v>モジュール交換</v>
      </c>
    </row>
    <row r="113">
      <c r="A113" s="102" t="str">
        <f>IFERROR(__xludf.DUMMYFUNCTION("JOIN(""-"",""app"",SPLIT(LOWER( C113),"" ""))"),"app-string-issue")</f>
        <v>app-string-issue</v>
      </c>
      <c r="C113" s="66" t="s">
        <v>2287</v>
      </c>
      <c r="D113" s="67" t="s">
        <v>2288</v>
      </c>
      <c r="E113" s="46" t="str">
        <f>IFERROR(__xludf.DUMMYFUNCTION("VLOOKUP(C113,IMPORTRANGE(""https://docs.google.com/spreadsheets/d/1SQRLoxD_LXfQNfB7NOxI5jlxbkDlcNPwla_2gSTySP8/edit#gid=274515254"",""Home!$C$2:$D$158""),2,0)"),"ストリング不具合")</f>
        <v>ストリング不具合</v>
      </c>
    </row>
    <row r="114">
      <c r="A114" s="102" t="str">
        <f>IFERROR(__xludf.DUMMYFUNCTION("JOIN(""-"",""app"",SPLIT(LOWER( C114),"" ""))"),"app-tracker")</f>
        <v>app-tracker</v>
      </c>
      <c r="C114" s="66" t="s">
        <v>2289</v>
      </c>
      <c r="D114" s="66" t="s">
        <v>2289</v>
      </c>
      <c r="E114" s="46" t="str">
        <f>IFERROR(__xludf.DUMMYFUNCTION("VLOOKUP(C114,IMPORTRANGE(""https://docs.google.com/spreadsheets/d/1SQRLoxD_LXfQNfB7NOxI5jlxbkDlcNPwla_2gSTySP8/edit#gid=274515254"",""Home!$C$2:$D$158""),2,0)"),"追尾式")</f>
        <v>追尾式</v>
      </c>
    </row>
    <row r="115">
      <c r="A115" s="102" t="str">
        <f>IFERROR(__xludf.DUMMYFUNCTION("JOIN(""-"",""app"",SPLIT(LOWER( C115),"" ""))"),"app-field-inspection")</f>
        <v>app-field-inspection</v>
      </c>
      <c r="C115" s="66" t="s">
        <v>2290</v>
      </c>
      <c r="D115" s="67" t="s">
        <v>2291</v>
      </c>
      <c r="E115" s="46" t="str">
        <f>IFERROR(__xludf.DUMMYFUNCTION("VLOOKUP(C115,IMPORTRANGE(""https://docs.google.com/spreadsheets/d/1SQRLoxD_LXfQNfB7NOxI5jlxbkDlcNPwla_2gSTySP8/edit#gid=274515254"",""Home!$C$2:$D$158""),2,0)"),"現場監査")</f>
        <v>現場監査</v>
      </c>
    </row>
    <row r="116">
      <c r="A116" s="102" t="str">
        <f>IFERROR(__xludf.DUMMYFUNCTION("JOIN(""-"",""app"",SPLIT(LOWER( C116),"" ""))"),"app-weekly")</f>
        <v>app-weekly</v>
      </c>
      <c r="C116" s="66" t="s">
        <v>531</v>
      </c>
      <c r="D116" s="66" t="s">
        <v>532</v>
      </c>
      <c r="E116" s="46" t="str">
        <f>IFERROR(__xludf.DUMMYFUNCTION("VLOOKUP(C116,IMPORTRANGE(""https://docs.google.com/spreadsheets/d/1SQRLoxD_LXfQNfB7NOxI5jlxbkDlcNPwla_2gSTySP8/edit#gid=274515254"",""Home!$C$2:$D$158""),2,0)"),"毎週")</f>
        <v>毎週</v>
      </c>
    </row>
    <row r="117">
      <c r="A117" s="102" t="str">
        <f>IFERROR(__xludf.DUMMYFUNCTION("JOIN(""-"",""app"",SPLIT(LOWER( C117),"" ""))"),"app-hi-francisco")</f>
        <v>app-hi-francisco</v>
      </c>
      <c r="B117" s="8" t="s">
        <v>2292</v>
      </c>
      <c r="C117" s="66" t="s">
        <v>2293</v>
      </c>
      <c r="D117" s="66" t="s">
        <v>2294</v>
      </c>
      <c r="E117" s="46" t="str">
        <f>IFERROR(__xludf.DUMMYFUNCTION("VLOOKUP(C117,IMPORTRANGE(""https://docs.google.com/spreadsheets/d/1SQRLoxD_LXfQNfB7NOxI5jlxbkDlcNPwla_2gSTySP8/edit#gid=274515254"",""Home!$C$2:$D$158""),2,0)"),"こんにちは、フランシスコさん")</f>
        <v>こんにちは、フランシスコさん</v>
      </c>
    </row>
    <row r="118">
      <c r="A118" s="102" t="str">
        <f>IFERROR(__xludf.DUMMYFUNCTION("JOIN(""-"",""app"",SPLIT(LOWER( C118),"" ""))"),"app-ask-us-anyting,-or-share-your-feedback")</f>
        <v>app-ask-us-anyting,-or-share-your-feedback</v>
      </c>
      <c r="C118" s="66" t="s">
        <v>2295</v>
      </c>
      <c r="D118" s="66" t="s">
        <v>2296</v>
      </c>
      <c r="E118" s="46" t="str">
        <f>IFERROR(__xludf.DUMMYFUNCTION("VLOOKUP(C118,IMPORTRANGE(""https://docs.google.com/spreadsheets/d/1SQRLoxD_LXfQNfB7NOxI5jlxbkDlcNPwla_2gSTySP8/edit#gid=274515254"",""Home!$C$2:$D$158""),2,0)"),"質問またはフィードバック")</f>
        <v>質問またはフィードバック</v>
      </c>
    </row>
    <row r="119">
      <c r="A119" s="102" t="str">
        <f>IFERROR(__xludf.DUMMYFUNCTION("JOIN(""-"",""app"",SPLIT(LOWER( C119),"" ""))"),"app-start-a-conversation")</f>
        <v>app-start-a-conversation</v>
      </c>
      <c r="C119" s="66" t="s">
        <v>2297</v>
      </c>
      <c r="D119" s="66" t="s">
        <v>2298</v>
      </c>
      <c r="E119" s="46" t="str">
        <f>IFERROR(__xludf.DUMMYFUNCTION("VLOOKUP(C119,IMPORTRANGE(""https://docs.google.com/spreadsheets/d/1SQRLoxD_LXfQNfB7NOxI5jlxbkDlcNPwla_2gSTySP8/edit#gid=274515254"",""Home!$C$2:$D$158""),2,0)"),"会話を始める")</f>
        <v>会話を始める</v>
      </c>
    </row>
    <row r="120">
      <c r="A120" s="102" t="str">
        <f>IFERROR(__xludf.DUMMYFUNCTION("JOIN(""-"",""app"",SPLIT(LOWER( C120),"" ""))"),"app-we'll-be-back-online")</f>
        <v>app-we'll-be-back-online</v>
      </c>
      <c r="C120" s="66" t="s">
        <v>2299</v>
      </c>
      <c r="D120" s="66" t="s">
        <v>2300</v>
      </c>
      <c r="E120" s="46" t="str">
        <f>IFERROR(__xludf.DUMMYFUNCTION("VLOOKUP(C120,IMPORTRANGE(""https://docs.google.com/spreadsheets/d/1SQRLoxD_LXfQNfB7NOxI5jlxbkDlcNPwla_2gSTySP8/edit#gid=274515254"",""Home!$C$2:$D$158""),2,0)"),"オンラインにて")</f>
        <v>オンラインにて</v>
      </c>
    </row>
    <row r="121">
      <c r="A121" s="102" t="str">
        <f>IFERROR(__xludf.DUMMYFUNCTION("JOIN(""-"",""app"",SPLIT(LOWER( C121),"" ""))"),"app-monday")</f>
        <v>app-monday</v>
      </c>
      <c r="C121" s="66" t="s">
        <v>612</v>
      </c>
      <c r="D121" s="66" t="s">
        <v>613</v>
      </c>
      <c r="E121" s="46" t="str">
        <f>IFERROR(__xludf.DUMMYFUNCTION("VLOOKUP(C121,IMPORTRANGE(""https://docs.google.com/spreadsheets/d/1SQRLoxD_LXfQNfB7NOxI5jlxbkDlcNPwla_2gSTySP8/edit#gid=274515254"",""Home!$C$2:$D$158""),2,0)"),"月曜日に返信します")</f>
        <v>月曜日に返信します</v>
      </c>
    </row>
    <row r="122">
      <c r="A122" s="102" t="str">
        <f>IFERROR(__xludf.DUMMYFUNCTION("JOIN(""-"",""app"",SPLIT(LOWER( C122),"" ""))"),"app-send-us-a-message")</f>
        <v>app-send-us-a-message</v>
      </c>
      <c r="C122" s="66" t="s">
        <v>2301</v>
      </c>
      <c r="D122" s="67" t="s">
        <v>2302</v>
      </c>
      <c r="E122" s="46" t="str">
        <f>IFERROR(__xludf.DUMMYFUNCTION("VLOOKUP(C122,IMPORTRANGE(""https://docs.google.com/spreadsheets/d/1SQRLoxD_LXfQNfB7NOxI5jlxbkDlcNPwla_2gSTySP8/edit#gid=274515254"",""Home!$C$2:$D$158""),2,0)"),"メッセージ送信")</f>
        <v>メッセージ送信</v>
      </c>
    </row>
    <row r="123">
      <c r="A123" s="102" t="str">
        <f>IFERROR(__xludf.DUMMYFUNCTION("JOIN(""-"",""app"",SPLIT(LOWER( C123),"" ""))"),"app-see-all-your-conversations")</f>
        <v>app-see-all-your-conversations</v>
      </c>
      <c r="C123" s="66" t="s">
        <v>2303</v>
      </c>
      <c r="D123" s="66" t="s">
        <v>2304</v>
      </c>
      <c r="E123" s="46" t="str">
        <f>IFERROR(__xludf.DUMMYFUNCTION("VLOOKUP(C123,IMPORTRANGE(""https://docs.google.com/spreadsheets/d/1SQRLoxD_LXfQNfB7NOxI5jlxbkDlcNPwla_2gSTySP8/edit#gid=274515254"",""Home!$C$2:$D$158""),2,0)"),"すべての会話を見る")</f>
        <v>すべての会話を見る</v>
      </c>
    </row>
    <row r="124">
      <c r="A124" s="102" t="str">
        <f>IFERROR(__xludf.DUMMYFUNCTION("JOIN(""-"",""app"",SPLIT(LOWER( C124),"" ""))"),"app-find-your-answer-now")</f>
        <v>app-find-your-answer-now</v>
      </c>
      <c r="C124" s="66" t="s">
        <v>2305</v>
      </c>
      <c r="D124" s="66" t="s">
        <v>2306</v>
      </c>
      <c r="E124" s="46" t="str">
        <f>IFERROR(__xludf.DUMMYFUNCTION("VLOOKUP(C124,IMPORTRANGE(""https://docs.google.com/spreadsheets/d/1SQRLoxD_LXfQNfB7NOxI5jlxbkDlcNPwla_2gSTySP8/edit#gid=274515254"",""Home!$C$2:$D$158""),2,0)"),"自分で回答を探す")</f>
        <v>自分で回答を探す</v>
      </c>
    </row>
    <row r="125">
      <c r="A125" s="102" t="str">
        <f>IFERROR(__xludf.DUMMYFUNCTION("JOIN(""-"",""app"",SPLIT(LOWER( C125),"" ""))"),"app-search-our-article")</f>
        <v>app-search-our-article</v>
      </c>
      <c r="B125" s="20" t="s">
        <v>2307</v>
      </c>
      <c r="C125" s="66" t="s">
        <v>2308</v>
      </c>
      <c r="D125" s="67" t="s">
        <v>2309</v>
      </c>
      <c r="E125" s="46" t="str">
        <f>IFERROR(__xludf.DUMMYFUNCTION("VLOOKUP(C125,IMPORTRANGE(""https://docs.google.com/spreadsheets/d/1SQRLoxD_LXfQNfB7NOxI5jlxbkDlcNPwla_2gSTySP8/edit#gid=274515254"",""Home!$C$2:$D$158""),2,0)"),"記事を検索")</f>
        <v>記事を検索</v>
      </c>
    </row>
    <row r="126">
      <c r="A126" s="102" t="str">
        <f>IFERROR(__xludf.DUMMYFUNCTION("JOIN(""-"",""app"",SPLIT(LOWER( C126),"" ""))"),"app-we-run-on-intercom")</f>
        <v>app-we-run-on-intercom</v>
      </c>
      <c r="C126" s="66" t="s">
        <v>2310</v>
      </c>
      <c r="D126" s="67" t="s">
        <v>2311</v>
      </c>
      <c r="E126" s="46" t="str">
        <f>IFERROR(__xludf.DUMMYFUNCTION("VLOOKUP(C126,IMPORTRANGE(""https://docs.google.com/spreadsheets/d/1SQRLoxD_LXfQNfB7NOxI5jlxbkDlcNPwla_2gSTySP8/edit#gid=274515254"",""Home!$C$2:$D$158""),2,0)"),"インターコムで実行")</f>
        <v>インターコムで実行</v>
      </c>
    </row>
    <row r="127">
      <c r="A127" s="102" t="str">
        <f>IFERROR(__xludf.DUMMYFUNCTION("JOIN(""-"",""app"",SPLIT(LOWER( C127),"" ""))"),"app-have-a-feature-request?")</f>
        <v>app-have-a-feature-request?</v>
      </c>
      <c r="C127" s="66" t="s">
        <v>2312</v>
      </c>
      <c r="D127" s="67" t="s">
        <v>2313</v>
      </c>
      <c r="E127" s="46" t="str">
        <f>IFERROR(__xludf.DUMMYFUNCTION("VLOOKUP(C127,IMPORTRANGE(""https://docs.google.com/spreadsheets/d/1SQRLoxD_LXfQNfB7NOxI5jlxbkDlcNPwla_2gSTySP8/edit#gid=274515254"",""Home!$C$2:$D$158""),2,0)"),"機能についてリクエストはありますか？")</f>
        <v>機能についてリクエストはありますか？</v>
      </c>
    </row>
    <row r="128">
      <c r="A128" s="102" t="str">
        <f>IFERROR(__xludf.DUMMYFUNCTION("JOIN(""-"",""app"",SPLIT(LOWER( C128),"" ""))"),"app-give-feedback")</f>
        <v>app-give-feedback</v>
      </c>
      <c r="C128" s="66" t="s">
        <v>2314</v>
      </c>
      <c r="D128" s="66" t="s">
        <v>2315</v>
      </c>
      <c r="E128" s="46" t="str">
        <f>IFERROR(__xludf.DUMMYFUNCTION("VLOOKUP(C128,IMPORTRANGE(""https://docs.google.com/spreadsheets/d/1SQRLoxD_LXfQNfB7NOxI5jlxbkDlcNPwla_2gSTySP8/edit#gid=274515254"",""Home!$C$2:$D$158""),2,0)"),"フィードバック送信")</f>
        <v>フィードバック送信</v>
      </c>
    </row>
    <row r="129">
      <c r="A129" s="102" t="str">
        <f>IFERROR(__xludf.DUMMYFUNCTION("JOIN(""-"",""app"",SPLIT(LOWER( C129),"" ""))"),"app-profile")</f>
        <v>app-profile</v>
      </c>
      <c r="B129" s="8" t="s">
        <v>2316</v>
      </c>
      <c r="C129" s="66" t="s">
        <v>1075</v>
      </c>
      <c r="D129" s="66" t="s">
        <v>1076</v>
      </c>
      <c r="E129" s="46" t="str">
        <f>IFERROR(__xludf.DUMMYFUNCTION("VLOOKUP(C129,IMPORTRANGE(""https://docs.google.com/spreadsheets/d/1SQRLoxD_LXfQNfB7NOxI5jlxbkDlcNPwla_2gSTySP8/edit#gid=274515254"",""Home!$C$2:$D$158""),2,0)"),"プロフィール")</f>
        <v>プロフィール</v>
      </c>
    </row>
    <row r="130">
      <c r="A130" s="102" t="str">
        <f>IFERROR(__xludf.DUMMYFUNCTION("JOIN(""-"",""app"",SPLIT(LOWER( C130),"" ""))"),"app-help")</f>
        <v>app-help</v>
      </c>
      <c r="C130" s="66" t="s">
        <v>1372</v>
      </c>
      <c r="D130" s="66" t="s">
        <v>55</v>
      </c>
      <c r="E130" s="46" t="str">
        <f>IFERROR(__xludf.DUMMYFUNCTION("VLOOKUP(C130,IMPORTRANGE(""https://docs.google.com/spreadsheets/d/1SQRLoxD_LXfQNfB7NOxI5jlxbkDlcNPwla_2gSTySP8/edit#gid=274515254"",""Home!$C$2:$D$158""),2,0)"),"ヘルプ")</f>
        <v>ヘルプ</v>
      </c>
    </row>
    <row r="131">
      <c r="A131" s="102" t="str">
        <f>IFERROR(__xludf.DUMMYFUNCTION("JOIN(""-"",""app"",SPLIT(LOWER( C131),"" ""))"),"app-logout")</f>
        <v>app-logout</v>
      </c>
      <c r="C131" s="66" t="s">
        <v>2317</v>
      </c>
      <c r="D131" s="66" t="s">
        <v>2318</v>
      </c>
      <c r="E131" s="46" t="str">
        <f>IFERROR(__xludf.DUMMYFUNCTION("VLOOKUP(C131,IMPORTRANGE(""https://docs.google.com/spreadsheets/d/1SQRLoxD_LXfQNfB7NOxI5jlxbkDlcNPwla_2gSTySP8/edit#gid=274515254"",""Home!$C$2:$D$158""),2,0)"),"ログアウト")</f>
        <v>ログアウト</v>
      </c>
    </row>
    <row r="132">
      <c r="A132" s="102" t="str">
        <f>IFERROR(__xludf.DUMMYFUNCTION("JOIN(""-"",""app"",SPLIT(LOWER( C132),"" ""))"),"app-profile")</f>
        <v>app-profile</v>
      </c>
      <c r="B132" s="20" t="s">
        <v>2319</v>
      </c>
      <c r="C132" s="67" t="s">
        <v>1075</v>
      </c>
      <c r="D132" s="67" t="s">
        <v>1076</v>
      </c>
      <c r="E132" s="46" t="str">
        <f>IFERROR(__xludf.DUMMYFUNCTION("VLOOKUP(C132,IMPORTRANGE(""https://docs.google.com/spreadsheets/d/1SQRLoxD_LXfQNfB7NOxI5jlxbkDlcNPwla_2gSTySP8/edit#gid=274515254"",""Home!$C$2:$D$158""),2,0)"),"プロフィール")</f>
        <v>プロフィール</v>
      </c>
    </row>
    <row r="133">
      <c r="A133" s="54" t="s">
        <v>2320</v>
      </c>
      <c r="C133" s="66" t="s">
        <v>2321</v>
      </c>
      <c r="D133" s="66" t="s">
        <v>2322</v>
      </c>
      <c r="E133" s="46" t="str">
        <f>IFERROR(__xludf.DUMMYFUNCTION("VLOOKUP(C133,IMPORTRANGE(""https://docs.google.com/spreadsheets/d/1SQRLoxD_LXfQNfB7NOxI5jlxbkDlcNPwla_2gSTySP8/edit#gid=274515254"",""Home!$C$2:$D$158""),2,0)"),"マイプロフィール")</f>
        <v>マイプロフィール</v>
      </c>
    </row>
    <row r="134">
      <c r="A134" s="54" t="s">
        <v>2323</v>
      </c>
      <c r="C134" s="66" t="s">
        <v>2324</v>
      </c>
      <c r="D134" s="66" t="s">
        <v>2325</v>
      </c>
      <c r="E134" s="46" t="str">
        <f>IFERROR(__xludf.DUMMYFUNCTION("VLOOKUP(C134,IMPORTRANGE(""https://docs.google.com/spreadsheets/d/1SQRLoxD_LXfQNfB7NOxI5jlxbkDlcNPwla_2gSTySP8/edit#gid=274515254"",""Home!$C$2:$D$158""),2,0)"),"組織")</f>
        <v>組織</v>
      </c>
    </row>
    <row r="135">
      <c r="A135" s="54" t="s">
        <v>2326</v>
      </c>
      <c r="C135" s="66" t="s">
        <v>2327</v>
      </c>
      <c r="D135" s="66" t="s">
        <v>2328</v>
      </c>
      <c r="E135" s="46" t="str">
        <f>IFERROR(__xludf.DUMMYFUNCTION("VLOOKUP(C135,IMPORTRANGE(""https://docs.google.com/spreadsheets/d/1SQRLoxD_LXfQNfB7NOxI5jlxbkDlcNPwla_2gSTySP8/edit#gid=274515254"",""Home!$C$2:$D$158""),2,0)"),"内部")</f>
        <v>内部</v>
      </c>
    </row>
    <row r="136">
      <c r="A136" s="54" t="s">
        <v>2329</v>
      </c>
      <c r="C136" s="66" t="s">
        <v>2330</v>
      </c>
      <c r="D136" s="66" t="s">
        <v>2331</v>
      </c>
      <c r="E136" s="46" t="str">
        <f>IFERROR(__xludf.DUMMYFUNCTION("VLOOKUP(C136,IMPORTRANGE(""https://docs.google.com/spreadsheets/d/1SQRLoxD_LXfQNfB7NOxI5jlxbkDlcNPwla_2gSTySP8/edit#gid=274515254"",""Home!$C$2:$D$158""),2,0)"),"役割")</f>
        <v>役割</v>
      </c>
    </row>
    <row r="137">
      <c r="A137" s="54" t="s">
        <v>517</v>
      </c>
      <c r="C137" s="66" t="s">
        <v>519</v>
      </c>
      <c r="D137" s="66" t="s">
        <v>520</v>
      </c>
      <c r="E137" s="46" t="str">
        <f>IFERROR(__xludf.DUMMYFUNCTION("VLOOKUP(C137,IMPORTRANGE(""https://docs.google.com/spreadsheets/d/1SQRLoxD_LXfQNfB7NOxI5jlxbkDlcNPwla_2gSTySP8/edit#gid=274515254"",""Home!$C$2:$D$158""),2,0)"),"チーム")</f>
        <v>チーム</v>
      </c>
    </row>
    <row r="138">
      <c r="A138" s="54" t="s">
        <v>2332</v>
      </c>
      <c r="C138" s="67" t="s">
        <v>2333</v>
      </c>
      <c r="D138" s="67" t="s">
        <v>2334</v>
      </c>
      <c r="E138" s="46" t="str">
        <f>IFERROR(__xludf.DUMMYFUNCTION("VLOOKUP(C138,IMPORTRANGE(""https://docs.google.com/spreadsheets/d/1SQRLoxD_LXfQNfB7NOxI5jlxbkDlcNPwla_2gSTySP8/edit#gid=274515254"",""Home!$C$2:$D$158""),2,0)"),"割り当てチームなし")</f>
        <v>割り当てチームなし</v>
      </c>
    </row>
    <row r="139">
      <c r="A139" s="54" t="s">
        <v>2335</v>
      </c>
      <c r="C139" s="66" t="s">
        <v>2336</v>
      </c>
      <c r="D139" s="66" t="s">
        <v>2337</v>
      </c>
      <c r="E139" s="46" t="str">
        <f>IFERROR(__xludf.DUMMYFUNCTION("VLOOKUP(C139,IMPORTRANGE(""https://docs.google.com/spreadsheets/d/1SQRLoxD_LXfQNfB7NOxI5jlxbkDlcNPwla_2gSTySP8/edit#gid=274515254"",""Home!$C$2:$D$158""),2,0)"),"APIキー")</f>
        <v>APIキー</v>
      </c>
    </row>
    <row r="140">
      <c r="A140" s="54" t="s">
        <v>2338</v>
      </c>
      <c r="C140" s="66" t="s">
        <v>2339</v>
      </c>
      <c r="D140" s="66" t="s">
        <v>2340</v>
      </c>
      <c r="E140" s="46" t="str">
        <f>IFERROR(__xludf.DUMMYFUNCTION("VLOOKUP(C140,IMPORTRANGE(""https://docs.google.com/spreadsheets/d/1SQRLoxD_LXfQNfB7NOxI5jlxbkDlcNPwla_2gSTySP8/edit#gid=274515254"",""Home!$C$2:$D$158""),2,0)"),"パスワードを入力してEnterキーを押す")</f>
        <v>パスワードを入力してEnterキーを押す</v>
      </c>
    </row>
    <row r="141">
      <c r="A141" s="54" t="s">
        <v>2341</v>
      </c>
      <c r="C141" s="66" t="s">
        <v>2342</v>
      </c>
      <c r="D141" s="66" t="s">
        <v>2343</v>
      </c>
      <c r="E141" s="46" t="str">
        <f>IFERROR(__xludf.DUMMYFUNCTION("VLOOKUP(C141,IMPORTRANGE(""https://docs.google.com/spreadsheets/d/1SQRLoxD_LXfQNfB7NOxI5jlxbkDlcNPwla_2gSTySP8/edit#gid=274515254"",""Home!$C$2:$D$158""),2,0)"),"名前")</f>
        <v>名前</v>
      </c>
    </row>
    <row r="142">
      <c r="A142" s="54" t="s">
        <v>2344</v>
      </c>
      <c r="C142" s="66" t="s">
        <v>2345</v>
      </c>
      <c r="D142" s="66" t="s">
        <v>2346</v>
      </c>
      <c r="E142" s="46" t="str">
        <f>IFERROR(__xludf.DUMMYFUNCTION("VLOOKUP(C142,IMPORTRANGE(""https://docs.google.com/spreadsheets/d/1SQRLoxD_LXfQNfB7NOxI5jlxbkDlcNPwla_2gSTySP8/edit#gid=274515254"",""Home!$C$2:$D$158""),2,0)"),"苗字")</f>
        <v>苗字</v>
      </c>
    </row>
    <row r="143">
      <c r="A143" s="54" t="s">
        <v>2347</v>
      </c>
      <c r="C143" s="66" t="s">
        <v>2348</v>
      </c>
      <c r="D143" s="67" t="s">
        <v>2349</v>
      </c>
      <c r="E143" s="46" t="str">
        <f>IFERROR(__xludf.DUMMYFUNCTION("VLOOKUP(C143,IMPORTRANGE(""https://docs.google.com/spreadsheets/d/1SQRLoxD_LXfQNfB7NOxI5jlxbkDlcNPwla_2gSTySP8/edit#gid=274515254"",""Home!$C$2:$D$158""),2,0)"),"メールアドレス")</f>
        <v>メールアドレス</v>
      </c>
    </row>
    <row r="144">
      <c r="A144" s="54" t="s">
        <v>2350</v>
      </c>
      <c r="C144" s="66" t="s">
        <v>2351</v>
      </c>
      <c r="D144" s="67" t="s">
        <v>2352</v>
      </c>
      <c r="E144" s="46" t="str">
        <f>IFERROR(__xludf.DUMMYFUNCTION("VLOOKUP(C144,IMPORTRANGE(""https://docs.google.com/spreadsheets/d/1SQRLoxD_LXfQNfB7NOxI5jlxbkDlcNPwla_2gSTySP8/edit#gid=274515254"",""Home!$C$2:$D$158""),2,0)"),"電話番号")</f>
        <v>電話番号</v>
      </c>
    </row>
    <row r="145">
      <c r="A145" s="54" t="s">
        <v>1086</v>
      </c>
      <c r="C145" s="67" t="s">
        <v>1087</v>
      </c>
      <c r="D145" s="67" t="s">
        <v>1088</v>
      </c>
      <c r="E145" s="46" t="str">
        <f>IFERROR(__xludf.DUMMYFUNCTION("VLOOKUP(C145,IMPORTRANGE(""https://docs.google.com/spreadsheets/d/1SQRLoxD_LXfQNfB7NOxI5jlxbkDlcNPwla_2gSTySP8/edit#gid=274515254"",""Home!$C$2:$D$158""),2,0)"),"プロフィール更新")</f>
        <v>プロフィール更新</v>
      </c>
    </row>
    <row r="146">
      <c r="A146" s="54" t="s">
        <v>1077</v>
      </c>
      <c r="B146" s="20" t="s">
        <v>2353</v>
      </c>
      <c r="C146" s="66" t="s">
        <v>1078</v>
      </c>
      <c r="D146" s="66" t="s">
        <v>1079</v>
      </c>
      <c r="E146" s="46" t="str">
        <f>IFERROR(__xludf.DUMMYFUNCTION("VLOOKUP(C146,IMPORTRANGE(""https://docs.google.com/spreadsheets/d/1SQRLoxD_LXfQNfB7NOxI5jlxbkDlcNPwla_2gSTySP8/edit#gid=274515254"",""Home!$C$2:$D$158""),2,0)"),"パスワード変更")</f>
        <v>パスワード変更</v>
      </c>
    </row>
    <row r="147">
      <c r="A147" s="54" t="s">
        <v>2354</v>
      </c>
      <c r="C147" s="66" t="s">
        <v>2355</v>
      </c>
      <c r="D147" s="66" t="s">
        <v>2356</v>
      </c>
      <c r="E147" s="46" t="str">
        <f>IFERROR(__xludf.DUMMYFUNCTION("VLOOKUP(C147,IMPORTRANGE(""https://docs.google.com/spreadsheets/d/1SQRLoxD_LXfQNfB7NOxI5jlxbkDlcNPwla_2gSTySP8/edit#gid=274515254"",""Home!$C$2:$D$158""),2,0)"),"現在のパスワード")</f>
        <v>現在のパスワード</v>
      </c>
    </row>
    <row r="148">
      <c r="A148" s="54" t="s">
        <v>2357</v>
      </c>
      <c r="C148" s="66" t="s">
        <v>2358</v>
      </c>
      <c r="D148" s="66" t="s">
        <v>2359</v>
      </c>
      <c r="E148" s="46" t="str">
        <f>IFERROR(__xludf.DUMMYFUNCTION("VLOOKUP(C148,IMPORTRANGE(""https://docs.google.com/spreadsheets/d/1SQRLoxD_LXfQNfB7NOxI5jlxbkDlcNPwla_2gSTySP8/edit#gid=274515254"",""Home!$C$2:$D$158""),2,0)"),"新規パスワード")</f>
        <v>新規パスワード</v>
      </c>
    </row>
    <row r="149">
      <c r="A149" s="54" t="s">
        <v>2360</v>
      </c>
      <c r="C149" s="66" t="s">
        <v>2361</v>
      </c>
      <c r="D149" s="66" t="s">
        <v>2362</v>
      </c>
      <c r="E149" s="46" t="str">
        <f>IFERROR(__xludf.DUMMYFUNCTION("VLOOKUP(C149,IMPORTRANGE(""https://docs.google.com/spreadsheets/d/1SQRLoxD_LXfQNfB7NOxI5jlxbkDlcNPwla_2gSTySP8/edit#gid=274515254"",""Home!$C$2:$D$158""),2,0)"),"新規パスワード確認")</f>
        <v>新規パスワード確認</v>
      </c>
    </row>
    <row r="150">
      <c r="A150" s="54" t="s">
        <v>2363</v>
      </c>
      <c r="C150" s="63" t="s">
        <v>2364</v>
      </c>
      <c r="D150" s="66" t="s">
        <v>2365</v>
      </c>
      <c r="E150" s="46" t="str">
        <f>IFERROR(__xludf.DUMMYFUNCTION("VLOOKUP(C150,IMPORTRANGE(""https://docs.google.com/spreadsheets/d/1SQRLoxD_LXfQNfB7NOxI5jlxbkDlcNPwla_2gSTySP8/edit#gid=274515254"",""Home!$C$2:$D$158""),2,0)"),"パスワード更新")</f>
        <v>パスワード更新</v>
      </c>
    </row>
    <row r="151">
      <c r="A151" s="54" t="s">
        <v>2366</v>
      </c>
      <c r="C151" s="66" t="s">
        <v>2367</v>
      </c>
      <c r="D151" s="66" t="s">
        <v>2368</v>
      </c>
      <c r="E151" s="46" t="str">
        <f>IFERROR(__xludf.DUMMYFUNCTION("VLOOKUP(C151,IMPORTRANGE(""https://docs.google.com/spreadsheets/d/1SQRLoxD_LXfQNfB7NOxI5jlxbkDlcNPwla_2gSTySP8/edit#gid=274515254"",""Home!$C$2:$D$158""),2,0)"),"ログイン履歴")</f>
        <v>ログイン履歴</v>
      </c>
    </row>
    <row r="152">
      <c r="A152" s="54" t="s">
        <v>2369</v>
      </c>
      <c r="C152" s="66" t="s">
        <v>2370</v>
      </c>
      <c r="D152" s="66" t="s">
        <v>2371</v>
      </c>
      <c r="E152" s="46" t="str">
        <f>IFERROR(__xludf.DUMMYFUNCTION("VLOOKUP(C152,IMPORTRANGE(""https://docs.google.com/spreadsheets/d/1SQRLoxD_LXfQNfB7NOxI5jlxbkDlcNPwla_2gSTySP8/edit#gid=274515254"",""Home!$C$2:$D$158""),2,0)"),"#N/A")</f>
        <v>#N/A</v>
      </c>
    </row>
    <row r="153">
      <c r="A153" s="68" t="str">
        <f>IFERROR(__xludf.DUMMYFUNCTION("JOIN(""-"",""app"",SPLIT(LOWER( C153),"" ""))"),"app-22-hours-ago")</f>
        <v>app-22-hours-ago</v>
      </c>
      <c r="C153" s="66" t="s">
        <v>2372</v>
      </c>
      <c r="D153" s="66" t="s">
        <v>2373</v>
      </c>
      <c r="E153" s="46" t="str">
        <f>IFERROR(__xludf.DUMMYFUNCTION("VLOOKUP(C153,IMPORTRANGE(""https://docs.google.com/spreadsheets/d/1SQRLoxD_LXfQNfB7NOxI5jlxbkDlcNPwla_2gSTySP8/edit#gid=274515254"",""Home!$C$2:$D$158""),2,0)"),"22時間前")</f>
        <v>22時間前</v>
      </c>
    </row>
    <row r="154">
      <c r="A154" s="54" t="s">
        <v>2374</v>
      </c>
      <c r="C154" s="66" t="s">
        <v>2375</v>
      </c>
      <c r="D154" s="66" t="s">
        <v>2376</v>
      </c>
      <c r="E154" s="46" t="str">
        <f>IFERROR(__xludf.DUMMYFUNCTION("VLOOKUP(C154,IMPORTRANGE(""https://docs.google.com/spreadsheets/d/1SQRLoxD_LXfQNfB7NOxI5jlxbkDlcNPwla_2gSTySP8/edit#gid=274515254"",""Home!$C$2:$D$158""),2,0)"),"このデバイス")</f>
        <v>このデバイス</v>
      </c>
    </row>
    <row r="155">
      <c r="A155" s="108" t="str">
        <f>IFERROR(__xludf.DUMMYFUNCTION("JOIN(""-"",""app"",SPLIT(LOWER( C155),"" ""))"),"app-no-teams-assigned")</f>
        <v>app-no-teams-assigned</v>
      </c>
      <c r="B155" s="103" t="s">
        <v>2377</v>
      </c>
      <c r="C155" s="106" t="s">
        <v>2333</v>
      </c>
      <c r="D155" s="106" t="s">
        <v>2334</v>
      </c>
      <c r="E155" s="46" t="str">
        <f>IFERROR(__xludf.DUMMYFUNCTION("VLOOKUP(C155,IMPORTRANGE(""https://docs.google.com/spreadsheets/d/1SQRLoxD_LXfQNfB7NOxI5jlxbkDlcNPwla_2gSTySP8/edit#gid=274515254"",""Home!$C$2:$D$158""),2,0)"),"割り当てチームなし")</f>
        <v>割り当てチームなし</v>
      </c>
    </row>
    <row r="156">
      <c r="A156" s="108" t="str">
        <f>IFERROR(__xludf.DUMMYFUNCTION("JOIN(""-"",""app"",SPLIT(LOWER( C156),"" ""))"),"app-mobile-number")</f>
        <v>app-mobile-number</v>
      </c>
      <c r="C156" s="104" t="s">
        <v>2378</v>
      </c>
      <c r="D156" s="104" t="s">
        <v>2379</v>
      </c>
      <c r="E156" s="54" t="s">
        <v>2380</v>
      </c>
    </row>
    <row r="157">
      <c r="A157" s="54" t="s">
        <v>2381</v>
      </c>
      <c r="B157" s="20" t="s">
        <v>2382</v>
      </c>
      <c r="C157" s="66" t="s">
        <v>2383</v>
      </c>
      <c r="D157" s="66" t="s">
        <v>2384</v>
      </c>
      <c r="E157" s="46" t="str">
        <f>IFERROR(__xludf.DUMMYFUNCTION("VLOOKUP(C157,IMPORTRANGE(""https://docs.google.com/spreadsheets/d/1SQRLoxD_LXfQNfB7NOxI5jlxbkDlcNPwla_2gSTySP8/edit#gid=274515254"",""Home!$C$2:$D$158""),2,0)"),"詳細を表示")</f>
        <v>詳細を表示</v>
      </c>
    </row>
    <row r="158">
      <c r="A158" s="54" t="s">
        <v>2385</v>
      </c>
      <c r="C158" s="66" t="s">
        <v>2386</v>
      </c>
      <c r="D158" s="66" t="s">
        <v>2387</v>
      </c>
      <c r="E158" s="46" t="str">
        <f>IFERROR(__xludf.DUMMYFUNCTION("VLOOKUP(C158,IMPORTRANGE(""https://docs.google.com/spreadsheets/d/1SQRLoxD_LXfQNfB7NOxI5jlxbkDlcNPwla_2gSTySP8/edit#gid=274515254"",""Home!$C$2:$D$158""),2,0)"),"アプリケーションを表示")</f>
        <v>アプリケーションを表示</v>
      </c>
    </row>
    <row r="159">
      <c r="A159" s="54" t="s">
        <v>2388</v>
      </c>
      <c r="C159" s="66" t="s">
        <v>2389</v>
      </c>
      <c r="D159" s="66" t="s">
        <v>2390</v>
      </c>
      <c r="E159" s="93" t="s">
        <v>2391</v>
      </c>
    </row>
    <row r="160">
      <c r="A160" s="54" t="s">
        <v>2392</v>
      </c>
      <c r="C160" s="66" t="s">
        <v>2393</v>
      </c>
      <c r="D160" s="66" t="s">
        <v>2394</v>
      </c>
      <c r="E160" s="46" t="str">
        <f>IFERROR(__xludf.DUMMYFUNCTION("VLOOKUP(C160,IMPORTRANGE(""https://docs.google.com/spreadsheets/d/1SQRLoxD_LXfQNfB7NOxI5jlxbkDlcNPwla_2gSTySP8/edit#gid=274515254"",""Home!$C$2:$D$158""),2,0)"),"所有権移転")</f>
        <v>所有権移転</v>
      </c>
    </row>
    <row r="161">
      <c r="A161" s="54" t="s">
        <v>2395</v>
      </c>
      <c r="C161" s="66" t="s">
        <v>2396</v>
      </c>
      <c r="D161" s="26" t="s">
        <v>2397</v>
      </c>
      <c r="E161" s="93" t="s">
        <v>2398</v>
      </c>
    </row>
    <row r="162">
      <c r="A162" s="54" t="s">
        <v>2399</v>
      </c>
      <c r="C162" s="66" t="s">
        <v>2400</v>
      </c>
      <c r="D162" s="66" t="s">
        <v>2401</v>
      </c>
      <c r="E162" s="93" t="s">
        <v>2402</v>
      </c>
    </row>
    <row r="163">
      <c r="A163" s="54" t="s">
        <v>2403</v>
      </c>
      <c r="B163" s="8" t="s">
        <v>2404</v>
      </c>
      <c r="C163" s="66" t="s">
        <v>2405</v>
      </c>
      <c r="D163" s="66" t="s">
        <v>2406</v>
      </c>
      <c r="E163" s="93" t="s">
        <v>2391</v>
      </c>
    </row>
    <row r="164">
      <c r="A164" s="54" t="s">
        <v>2407</v>
      </c>
      <c r="C164" s="66" t="s">
        <v>2408</v>
      </c>
      <c r="D164" s="66" t="s">
        <v>2409</v>
      </c>
      <c r="E164" s="93" t="s">
        <v>2076</v>
      </c>
    </row>
    <row r="165">
      <c r="A165" s="68" t="str">
        <f>IFERROR(__xludf.DUMMYFUNCTION("JOIN(""-"",""app"",SPLIT(LOWER( C165),"" ""))"),"app-description")</f>
        <v>app-description</v>
      </c>
      <c r="C165" s="66" t="s">
        <v>2193</v>
      </c>
      <c r="D165" s="67" t="s">
        <v>2194</v>
      </c>
      <c r="E165" s="46" t="str">
        <f>IFERROR(__xludf.DUMMYFUNCTION("VLOOKUP(C165,IMPORTRANGE(""https://docs.google.com/spreadsheets/d/1SQRLoxD_LXfQNfB7NOxI5jlxbkDlcNPwla_2gSTySP8/edit#gid=274515254"",""Home!$C$2:$D$158""),2,0)"),"説明")</f>
        <v>説明</v>
      </c>
    </row>
    <row r="166">
      <c r="A166" s="54" t="s">
        <v>1732</v>
      </c>
      <c r="B166" s="8" t="s">
        <v>2410</v>
      </c>
      <c r="C166" s="66" t="s">
        <v>2411</v>
      </c>
      <c r="D166" s="66" t="s">
        <v>2412</v>
      </c>
      <c r="E166" s="46" t="str">
        <f>IFERROR(__xludf.DUMMYFUNCTION("VLOOKUP(C166,IMPORTRANGE(""https://docs.google.com/spreadsheets/d/1SQRLoxD_LXfQNfB7NOxI5jlxbkDlcNPwla_2gSTySP8/edit#gid=274515254"",""Home!$C$2:$D$158""),2,0)"),"見つかりません")</f>
        <v>見つかりません</v>
      </c>
    </row>
    <row r="167">
      <c r="A167" s="54" t="s">
        <v>2413</v>
      </c>
      <c r="B167" s="20" t="s">
        <v>2414</v>
      </c>
      <c r="C167" s="66" t="s">
        <v>2415</v>
      </c>
      <c r="D167" s="67" t="s">
        <v>2416</v>
      </c>
      <c r="E167" s="93" t="s">
        <v>2417</v>
      </c>
    </row>
    <row r="168">
      <c r="A168" s="54" t="s">
        <v>2212</v>
      </c>
      <c r="C168" s="66" t="s">
        <v>2213</v>
      </c>
      <c r="D168" s="67" t="s">
        <v>2214</v>
      </c>
      <c r="E168" s="46" t="str">
        <f>IFERROR(__xludf.DUMMYFUNCTION("VLOOKUP(C168,IMPORTRANGE(""https://docs.google.com/spreadsheets/d/1SQRLoxD_LXfQNfB7NOxI5jlxbkDlcNPwla_2gSTySP8/edit#gid=274515254"",""Home!$C$2:$D$158""),2,0)"),"アイコンをアップロード")</f>
        <v>アイコンをアップロード</v>
      </c>
    </row>
    <row r="169">
      <c r="A169" s="54" t="s">
        <v>2418</v>
      </c>
      <c r="C169" s="66" t="s">
        <v>2419</v>
      </c>
      <c r="D169" s="66" t="s">
        <v>2420</v>
      </c>
      <c r="E169" s="46" t="str">
        <f>IFERROR(__xludf.DUMMYFUNCTION("VLOOKUP(C169,IMPORTRANGE(""https://docs.google.com/spreadsheets/d/1SQRLoxD_LXfQNfB7NOxI5jlxbkDlcNPwla_2gSTySP8/edit#gid=274515254"",""Home!$C$2:$D$158""),2,0)"),"画像をアップロード")</f>
        <v>画像をアップロード</v>
      </c>
    </row>
    <row r="170">
      <c r="A170" s="54" t="s">
        <v>2421</v>
      </c>
      <c r="C170" s="66" t="s">
        <v>2422</v>
      </c>
      <c r="D170" s="66" t="s">
        <v>2423</v>
      </c>
      <c r="E170" s="46" t="str">
        <f>IFERROR(__xludf.DUMMYFUNCTION("VLOOKUP(C170,IMPORTRANGE(""https://docs.google.com/spreadsheets/d/1SQRLoxD_LXfQNfB7NOxI5jlxbkDlcNPwla_2gSTySP8/edit#gid=274515254"",""Home!$C$2:$D$158""),2,0)"),"座標系の出力")</f>
        <v>座標系の出力</v>
      </c>
    </row>
    <row r="171">
      <c r="A171" s="54" t="s">
        <v>2424</v>
      </c>
      <c r="B171" s="7"/>
      <c r="C171" s="113" t="s">
        <v>2425</v>
      </c>
      <c r="D171" s="113" t="s">
        <v>2426</v>
      </c>
      <c r="E171" s="46" t="str">
        <f>IFERROR(__xludf.DUMMYFUNCTION("VLOOKUP(C171,IMPORTRANGE(""https://docs.google.com/spreadsheets/d/1SQRLoxD_LXfQNfB7NOxI5jlxbkDlcNPwla_2gSTySP8/edit#gid=274515254"",""Home!$C$2:$D$158""),2,0)"),"タグ")</f>
        <v>タグ</v>
      </c>
    </row>
    <row r="172">
      <c r="A172" s="114" t="s">
        <v>2427</v>
      </c>
      <c r="B172" s="8" t="s">
        <v>2428</v>
      </c>
      <c r="C172" s="113" t="s">
        <v>2429</v>
      </c>
      <c r="D172" s="113" t="s">
        <v>2430</v>
      </c>
      <c r="E172" s="115" t="s">
        <v>2431</v>
      </c>
    </row>
    <row r="173">
      <c r="A173" s="46"/>
      <c r="B173" s="7"/>
      <c r="C173" s="74"/>
      <c r="D173" s="74"/>
    </row>
    <row r="174">
      <c r="A174" s="46"/>
      <c r="B174" s="7"/>
      <c r="C174" s="74"/>
      <c r="D174" s="74"/>
    </row>
    <row r="175">
      <c r="A175" s="46"/>
      <c r="B175" s="7"/>
      <c r="C175" s="74"/>
      <c r="D175" s="74"/>
    </row>
    <row r="176">
      <c r="A176" s="46"/>
      <c r="B176" s="7"/>
      <c r="C176" s="74"/>
      <c r="D176" s="74"/>
    </row>
    <row r="177">
      <c r="A177" s="46"/>
      <c r="B177" s="7"/>
      <c r="C177" s="74"/>
      <c r="D177" s="74"/>
    </row>
    <row r="178">
      <c r="A178" s="46"/>
      <c r="B178" s="7"/>
      <c r="C178" s="74"/>
      <c r="D178" s="74"/>
    </row>
    <row r="179">
      <c r="A179" s="46"/>
      <c r="B179" s="7"/>
      <c r="C179" s="74"/>
      <c r="D179" s="74"/>
    </row>
    <row r="180">
      <c r="A180" s="46"/>
      <c r="B180" s="7"/>
      <c r="C180" s="74"/>
      <c r="D180" s="74"/>
    </row>
    <row r="181">
      <c r="A181" s="46"/>
      <c r="B181" s="7"/>
      <c r="C181" s="74"/>
      <c r="D181" s="74"/>
    </row>
    <row r="182">
      <c r="A182" s="46"/>
      <c r="B182" s="7"/>
      <c r="C182" s="74"/>
      <c r="D182" s="74"/>
    </row>
    <row r="183">
      <c r="A183" s="46"/>
      <c r="B183" s="7"/>
      <c r="C183" s="74"/>
      <c r="D183" s="74"/>
    </row>
    <row r="184">
      <c r="A184" s="46"/>
      <c r="B184" s="7"/>
      <c r="C184" s="74"/>
      <c r="D184" s="74"/>
    </row>
    <row r="185">
      <c r="A185" s="46"/>
      <c r="B185" s="7"/>
      <c r="C185" s="74"/>
      <c r="D185" s="74"/>
    </row>
    <row r="186">
      <c r="A186" s="46"/>
      <c r="B186" s="7"/>
      <c r="C186" s="74"/>
      <c r="D186" s="74"/>
    </row>
    <row r="187">
      <c r="A187" s="46"/>
      <c r="B187" s="7"/>
      <c r="C187" s="74"/>
      <c r="D187" s="74"/>
    </row>
    <row r="188">
      <c r="A188" s="46"/>
      <c r="B188" s="7"/>
      <c r="C188" s="74"/>
      <c r="D188" s="74"/>
    </row>
    <row r="189">
      <c r="A189" s="46"/>
      <c r="B189" s="7"/>
      <c r="C189" s="74"/>
      <c r="D189" s="74"/>
    </row>
    <row r="190">
      <c r="A190" s="46"/>
      <c r="B190" s="7"/>
      <c r="C190" s="74"/>
      <c r="D190" s="74"/>
    </row>
    <row r="191">
      <c r="A191" s="46"/>
      <c r="B191" s="7"/>
      <c r="C191" s="74"/>
      <c r="D191" s="74"/>
    </row>
    <row r="192">
      <c r="A192" s="46"/>
      <c r="B192" s="7"/>
      <c r="C192" s="74"/>
      <c r="D192" s="74"/>
    </row>
    <row r="193">
      <c r="A193" s="46"/>
      <c r="B193" s="7"/>
      <c r="C193" s="74"/>
      <c r="D193" s="74"/>
    </row>
    <row r="194">
      <c r="A194" s="46"/>
      <c r="B194" s="7"/>
      <c r="C194" s="74"/>
      <c r="D194" s="74"/>
    </row>
    <row r="195">
      <c r="A195" s="46"/>
      <c r="B195" s="7"/>
      <c r="C195" s="74"/>
      <c r="D195" s="74"/>
    </row>
    <row r="196">
      <c r="A196" s="46"/>
      <c r="B196" s="7"/>
      <c r="C196" s="74"/>
      <c r="D196" s="74"/>
    </row>
    <row r="197">
      <c r="A197" s="46"/>
      <c r="B197" s="7"/>
      <c r="C197" s="74"/>
      <c r="D197" s="74"/>
    </row>
    <row r="198">
      <c r="A198" s="46"/>
      <c r="B198" s="7"/>
      <c r="C198" s="74"/>
      <c r="D198" s="74"/>
    </row>
    <row r="199">
      <c r="A199" s="46"/>
      <c r="B199" s="7"/>
      <c r="C199" s="74"/>
      <c r="D199" s="74"/>
    </row>
    <row r="200">
      <c r="A200" s="46"/>
      <c r="B200" s="7"/>
      <c r="C200" s="74"/>
      <c r="D200" s="74"/>
    </row>
    <row r="201">
      <c r="A201" s="46"/>
      <c r="B201" s="7"/>
      <c r="C201" s="74"/>
      <c r="D201" s="74"/>
    </row>
    <row r="202">
      <c r="A202" s="46"/>
      <c r="B202" s="7"/>
      <c r="C202" s="74"/>
      <c r="D202" s="74"/>
    </row>
    <row r="203">
      <c r="A203" s="46"/>
      <c r="B203" s="7"/>
      <c r="C203" s="74"/>
      <c r="D203" s="74"/>
    </row>
    <row r="204">
      <c r="A204" s="46"/>
      <c r="B204" s="7"/>
      <c r="C204" s="74"/>
      <c r="D204" s="74"/>
    </row>
    <row r="205">
      <c r="A205" s="46"/>
      <c r="B205" s="7"/>
      <c r="C205" s="74"/>
      <c r="D205" s="74"/>
    </row>
    <row r="206">
      <c r="A206" s="46"/>
      <c r="B206" s="7"/>
      <c r="C206" s="74"/>
      <c r="D206" s="74"/>
    </row>
    <row r="207">
      <c r="A207" s="46"/>
      <c r="B207" s="7"/>
      <c r="C207" s="74"/>
      <c r="D207" s="74"/>
    </row>
    <row r="208">
      <c r="A208" s="46"/>
      <c r="B208" s="7"/>
      <c r="C208" s="74"/>
      <c r="D208" s="74"/>
    </row>
    <row r="209">
      <c r="A209" s="46"/>
      <c r="B209" s="7"/>
      <c r="C209" s="74"/>
      <c r="D209" s="74"/>
    </row>
    <row r="210">
      <c r="A210" s="46"/>
      <c r="B210" s="7"/>
      <c r="C210" s="74"/>
      <c r="D210" s="74"/>
    </row>
    <row r="211">
      <c r="A211" s="46"/>
      <c r="B211" s="7"/>
      <c r="C211" s="74"/>
      <c r="D211" s="74"/>
    </row>
    <row r="212">
      <c r="A212" s="46"/>
      <c r="B212" s="7"/>
      <c r="C212" s="74"/>
      <c r="D212" s="74"/>
    </row>
    <row r="213">
      <c r="A213" s="46"/>
      <c r="B213" s="7"/>
      <c r="C213" s="74"/>
      <c r="D213" s="74"/>
    </row>
    <row r="214">
      <c r="A214" s="46"/>
      <c r="B214" s="7"/>
      <c r="C214" s="74"/>
      <c r="D214" s="74"/>
    </row>
    <row r="215">
      <c r="A215" s="46"/>
      <c r="B215" s="7"/>
      <c r="C215" s="74"/>
      <c r="D215" s="74"/>
    </row>
    <row r="216">
      <c r="A216" s="46"/>
      <c r="B216" s="7"/>
      <c r="C216" s="74"/>
      <c r="D216" s="74"/>
    </row>
    <row r="217">
      <c r="A217" s="46"/>
      <c r="B217" s="7"/>
      <c r="C217" s="74"/>
      <c r="D217" s="74"/>
    </row>
    <row r="218">
      <c r="A218" s="46"/>
      <c r="B218" s="7"/>
      <c r="C218" s="74"/>
      <c r="D218" s="74"/>
    </row>
    <row r="219">
      <c r="A219" s="46"/>
      <c r="B219" s="7"/>
      <c r="C219" s="74"/>
      <c r="D219" s="74"/>
    </row>
    <row r="220">
      <c r="A220" s="46"/>
      <c r="B220" s="7"/>
      <c r="C220" s="74"/>
      <c r="D220" s="74"/>
    </row>
    <row r="221">
      <c r="A221" s="46"/>
      <c r="B221" s="7"/>
      <c r="C221" s="74"/>
      <c r="D221" s="74"/>
    </row>
    <row r="222">
      <c r="A222" s="46"/>
      <c r="B222" s="7"/>
      <c r="C222" s="74"/>
      <c r="D222" s="74"/>
    </row>
    <row r="223">
      <c r="A223" s="46"/>
      <c r="B223" s="7"/>
      <c r="C223" s="74"/>
      <c r="D223" s="74"/>
    </row>
    <row r="224">
      <c r="A224" s="46"/>
      <c r="B224" s="7"/>
      <c r="C224" s="74"/>
      <c r="D224" s="74"/>
    </row>
    <row r="225">
      <c r="A225" s="46"/>
      <c r="B225" s="7"/>
      <c r="C225" s="74"/>
      <c r="D225" s="74"/>
    </row>
    <row r="226">
      <c r="A226" s="46"/>
      <c r="B226" s="7"/>
      <c r="C226" s="74"/>
      <c r="D226" s="74"/>
    </row>
    <row r="227">
      <c r="A227" s="46"/>
      <c r="B227" s="7"/>
      <c r="C227" s="74"/>
      <c r="D227" s="74"/>
    </row>
    <row r="228">
      <c r="A228" s="46"/>
      <c r="B228" s="7"/>
      <c r="C228" s="74"/>
      <c r="D228" s="74"/>
    </row>
    <row r="229">
      <c r="A229" s="46"/>
      <c r="B229" s="7"/>
      <c r="C229" s="74"/>
      <c r="D229" s="74"/>
    </row>
    <row r="230">
      <c r="A230" s="46"/>
      <c r="B230" s="7"/>
      <c r="C230" s="74"/>
      <c r="D230" s="74"/>
    </row>
    <row r="231">
      <c r="A231" s="46"/>
      <c r="B231" s="7"/>
      <c r="C231" s="74"/>
      <c r="D231" s="74"/>
    </row>
    <row r="232">
      <c r="A232" s="46"/>
      <c r="B232" s="7"/>
      <c r="C232" s="74"/>
      <c r="D232" s="74"/>
    </row>
    <row r="233">
      <c r="A233" s="46"/>
      <c r="B233" s="7"/>
      <c r="C233" s="74"/>
      <c r="D233" s="74"/>
    </row>
    <row r="234">
      <c r="A234" s="46"/>
      <c r="B234" s="7"/>
      <c r="C234" s="74"/>
      <c r="D234" s="74"/>
    </row>
    <row r="235">
      <c r="A235" s="46"/>
      <c r="B235" s="7"/>
      <c r="C235" s="74"/>
      <c r="D235" s="74"/>
    </row>
    <row r="236">
      <c r="A236" s="46"/>
      <c r="B236" s="7"/>
      <c r="C236" s="74"/>
      <c r="D236" s="74"/>
    </row>
    <row r="237">
      <c r="A237" s="46"/>
      <c r="B237" s="7"/>
      <c r="C237" s="74"/>
      <c r="D237" s="74"/>
    </row>
    <row r="238">
      <c r="A238" s="46"/>
      <c r="B238" s="7"/>
      <c r="C238" s="74"/>
      <c r="D238" s="74"/>
    </row>
    <row r="239">
      <c r="A239" s="46"/>
      <c r="B239" s="7"/>
      <c r="C239" s="74"/>
      <c r="D239" s="74"/>
    </row>
    <row r="240">
      <c r="A240" s="46"/>
      <c r="B240" s="7"/>
      <c r="C240" s="74"/>
      <c r="D240" s="74"/>
    </row>
    <row r="241">
      <c r="A241" s="46"/>
      <c r="B241" s="7"/>
      <c r="C241" s="74"/>
      <c r="D241" s="74"/>
    </row>
    <row r="242">
      <c r="A242" s="46"/>
      <c r="B242" s="7"/>
      <c r="C242" s="74"/>
      <c r="D242" s="74"/>
    </row>
    <row r="243">
      <c r="A243" s="46"/>
      <c r="B243" s="7"/>
      <c r="C243" s="74"/>
      <c r="D243" s="74"/>
    </row>
    <row r="244">
      <c r="A244" s="46"/>
      <c r="B244" s="7"/>
      <c r="C244" s="74"/>
      <c r="D244" s="74"/>
    </row>
    <row r="245">
      <c r="A245" s="46"/>
      <c r="B245" s="7"/>
      <c r="C245" s="74"/>
      <c r="D245" s="74"/>
    </row>
    <row r="246">
      <c r="A246" s="46"/>
      <c r="B246" s="7"/>
      <c r="C246" s="74"/>
      <c r="D246" s="74"/>
    </row>
    <row r="247">
      <c r="A247" s="46"/>
      <c r="B247" s="7"/>
      <c r="C247" s="74"/>
      <c r="D247" s="74"/>
    </row>
    <row r="248">
      <c r="A248" s="46"/>
      <c r="B248" s="7"/>
      <c r="C248" s="74"/>
      <c r="D248" s="74"/>
    </row>
    <row r="249">
      <c r="A249" s="46"/>
      <c r="B249" s="7"/>
      <c r="C249" s="74"/>
      <c r="D249" s="74"/>
    </row>
    <row r="250">
      <c r="A250" s="46"/>
      <c r="B250" s="7"/>
      <c r="C250" s="74"/>
      <c r="D250" s="74"/>
    </row>
    <row r="251">
      <c r="A251" s="46"/>
      <c r="B251" s="7"/>
      <c r="C251" s="74"/>
      <c r="D251" s="74"/>
    </row>
    <row r="252">
      <c r="A252" s="46"/>
      <c r="B252" s="7"/>
      <c r="C252" s="74"/>
      <c r="D252" s="74"/>
    </row>
    <row r="253">
      <c r="A253" s="46"/>
      <c r="B253" s="7"/>
      <c r="C253" s="74"/>
      <c r="D253" s="74"/>
    </row>
    <row r="254">
      <c r="A254" s="46"/>
      <c r="B254" s="7"/>
      <c r="C254" s="74"/>
      <c r="D254" s="74"/>
    </row>
    <row r="255">
      <c r="A255" s="46"/>
      <c r="B255" s="7"/>
      <c r="C255" s="74"/>
      <c r="D255" s="74"/>
    </row>
    <row r="256">
      <c r="A256" s="46"/>
      <c r="B256" s="7"/>
      <c r="C256" s="74"/>
      <c r="D256" s="74"/>
    </row>
    <row r="257">
      <c r="A257" s="46"/>
      <c r="B257" s="7"/>
      <c r="C257" s="74"/>
      <c r="D257" s="74"/>
    </row>
    <row r="258">
      <c r="A258" s="46"/>
      <c r="B258" s="7"/>
      <c r="C258" s="74"/>
      <c r="D258" s="74"/>
    </row>
    <row r="259">
      <c r="A259" s="46"/>
      <c r="B259" s="7"/>
      <c r="C259" s="74"/>
      <c r="D259" s="74"/>
    </row>
    <row r="260">
      <c r="A260" s="46"/>
      <c r="B260" s="7"/>
      <c r="C260" s="74"/>
      <c r="D260" s="74"/>
    </row>
    <row r="261">
      <c r="A261" s="46"/>
      <c r="B261" s="7"/>
      <c r="C261" s="74"/>
      <c r="D261" s="74"/>
    </row>
    <row r="262">
      <c r="A262" s="46"/>
      <c r="B262" s="7"/>
      <c r="C262" s="74"/>
      <c r="D262" s="74"/>
    </row>
    <row r="263">
      <c r="A263" s="46"/>
      <c r="B263" s="7"/>
      <c r="C263" s="74"/>
      <c r="D263" s="74"/>
    </row>
    <row r="264">
      <c r="A264" s="46"/>
      <c r="B264" s="7"/>
      <c r="C264" s="74"/>
      <c r="D264" s="74"/>
    </row>
    <row r="265">
      <c r="A265" s="46"/>
      <c r="B265" s="7"/>
      <c r="C265" s="74"/>
      <c r="D265" s="74"/>
    </row>
    <row r="266">
      <c r="A266" s="46"/>
      <c r="B266" s="7"/>
      <c r="C266" s="74"/>
      <c r="D266" s="74"/>
    </row>
    <row r="267">
      <c r="A267" s="46"/>
      <c r="B267" s="7"/>
      <c r="C267" s="74"/>
      <c r="D267" s="74"/>
    </row>
    <row r="268">
      <c r="A268" s="46"/>
      <c r="B268" s="7"/>
      <c r="C268" s="74"/>
      <c r="D268" s="74"/>
    </row>
    <row r="269">
      <c r="A269" s="46"/>
      <c r="B269" s="7"/>
      <c r="C269" s="74"/>
      <c r="D269" s="74"/>
    </row>
    <row r="270">
      <c r="A270" s="46"/>
      <c r="B270" s="7"/>
      <c r="C270" s="74"/>
      <c r="D270" s="74"/>
    </row>
    <row r="271">
      <c r="A271" s="46"/>
      <c r="B271" s="7"/>
      <c r="C271" s="74"/>
      <c r="D271" s="74"/>
    </row>
    <row r="272">
      <c r="A272" s="46"/>
      <c r="B272" s="7"/>
      <c r="C272" s="74"/>
      <c r="D272" s="74"/>
    </row>
    <row r="273">
      <c r="A273" s="46"/>
      <c r="B273" s="7"/>
      <c r="C273" s="74"/>
      <c r="D273" s="74"/>
    </row>
    <row r="274">
      <c r="A274" s="46"/>
      <c r="B274" s="7"/>
      <c r="C274" s="74"/>
      <c r="D274" s="74"/>
    </row>
    <row r="275">
      <c r="A275" s="46"/>
      <c r="B275" s="7"/>
      <c r="C275" s="74"/>
      <c r="D275" s="74"/>
    </row>
    <row r="276">
      <c r="A276" s="46"/>
      <c r="B276" s="7"/>
      <c r="C276" s="74"/>
      <c r="D276" s="74"/>
    </row>
    <row r="277">
      <c r="A277" s="46"/>
      <c r="B277" s="7"/>
      <c r="C277" s="74"/>
      <c r="D277" s="74"/>
    </row>
    <row r="278">
      <c r="A278" s="46"/>
      <c r="B278" s="7"/>
      <c r="C278" s="74"/>
      <c r="D278" s="74"/>
    </row>
    <row r="279">
      <c r="A279" s="46"/>
      <c r="B279" s="7"/>
      <c r="C279" s="74"/>
      <c r="D279" s="74"/>
    </row>
    <row r="280">
      <c r="A280" s="46"/>
      <c r="B280" s="7"/>
      <c r="C280" s="74"/>
      <c r="D280" s="74"/>
    </row>
    <row r="281">
      <c r="A281" s="46"/>
      <c r="B281" s="7"/>
      <c r="C281" s="74"/>
      <c r="D281" s="74"/>
    </row>
    <row r="282">
      <c r="A282" s="46"/>
      <c r="B282" s="7"/>
      <c r="C282" s="74"/>
      <c r="D282" s="74"/>
    </row>
    <row r="283">
      <c r="A283" s="46"/>
      <c r="B283" s="7"/>
      <c r="C283" s="74"/>
      <c r="D283" s="74"/>
    </row>
    <row r="284">
      <c r="A284" s="46"/>
      <c r="B284" s="7"/>
      <c r="C284" s="74"/>
      <c r="D284" s="74"/>
    </row>
    <row r="285">
      <c r="A285" s="46"/>
      <c r="B285" s="7"/>
      <c r="C285" s="74"/>
      <c r="D285" s="74"/>
    </row>
    <row r="286">
      <c r="A286" s="46"/>
      <c r="B286" s="7"/>
      <c r="C286" s="74"/>
      <c r="D286" s="74"/>
    </row>
    <row r="287">
      <c r="A287" s="46"/>
      <c r="B287" s="7"/>
      <c r="C287" s="74"/>
      <c r="D287" s="74"/>
    </row>
    <row r="288">
      <c r="A288" s="46"/>
      <c r="B288" s="7"/>
      <c r="C288" s="74"/>
      <c r="D288" s="74"/>
    </row>
    <row r="289">
      <c r="A289" s="46"/>
      <c r="B289" s="7"/>
      <c r="C289" s="74"/>
      <c r="D289" s="74"/>
    </row>
    <row r="290">
      <c r="A290" s="46"/>
      <c r="B290" s="7"/>
      <c r="C290" s="74"/>
      <c r="D290" s="74"/>
    </row>
    <row r="291">
      <c r="A291" s="46"/>
      <c r="B291" s="7"/>
      <c r="C291" s="74"/>
      <c r="D291" s="74"/>
    </row>
    <row r="292">
      <c r="A292" s="46"/>
      <c r="B292" s="7"/>
      <c r="C292" s="74"/>
      <c r="D292" s="74"/>
    </row>
    <row r="293">
      <c r="A293" s="46"/>
      <c r="B293" s="7"/>
      <c r="C293" s="74"/>
      <c r="D293" s="74"/>
    </row>
    <row r="294">
      <c r="A294" s="46"/>
      <c r="B294" s="7"/>
      <c r="C294" s="74"/>
      <c r="D294" s="74"/>
    </row>
    <row r="295">
      <c r="A295" s="46"/>
      <c r="B295" s="7"/>
      <c r="C295" s="74"/>
      <c r="D295" s="74"/>
    </row>
    <row r="296">
      <c r="A296" s="46"/>
      <c r="B296" s="7"/>
      <c r="C296" s="74"/>
      <c r="D296" s="74"/>
    </row>
    <row r="297">
      <c r="A297" s="46"/>
      <c r="B297" s="7"/>
      <c r="C297" s="74"/>
      <c r="D297" s="74"/>
    </row>
    <row r="298">
      <c r="A298" s="46"/>
      <c r="B298" s="7"/>
      <c r="C298" s="74"/>
      <c r="D298" s="74"/>
    </row>
    <row r="299">
      <c r="A299" s="46"/>
      <c r="B299" s="7"/>
      <c r="C299" s="74"/>
      <c r="D299" s="74"/>
    </row>
    <row r="300">
      <c r="A300" s="46"/>
      <c r="B300" s="7"/>
      <c r="C300" s="74"/>
      <c r="D300" s="74"/>
    </row>
    <row r="301">
      <c r="A301" s="46"/>
      <c r="B301" s="7"/>
      <c r="C301" s="74"/>
      <c r="D301" s="74"/>
    </row>
    <row r="302">
      <c r="A302" s="46"/>
      <c r="B302" s="7"/>
      <c r="C302" s="74"/>
      <c r="D302" s="74"/>
    </row>
    <row r="303">
      <c r="A303" s="46"/>
      <c r="B303" s="7"/>
      <c r="C303" s="74"/>
      <c r="D303" s="74"/>
    </row>
    <row r="304">
      <c r="A304" s="46"/>
      <c r="B304" s="7"/>
      <c r="C304" s="74"/>
      <c r="D304" s="74"/>
    </row>
    <row r="305">
      <c r="A305" s="46"/>
      <c r="B305" s="7"/>
      <c r="C305" s="74"/>
      <c r="D305" s="74"/>
    </row>
    <row r="306">
      <c r="A306" s="46"/>
      <c r="B306" s="7"/>
      <c r="C306" s="74"/>
      <c r="D306" s="74"/>
    </row>
    <row r="307">
      <c r="A307" s="46"/>
      <c r="B307" s="7"/>
      <c r="C307" s="74"/>
      <c r="D307" s="74"/>
    </row>
    <row r="308">
      <c r="A308" s="46"/>
      <c r="B308" s="7"/>
      <c r="C308" s="74"/>
      <c r="D308" s="74"/>
    </row>
    <row r="309">
      <c r="A309" s="46"/>
      <c r="B309" s="7"/>
      <c r="C309" s="74"/>
      <c r="D309" s="74"/>
    </row>
    <row r="310">
      <c r="A310" s="46"/>
      <c r="B310" s="7"/>
      <c r="C310" s="74"/>
      <c r="D310" s="74"/>
    </row>
    <row r="311">
      <c r="A311" s="46"/>
      <c r="B311" s="7"/>
      <c r="C311" s="74"/>
      <c r="D311" s="74"/>
    </row>
    <row r="312">
      <c r="A312" s="46"/>
      <c r="B312" s="7"/>
      <c r="C312" s="74"/>
      <c r="D312" s="74"/>
    </row>
    <row r="313">
      <c r="A313" s="46"/>
      <c r="B313" s="7"/>
      <c r="C313" s="74"/>
      <c r="D313" s="74"/>
    </row>
    <row r="314">
      <c r="A314" s="46"/>
      <c r="B314" s="7"/>
      <c r="C314" s="74"/>
      <c r="D314" s="74"/>
    </row>
    <row r="315">
      <c r="A315" s="46"/>
      <c r="B315" s="7"/>
      <c r="C315" s="74"/>
      <c r="D315" s="74"/>
    </row>
    <row r="316">
      <c r="A316" s="46"/>
      <c r="B316" s="7"/>
      <c r="C316" s="74"/>
      <c r="D316" s="74"/>
    </row>
    <row r="317">
      <c r="A317" s="46"/>
      <c r="B317" s="7"/>
      <c r="C317" s="74"/>
      <c r="D317" s="74"/>
    </row>
    <row r="318">
      <c r="A318" s="46"/>
      <c r="B318" s="7"/>
      <c r="C318" s="74"/>
      <c r="D318" s="74"/>
    </row>
    <row r="319">
      <c r="A319" s="46"/>
      <c r="B319" s="7"/>
      <c r="C319" s="74"/>
      <c r="D319" s="74"/>
    </row>
    <row r="320">
      <c r="A320" s="46"/>
      <c r="B320" s="7"/>
      <c r="C320" s="74"/>
      <c r="D320" s="74"/>
    </row>
    <row r="321">
      <c r="A321" s="46"/>
      <c r="B321" s="7"/>
      <c r="C321" s="74"/>
      <c r="D321" s="74"/>
    </row>
    <row r="322">
      <c r="A322" s="46"/>
      <c r="B322" s="7"/>
      <c r="C322" s="74"/>
      <c r="D322" s="74"/>
    </row>
    <row r="323">
      <c r="A323" s="46"/>
      <c r="B323" s="7"/>
      <c r="C323" s="74"/>
      <c r="D323" s="74"/>
    </row>
    <row r="324">
      <c r="A324" s="46"/>
      <c r="B324" s="7"/>
      <c r="C324" s="74"/>
      <c r="D324" s="74"/>
    </row>
    <row r="325">
      <c r="A325" s="46"/>
      <c r="B325" s="7"/>
      <c r="C325" s="74"/>
      <c r="D325" s="74"/>
    </row>
    <row r="326">
      <c r="A326" s="46"/>
      <c r="B326" s="7"/>
      <c r="C326" s="74"/>
      <c r="D326" s="74"/>
    </row>
    <row r="327">
      <c r="A327" s="46"/>
      <c r="B327" s="7"/>
      <c r="C327" s="74"/>
      <c r="D327" s="74"/>
    </row>
    <row r="328">
      <c r="A328" s="46"/>
      <c r="B328" s="7"/>
      <c r="C328" s="74"/>
      <c r="D328" s="74"/>
    </row>
    <row r="329">
      <c r="A329" s="46"/>
      <c r="B329" s="7"/>
      <c r="C329" s="74"/>
      <c r="D329" s="74"/>
    </row>
    <row r="330">
      <c r="A330" s="46"/>
      <c r="B330" s="7"/>
      <c r="C330" s="74"/>
      <c r="D330" s="74"/>
    </row>
    <row r="331">
      <c r="A331" s="46"/>
      <c r="B331" s="7"/>
      <c r="C331" s="74"/>
      <c r="D331" s="74"/>
    </row>
    <row r="332">
      <c r="A332" s="46"/>
      <c r="B332" s="7"/>
      <c r="C332" s="74"/>
      <c r="D332" s="74"/>
    </row>
    <row r="333">
      <c r="A333" s="46"/>
      <c r="B333" s="7"/>
      <c r="C333" s="74"/>
      <c r="D333" s="74"/>
    </row>
    <row r="334">
      <c r="A334" s="46"/>
      <c r="B334" s="7"/>
      <c r="C334" s="74"/>
      <c r="D334" s="74"/>
    </row>
    <row r="335">
      <c r="A335" s="46"/>
      <c r="B335" s="7"/>
      <c r="C335" s="74"/>
      <c r="D335" s="74"/>
    </row>
    <row r="336">
      <c r="A336" s="46"/>
      <c r="B336" s="7"/>
      <c r="C336" s="74"/>
      <c r="D336" s="74"/>
    </row>
    <row r="337">
      <c r="A337" s="46"/>
      <c r="B337" s="7"/>
      <c r="C337" s="74"/>
      <c r="D337" s="74"/>
    </row>
    <row r="338">
      <c r="A338" s="46"/>
      <c r="B338" s="7"/>
      <c r="C338" s="74"/>
      <c r="D338" s="74"/>
    </row>
    <row r="339">
      <c r="A339" s="46"/>
      <c r="B339" s="7"/>
      <c r="C339" s="74"/>
      <c r="D339" s="74"/>
    </row>
    <row r="340">
      <c r="A340" s="46"/>
      <c r="B340" s="7"/>
      <c r="C340" s="74"/>
      <c r="D340" s="74"/>
    </row>
    <row r="341">
      <c r="A341" s="46"/>
      <c r="B341" s="7"/>
      <c r="C341" s="74"/>
      <c r="D341" s="74"/>
    </row>
    <row r="342">
      <c r="A342" s="46"/>
      <c r="B342" s="7"/>
      <c r="C342" s="74"/>
      <c r="D342" s="74"/>
    </row>
    <row r="343">
      <c r="A343" s="46"/>
      <c r="B343" s="7"/>
      <c r="C343" s="74"/>
      <c r="D343" s="74"/>
    </row>
    <row r="344">
      <c r="A344" s="46"/>
      <c r="B344" s="7"/>
      <c r="C344" s="74"/>
      <c r="D344" s="74"/>
    </row>
    <row r="345">
      <c r="A345" s="46"/>
      <c r="B345" s="7"/>
      <c r="C345" s="74"/>
      <c r="D345" s="74"/>
    </row>
    <row r="346">
      <c r="A346" s="46"/>
      <c r="B346" s="7"/>
      <c r="C346" s="74"/>
      <c r="D346" s="74"/>
    </row>
    <row r="347">
      <c r="A347" s="46"/>
      <c r="B347" s="7"/>
      <c r="C347" s="74"/>
      <c r="D347" s="74"/>
    </row>
    <row r="348">
      <c r="A348" s="46"/>
      <c r="B348" s="7"/>
      <c r="C348" s="74"/>
      <c r="D348" s="74"/>
    </row>
    <row r="349">
      <c r="A349" s="46"/>
      <c r="B349" s="7"/>
      <c r="C349" s="74"/>
      <c r="D349" s="74"/>
    </row>
    <row r="350">
      <c r="A350" s="46"/>
      <c r="B350" s="7"/>
      <c r="C350" s="74"/>
      <c r="D350" s="74"/>
    </row>
    <row r="351">
      <c r="A351" s="46"/>
      <c r="B351" s="7"/>
      <c r="C351" s="74"/>
      <c r="D351" s="74"/>
    </row>
    <row r="352">
      <c r="A352" s="46"/>
      <c r="B352" s="7"/>
      <c r="C352" s="74"/>
      <c r="D352" s="74"/>
    </row>
    <row r="353">
      <c r="A353" s="46"/>
      <c r="B353" s="7"/>
      <c r="C353" s="74"/>
      <c r="D353" s="74"/>
    </row>
    <row r="354">
      <c r="A354" s="46"/>
      <c r="B354" s="7"/>
      <c r="C354" s="74"/>
      <c r="D354" s="74"/>
    </row>
    <row r="355">
      <c r="A355" s="46"/>
      <c r="B355" s="7"/>
      <c r="C355" s="74"/>
      <c r="D355" s="74"/>
    </row>
    <row r="356">
      <c r="A356" s="46"/>
      <c r="B356" s="7"/>
      <c r="C356" s="74"/>
      <c r="D356" s="74"/>
    </row>
    <row r="357">
      <c r="A357" s="46"/>
      <c r="B357" s="7"/>
      <c r="C357" s="74"/>
      <c r="D357" s="74"/>
    </row>
    <row r="358">
      <c r="A358" s="46"/>
      <c r="B358" s="7"/>
      <c r="C358" s="74"/>
      <c r="D358" s="74"/>
    </row>
    <row r="359">
      <c r="A359" s="46"/>
      <c r="B359" s="7"/>
      <c r="C359" s="74"/>
      <c r="D359" s="74"/>
    </row>
    <row r="360">
      <c r="A360" s="46"/>
      <c r="B360" s="7"/>
      <c r="C360" s="74"/>
      <c r="D360" s="74"/>
    </row>
    <row r="361">
      <c r="A361" s="46"/>
      <c r="B361" s="7"/>
      <c r="C361" s="74"/>
      <c r="D361" s="74"/>
    </row>
    <row r="362">
      <c r="A362" s="46"/>
      <c r="B362" s="7"/>
      <c r="C362" s="74"/>
      <c r="D362" s="74"/>
    </row>
    <row r="363">
      <c r="A363" s="46"/>
      <c r="B363" s="7"/>
      <c r="C363" s="74"/>
      <c r="D363" s="74"/>
    </row>
    <row r="364">
      <c r="A364" s="46"/>
      <c r="B364" s="7"/>
      <c r="C364" s="74"/>
      <c r="D364" s="74"/>
    </row>
    <row r="365">
      <c r="A365" s="46"/>
      <c r="B365" s="7"/>
      <c r="C365" s="74"/>
      <c r="D365" s="74"/>
    </row>
    <row r="366">
      <c r="A366" s="46"/>
      <c r="B366" s="7"/>
      <c r="C366" s="74"/>
      <c r="D366" s="74"/>
    </row>
    <row r="367">
      <c r="A367" s="46"/>
      <c r="B367" s="7"/>
      <c r="C367" s="74"/>
      <c r="D367" s="74"/>
    </row>
    <row r="368">
      <c r="A368" s="46"/>
      <c r="B368" s="7"/>
      <c r="C368" s="74"/>
      <c r="D368" s="74"/>
    </row>
    <row r="369">
      <c r="A369" s="46"/>
      <c r="B369" s="7"/>
      <c r="C369" s="74"/>
      <c r="D369" s="74"/>
    </row>
    <row r="370">
      <c r="A370" s="46"/>
      <c r="B370" s="7"/>
      <c r="C370" s="74"/>
      <c r="D370" s="74"/>
    </row>
    <row r="371">
      <c r="A371" s="46"/>
      <c r="B371" s="7"/>
      <c r="C371" s="74"/>
      <c r="D371" s="74"/>
    </row>
    <row r="372">
      <c r="A372" s="46"/>
      <c r="B372" s="7"/>
      <c r="C372" s="74"/>
      <c r="D372" s="74"/>
    </row>
    <row r="373">
      <c r="A373" s="46"/>
      <c r="B373" s="7"/>
      <c r="C373" s="74"/>
      <c r="D373" s="74"/>
    </row>
    <row r="374">
      <c r="A374" s="46"/>
      <c r="B374" s="7"/>
      <c r="C374" s="74"/>
      <c r="D374" s="74"/>
    </row>
    <row r="375">
      <c r="A375" s="46"/>
      <c r="B375" s="7"/>
      <c r="C375" s="74"/>
      <c r="D375" s="74"/>
    </row>
    <row r="376">
      <c r="A376" s="46"/>
      <c r="B376" s="7"/>
      <c r="C376" s="74"/>
      <c r="D376" s="74"/>
    </row>
    <row r="377">
      <c r="A377" s="46"/>
      <c r="B377" s="7"/>
      <c r="C377" s="74"/>
      <c r="D377" s="74"/>
    </row>
    <row r="378">
      <c r="A378" s="46"/>
      <c r="B378" s="7"/>
      <c r="C378" s="74"/>
      <c r="D378" s="74"/>
    </row>
    <row r="379">
      <c r="A379" s="46"/>
      <c r="B379" s="7"/>
      <c r="C379" s="74"/>
      <c r="D379" s="74"/>
    </row>
    <row r="380">
      <c r="A380" s="46"/>
      <c r="B380" s="7"/>
      <c r="C380" s="74"/>
      <c r="D380" s="74"/>
    </row>
    <row r="381">
      <c r="A381" s="46"/>
      <c r="B381" s="7"/>
      <c r="C381" s="74"/>
      <c r="D381" s="74"/>
    </row>
    <row r="382">
      <c r="A382" s="46"/>
      <c r="B382" s="7"/>
      <c r="C382" s="74"/>
      <c r="D382" s="74"/>
    </row>
    <row r="383">
      <c r="A383" s="46"/>
      <c r="B383" s="7"/>
      <c r="C383" s="74"/>
      <c r="D383" s="74"/>
    </row>
    <row r="384">
      <c r="A384" s="46"/>
      <c r="B384" s="7"/>
      <c r="C384" s="74"/>
      <c r="D384" s="74"/>
    </row>
    <row r="385">
      <c r="A385" s="46"/>
      <c r="B385" s="7"/>
      <c r="C385" s="74"/>
      <c r="D385" s="74"/>
    </row>
    <row r="386">
      <c r="A386" s="46"/>
      <c r="B386" s="7"/>
      <c r="C386" s="74"/>
      <c r="D386" s="74"/>
    </row>
    <row r="387">
      <c r="A387" s="46"/>
      <c r="B387" s="7"/>
      <c r="C387" s="74"/>
      <c r="D387" s="74"/>
    </row>
    <row r="388">
      <c r="A388" s="46"/>
      <c r="B388" s="7"/>
      <c r="C388" s="74"/>
      <c r="D388" s="74"/>
    </row>
    <row r="389">
      <c r="A389" s="46"/>
      <c r="B389" s="7"/>
      <c r="C389" s="74"/>
      <c r="D389" s="74"/>
    </row>
    <row r="390">
      <c r="A390" s="46"/>
      <c r="B390" s="7"/>
      <c r="C390" s="74"/>
      <c r="D390" s="74"/>
    </row>
    <row r="391">
      <c r="A391" s="46"/>
      <c r="B391" s="7"/>
      <c r="C391" s="74"/>
      <c r="D391" s="74"/>
    </row>
    <row r="392">
      <c r="A392" s="46"/>
      <c r="B392" s="7"/>
      <c r="C392" s="74"/>
      <c r="D392" s="74"/>
    </row>
    <row r="393">
      <c r="A393" s="46"/>
      <c r="B393" s="7"/>
      <c r="C393" s="74"/>
      <c r="D393" s="74"/>
    </row>
    <row r="394">
      <c r="A394" s="46"/>
      <c r="B394" s="7"/>
      <c r="C394" s="74"/>
      <c r="D394" s="74"/>
    </row>
    <row r="395">
      <c r="A395" s="46"/>
      <c r="B395" s="7"/>
      <c r="C395" s="74"/>
      <c r="D395" s="74"/>
    </row>
    <row r="396">
      <c r="A396" s="46"/>
      <c r="B396" s="7"/>
      <c r="C396" s="74"/>
      <c r="D396" s="74"/>
    </row>
    <row r="397">
      <c r="A397" s="46"/>
      <c r="B397" s="7"/>
      <c r="C397" s="74"/>
      <c r="D397" s="74"/>
    </row>
    <row r="398">
      <c r="A398" s="46"/>
      <c r="B398" s="7"/>
      <c r="C398" s="74"/>
      <c r="D398" s="74"/>
    </row>
    <row r="399">
      <c r="A399" s="46"/>
      <c r="B399" s="7"/>
      <c r="C399" s="74"/>
      <c r="D399" s="74"/>
    </row>
    <row r="400">
      <c r="A400" s="46"/>
      <c r="B400" s="7"/>
      <c r="C400" s="74"/>
      <c r="D400" s="74"/>
    </row>
    <row r="401">
      <c r="A401" s="46"/>
      <c r="B401" s="7"/>
      <c r="C401" s="74"/>
      <c r="D401" s="74"/>
    </row>
    <row r="402">
      <c r="A402" s="46"/>
      <c r="B402" s="7"/>
      <c r="C402" s="74"/>
      <c r="D402" s="74"/>
    </row>
    <row r="403">
      <c r="A403" s="46"/>
      <c r="B403" s="7"/>
      <c r="C403" s="74"/>
      <c r="D403" s="74"/>
    </row>
    <row r="404">
      <c r="A404" s="46"/>
      <c r="B404" s="7"/>
      <c r="C404" s="74"/>
      <c r="D404" s="74"/>
    </row>
    <row r="405">
      <c r="A405" s="46"/>
      <c r="B405" s="7"/>
      <c r="C405" s="74"/>
      <c r="D405" s="74"/>
    </row>
    <row r="406">
      <c r="A406" s="46"/>
      <c r="B406" s="7"/>
      <c r="C406" s="74"/>
      <c r="D406" s="74"/>
    </row>
    <row r="407">
      <c r="A407" s="46"/>
      <c r="B407" s="7"/>
      <c r="C407" s="74"/>
      <c r="D407" s="74"/>
    </row>
    <row r="408">
      <c r="A408" s="46"/>
      <c r="B408" s="7"/>
      <c r="C408" s="74"/>
      <c r="D408" s="74"/>
    </row>
    <row r="409">
      <c r="A409" s="46"/>
      <c r="B409" s="7"/>
      <c r="C409" s="74"/>
      <c r="D409" s="74"/>
    </row>
    <row r="410">
      <c r="A410" s="46"/>
      <c r="B410" s="7"/>
      <c r="C410" s="74"/>
      <c r="D410" s="74"/>
    </row>
    <row r="411">
      <c r="A411" s="46"/>
      <c r="B411" s="7"/>
      <c r="C411" s="74"/>
      <c r="D411" s="74"/>
    </row>
    <row r="412">
      <c r="A412" s="46"/>
      <c r="B412" s="7"/>
      <c r="C412" s="74"/>
      <c r="D412" s="74"/>
    </row>
    <row r="413">
      <c r="A413" s="46"/>
      <c r="B413" s="7"/>
      <c r="C413" s="74"/>
      <c r="D413" s="74"/>
    </row>
    <row r="414">
      <c r="A414" s="46"/>
      <c r="B414" s="7"/>
      <c r="C414" s="74"/>
      <c r="D414" s="74"/>
    </row>
    <row r="415">
      <c r="A415" s="46"/>
      <c r="B415" s="7"/>
      <c r="C415" s="74"/>
      <c r="D415" s="74"/>
    </row>
    <row r="416">
      <c r="A416" s="46"/>
      <c r="B416" s="7"/>
      <c r="C416" s="74"/>
      <c r="D416" s="74"/>
    </row>
    <row r="417">
      <c r="A417" s="46"/>
      <c r="B417" s="7"/>
      <c r="C417" s="74"/>
      <c r="D417" s="74"/>
    </row>
    <row r="418">
      <c r="A418" s="46"/>
      <c r="B418" s="7"/>
      <c r="C418" s="74"/>
      <c r="D418" s="74"/>
    </row>
    <row r="419">
      <c r="A419" s="46"/>
      <c r="B419" s="7"/>
      <c r="C419" s="74"/>
      <c r="D419" s="74"/>
    </row>
    <row r="420">
      <c r="A420" s="46"/>
      <c r="B420" s="7"/>
      <c r="C420" s="74"/>
      <c r="D420" s="74"/>
    </row>
    <row r="421">
      <c r="A421" s="46"/>
      <c r="B421" s="7"/>
      <c r="C421" s="74"/>
      <c r="D421" s="74"/>
    </row>
    <row r="422">
      <c r="A422" s="46"/>
      <c r="B422" s="7"/>
      <c r="C422" s="74"/>
      <c r="D422" s="74"/>
    </row>
    <row r="423">
      <c r="A423" s="46"/>
      <c r="B423" s="7"/>
      <c r="C423" s="74"/>
      <c r="D423" s="74"/>
    </row>
    <row r="424">
      <c r="A424" s="46"/>
      <c r="B424" s="7"/>
      <c r="C424" s="74"/>
      <c r="D424" s="74"/>
    </row>
    <row r="425">
      <c r="A425" s="46"/>
      <c r="B425" s="7"/>
      <c r="C425" s="74"/>
      <c r="D425" s="74"/>
    </row>
    <row r="426">
      <c r="A426" s="46"/>
      <c r="B426" s="7"/>
      <c r="C426" s="74"/>
      <c r="D426" s="74"/>
    </row>
    <row r="427">
      <c r="A427" s="46"/>
      <c r="B427" s="7"/>
      <c r="C427" s="74"/>
      <c r="D427" s="74"/>
    </row>
    <row r="428">
      <c r="A428" s="46"/>
      <c r="B428" s="7"/>
      <c r="C428" s="74"/>
      <c r="D428" s="74"/>
    </row>
    <row r="429">
      <c r="A429" s="46"/>
      <c r="B429" s="7"/>
      <c r="C429" s="74"/>
      <c r="D429" s="74"/>
    </row>
    <row r="430">
      <c r="A430" s="46"/>
      <c r="B430" s="7"/>
      <c r="C430" s="74"/>
      <c r="D430" s="74"/>
    </row>
    <row r="431">
      <c r="A431" s="46"/>
      <c r="B431" s="7"/>
      <c r="C431" s="74"/>
      <c r="D431" s="74"/>
    </row>
    <row r="432">
      <c r="A432" s="46"/>
      <c r="B432" s="7"/>
      <c r="C432" s="74"/>
      <c r="D432" s="74"/>
    </row>
    <row r="433">
      <c r="A433" s="46"/>
      <c r="B433" s="7"/>
      <c r="C433" s="74"/>
      <c r="D433" s="74"/>
    </row>
    <row r="434">
      <c r="A434" s="46"/>
      <c r="B434" s="7"/>
      <c r="C434" s="74"/>
      <c r="D434" s="74"/>
    </row>
    <row r="435">
      <c r="A435" s="46"/>
      <c r="B435" s="7"/>
      <c r="C435" s="74"/>
      <c r="D435" s="74"/>
    </row>
    <row r="436">
      <c r="A436" s="46"/>
      <c r="B436" s="7"/>
      <c r="C436" s="74"/>
      <c r="D436" s="74"/>
    </row>
    <row r="437">
      <c r="A437" s="46"/>
      <c r="B437" s="7"/>
      <c r="C437" s="74"/>
      <c r="D437" s="74"/>
    </row>
    <row r="438">
      <c r="A438" s="46"/>
      <c r="B438" s="7"/>
      <c r="C438" s="74"/>
      <c r="D438" s="74"/>
    </row>
    <row r="439">
      <c r="A439" s="46"/>
      <c r="B439" s="7"/>
      <c r="C439" s="74"/>
      <c r="D439" s="74"/>
    </row>
    <row r="440">
      <c r="A440" s="46"/>
      <c r="B440" s="7"/>
      <c r="C440" s="74"/>
      <c r="D440" s="74"/>
    </row>
    <row r="441">
      <c r="A441" s="46"/>
      <c r="B441" s="7"/>
      <c r="C441" s="74"/>
      <c r="D441" s="74"/>
    </row>
    <row r="442">
      <c r="A442" s="46"/>
      <c r="B442" s="7"/>
      <c r="C442" s="74"/>
      <c r="D442" s="74"/>
    </row>
    <row r="443">
      <c r="A443" s="46"/>
      <c r="B443" s="7"/>
      <c r="C443" s="74"/>
      <c r="D443" s="74"/>
    </row>
    <row r="444">
      <c r="A444" s="46"/>
      <c r="B444" s="7"/>
      <c r="C444" s="74"/>
      <c r="D444" s="74"/>
    </row>
    <row r="445">
      <c r="A445" s="46"/>
      <c r="B445" s="7"/>
      <c r="C445" s="74"/>
      <c r="D445" s="74"/>
    </row>
    <row r="446">
      <c r="A446" s="46"/>
      <c r="B446" s="7"/>
      <c r="C446" s="74"/>
      <c r="D446" s="74"/>
    </row>
    <row r="447">
      <c r="A447" s="46"/>
      <c r="B447" s="7"/>
      <c r="C447" s="74"/>
      <c r="D447" s="74"/>
    </row>
    <row r="448">
      <c r="A448" s="46"/>
      <c r="B448" s="7"/>
      <c r="C448" s="74"/>
      <c r="D448" s="74"/>
    </row>
    <row r="449">
      <c r="A449" s="46"/>
      <c r="B449" s="7"/>
      <c r="C449" s="74"/>
      <c r="D449" s="74"/>
    </row>
    <row r="450">
      <c r="A450" s="46"/>
      <c r="B450" s="7"/>
      <c r="C450" s="74"/>
      <c r="D450" s="74"/>
    </row>
    <row r="451">
      <c r="A451" s="46"/>
      <c r="B451" s="7"/>
      <c r="C451" s="74"/>
      <c r="D451" s="74"/>
    </row>
    <row r="452">
      <c r="A452" s="46"/>
      <c r="B452" s="7"/>
      <c r="C452" s="74"/>
      <c r="D452" s="74"/>
    </row>
    <row r="453">
      <c r="A453" s="46"/>
      <c r="B453" s="7"/>
      <c r="C453" s="74"/>
      <c r="D453" s="74"/>
    </row>
    <row r="454">
      <c r="A454" s="46"/>
      <c r="B454" s="7"/>
      <c r="C454" s="74"/>
      <c r="D454" s="74"/>
    </row>
    <row r="455">
      <c r="A455" s="46"/>
      <c r="B455" s="7"/>
      <c r="C455" s="74"/>
      <c r="D455" s="74"/>
    </row>
    <row r="456">
      <c r="A456" s="46"/>
      <c r="B456" s="7"/>
      <c r="C456" s="74"/>
      <c r="D456" s="74"/>
    </row>
    <row r="457">
      <c r="A457" s="46"/>
      <c r="B457" s="7"/>
      <c r="C457" s="74"/>
      <c r="D457" s="74"/>
    </row>
    <row r="458">
      <c r="A458" s="46"/>
      <c r="B458" s="7"/>
      <c r="C458" s="74"/>
      <c r="D458" s="74"/>
    </row>
    <row r="459">
      <c r="A459" s="46"/>
      <c r="B459" s="7"/>
      <c r="C459" s="74"/>
      <c r="D459" s="74"/>
    </row>
    <row r="460">
      <c r="A460" s="46"/>
      <c r="B460" s="7"/>
      <c r="C460" s="74"/>
      <c r="D460" s="74"/>
    </row>
    <row r="461">
      <c r="A461" s="46"/>
      <c r="B461" s="7"/>
      <c r="C461" s="74"/>
      <c r="D461" s="74"/>
    </row>
    <row r="462">
      <c r="A462" s="46"/>
      <c r="B462" s="7"/>
      <c r="C462" s="74"/>
      <c r="D462" s="74"/>
    </row>
    <row r="463">
      <c r="A463" s="46"/>
      <c r="B463" s="7"/>
      <c r="C463" s="74"/>
      <c r="D463" s="74"/>
    </row>
    <row r="464">
      <c r="A464" s="46"/>
      <c r="B464" s="7"/>
      <c r="C464" s="74"/>
      <c r="D464" s="74"/>
    </row>
    <row r="465">
      <c r="A465" s="46"/>
      <c r="B465" s="7"/>
      <c r="C465" s="74"/>
      <c r="D465" s="74"/>
    </row>
    <row r="466">
      <c r="A466" s="46"/>
      <c r="B466" s="7"/>
      <c r="C466" s="74"/>
      <c r="D466" s="74"/>
    </row>
    <row r="467">
      <c r="A467" s="46"/>
      <c r="B467" s="7"/>
      <c r="C467" s="74"/>
      <c r="D467" s="74"/>
    </row>
    <row r="468">
      <c r="A468" s="46"/>
      <c r="B468" s="7"/>
      <c r="C468" s="74"/>
      <c r="D468" s="74"/>
    </row>
    <row r="469">
      <c r="A469" s="46"/>
      <c r="B469" s="7"/>
      <c r="C469" s="74"/>
      <c r="D469" s="74"/>
    </row>
    <row r="470">
      <c r="A470" s="46"/>
      <c r="B470" s="7"/>
      <c r="C470" s="74"/>
      <c r="D470" s="74"/>
    </row>
    <row r="471">
      <c r="A471" s="46"/>
      <c r="B471" s="7"/>
      <c r="C471" s="74"/>
      <c r="D471" s="74"/>
    </row>
    <row r="472">
      <c r="A472" s="46"/>
      <c r="B472" s="7"/>
      <c r="C472" s="74"/>
      <c r="D472" s="74"/>
    </row>
    <row r="473">
      <c r="A473" s="46"/>
      <c r="B473" s="7"/>
      <c r="C473" s="74"/>
      <c r="D473" s="74"/>
    </row>
    <row r="474">
      <c r="A474" s="46"/>
      <c r="B474" s="7"/>
      <c r="C474" s="74"/>
      <c r="D474" s="74"/>
    </row>
    <row r="475">
      <c r="A475" s="46"/>
      <c r="B475" s="7"/>
      <c r="C475" s="74"/>
      <c r="D475" s="74"/>
    </row>
    <row r="476">
      <c r="A476" s="46"/>
      <c r="B476" s="7"/>
      <c r="C476" s="74"/>
      <c r="D476" s="74"/>
    </row>
    <row r="477">
      <c r="A477" s="46"/>
      <c r="B477" s="7"/>
      <c r="C477" s="74"/>
      <c r="D477" s="74"/>
    </row>
    <row r="478">
      <c r="A478" s="46"/>
      <c r="B478" s="7"/>
      <c r="C478" s="74"/>
      <c r="D478" s="74"/>
    </row>
    <row r="479">
      <c r="A479" s="46"/>
      <c r="B479" s="7"/>
      <c r="C479" s="74"/>
      <c r="D479" s="74"/>
    </row>
    <row r="480">
      <c r="A480" s="46"/>
      <c r="B480" s="7"/>
      <c r="C480" s="74"/>
      <c r="D480" s="74"/>
    </row>
    <row r="481">
      <c r="A481" s="46"/>
      <c r="B481" s="7"/>
      <c r="C481" s="74"/>
      <c r="D481" s="74"/>
    </row>
    <row r="482">
      <c r="A482" s="46"/>
      <c r="B482" s="7"/>
      <c r="C482" s="74"/>
      <c r="D482" s="74"/>
    </row>
    <row r="483">
      <c r="A483" s="46"/>
      <c r="B483" s="7"/>
      <c r="C483" s="74"/>
      <c r="D483" s="74"/>
    </row>
    <row r="484">
      <c r="A484" s="46"/>
      <c r="B484" s="7"/>
      <c r="C484" s="74"/>
      <c r="D484" s="74"/>
    </row>
    <row r="485">
      <c r="A485" s="46"/>
      <c r="B485" s="7"/>
      <c r="C485" s="74"/>
      <c r="D485" s="74"/>
    </row>
    <row r="486">
      <c r="A486" s="46"/>
      <c r="B486" s="7"/>
      <c r="C486" s="74"/>
      <c r="D486" s="74"/>
    </row>
    <row r="487">
      <c r="A487" s="46"/>
      <c r="B487" s="7"/>
      <c r="C487" s="74"/>
      <c r="D487" s="74"/>
    </row>
    <row r="488">
      <c r="A488" s="46"/>
      <c r="B488" s="7"/>
      <c r="C488" s="74"/>
      <c r="D488" s="74"/>
    </row>
    <row r="489">
      <c r="A489" s="46"/>
      <c r="B489" s="7"/>
      <c r="C489" s="74"/>
      <c r="D489" s="74"/>
    </row>
    <row r="490">
      <c r="A490" s="46"/>
      <c r="B490" s="7"/>
      <c r="C490" s="74"/>
      <c r="D490" s="74"/>
    </row>
    <row r="491">
      <c r="A491" s="46"/>
      <c r="B491" s="7"/>
      <c r="C491" s="74"/>
      <c r="D491" s="74"/>
    </row>
    <row r="492">
      <c r="A492" s="46"/>
      <c r="B492" s="7"/>
      <c r="C492" s="74"/>
      <c r="D492" s="74"/>
    </row>
    <row r="493">
      <c r="A493" s="46"/>
      <c r="B493" s="7"/>
      <c r="C493" s="74"/>
      <c r="D493" s="74"/>
    </row>
    <row r="494">
      <c r="A494" s="46"/>
      <c r="B494" s="7"/>
      <c r="C494" s="74"/>
      <c r="D494" s="74"/>
    </row>
    <row r="495">
      <c r="A495" s="46"/>
      <c r="B495" s="7"/>
      <c r="C495" s="74"/>
      <c r="D495" s="74"/>
    </row>
    <row r="496">
      <c r="A496" s="46"/>
      <c r="B496" s="7"/>
      <c r="C496" s="74"/>
      <c r="D496" s="74"/>
    </row>
    <row r="497">
      <c r="A497" s="46"/>
      <c r="B497" s="7"/>
      <c r="C497" s="74"/>
      <c r="D497" s="74"/>
    </row>
    <row r="498">
      <c r="A498" s="46"/>
      <c r="B498" s="7"/>
      <c r="C498" s="74"/>
      <c r="D498" s="74"/>
    </row>
    <row r="499">
      <c r="A499" s="46"/>
      <c r="B499" s="7"/>
      <c r="C499" s="74"/>
      <c r="D499" s="74"/>
    </row>
    <row r="500">
      <c r="A500" s="46"/>
      <c r="B500" s="7"/>
      <c r="C500" s="74"/>
      <c r="D500" s="74"/>
    </row>
    <row r="501">
      <c r="A501" s="46"/>
      <c r="B501" s="7"/>
      <c r="C501" s="74"/>
      <c r="D501" s="74"/>
    </row>
    <row r="502">
      <c r="A502" s="46"/>
      <c r="B502" s="7"/>
      <c r="C502" s="74"/>
      <c r="D502" s="74"/>
    </row>
    <row r="503">
      <c r="A503" s="46"/>
      <c r="B503" s="7"/>
      <c r="C503" s="74"/>
      <c r="D503" s="74"/>
    </row>
    <row r="504">
      <c r="A504" s="46"/>
      <c r="B504" s="7"/>
      <c r="C504" s="74"/>
      <c r="D504" s="74"/>
    </row>
    <row r="505">
      <c r="A505" s="46"/>
      <c r="B505" s="7"/>
      <c r="C505" s="74"/>
      <c r="D505" s="74"/>
    </row>
    <row r="506">
      <c r="A506" s="46"/>
      <c r="B506" s="7"/>
      <c r="C506" s="74"/>
      <c r="D506" s="74"/>
    </row>
    <row r="507">
      <c r="A507" s="46"/>
      <c r="B507" s="7"/>
      <c r="C507" s="74"/>
      <c r="D507" s="74"/>
    </row>
    <row r="508">
      <c r="A508" s="46"/>
      <c r="B508" s="7"/>
      <c r="C508" s="74"/>
      <c r="D508" s="74"/>
    </row>
    <row r="509">
      <c r="A509" s="46"/>
      <c r="B509" s="7"/>
      <c r="C509" s="74"/>
      <c r="D509" s="74"/>
    </row>
    <row r="510">
      <c r="A510" s="46"/>
      <c r="B510" s="7"/>
      <c r="C510" s="74"/>
      <c r="D510" s="74"/>
    </row>
    <row r="511">
      <c r="A511" s="46"/>
      <c r="B511" s="7"/>
      <c r="C511" s="74"/>
      <c r="D511" s="74"/>
    </row>
    <row r="512">
      <c r="A512" s="46"/>
      <c r="B512" s="7"/>
      <c r="C512" s="74"/>
      <c r="D512" s="74"/>
    </row>
    <row r="513">
      <c r="A513" s="46"/>
      <c r="B513" s="7"/>
      <c r="C513" s="74"/>
      <c r="D513" s="74"/>
    </row>
    <row r="514">
      <c r="A514" s="46"/>
      <c r="B514" s="7"/>
      <c r="C514" s="74"/>
      <c r="D514" s="74"/>
    </row>
    <row r="515">
      <c r="A515" s="46"/>
      <c r="B515" s="7"/>
      <c r="C515" s="74"/>
      <c r="D515" s="74"/>
    </row>
    <row r="516">
      <c r="A516" s="46"/>
      <c r="B516" s="7"/>
      <c r="C516" s="74"/>
      <c r="D516" s="74"/>
    </row>
    <row r="517">
      <c r="A517" s="46"/>
      <c r="B517" s="7"/>
      <c r="C517" s="74"/>
      <c r="D517" s="74"/>
    </row>
    <row r="518">
      <c r="A518" s="46"/>
      <c r="B518" s="7"/>
      <c r="C518" s="74"/>
      <c r="D518" s="74"/>
    </row>
    <row r="519">
      <c r="A519" s="46"/>
      <c r="B519" s="7"/>
      <c r="C519" s="74"/>
      <c r="D519" s="74"/>
    </row>
    <row r="520">
      <c r="A520" s="46"/>
      <c r="B520" s="7"/>
      <c r="C520" s="74"/>
      <c r="D520" s="74"/>
    </row>
    <row r="521">
      <c r="A521" s="46"/>
      <c r="B521" s="7"/>
      <c r="C521" s="74"/>
      <c r="D521" s="74"/>
    </row>
    <row r="522">
      <c r="A522" s="46"/>
      <c r="B522" s="7"/>
      <c r="C522" s="74"/>
      <c r="D522" s="74"/>
    </row>
    <row r="523">
      <c r="A523" s="46"/>
      <c r="B523" s="7"/>
      <c r="C523" s="74"/>
      <c r="D523" s="74"/>
    </row>
    <row r="524">
      <c r="A524" s="46"/>
      <c r="B524" s="7"/>
      <c r="C524" s="74"/>
      <c r="D524" s="74"/>
    </row>
    <row r="525">
      <c r="A525" s="46"/>
      <c r="B525" s="7"/>
      <c r="C525" s="74"/>
      <c r="D525" s="74"/>
    </row>
    <row r="526">
      <c r="A526" s="46"/>
      <c r="B526" s="7"/>
      <c r="C526" s="74"/>
      <c r="D526" s="74"/>
    </row>
    <row r="527">
      <c r="A527" s="46"/>
      <c r="B527" s="7"/>
      <c r="C527" s="74"/>
      <c r="D527" s="74"/>
    </row>
    <row r="528">
      <c r="A528" s="46"/>
      <c r="B528" s="7"/>
      <c r="C528" s="74"/>
      <c r="D528" s="74"/>
    </row>
    <row r="529">
      <c r="A529" s="46"/>
      <c r="B529" s="7"/>
      <c r="C529" s="74"/>
      <c r="D529" s="74"/>
    </row>
    <row r="530">
      <c r="A530" s="46"/>
      <c r="B530" s="7"/>
      <c r="C530" s="74"/>
      <c r="D530" s="74"/>
    </row>
    <row r="531">
      <c r="A531" s="46"/>
      <c r="B531" s="7"/>
      <c r="C531" s="74"/>
      <c r="D531" s="74"/>
    </row>
    <row r="532">
      <c r="A532" s="46"/>
      <c r="B532" s="7"/>
      <c r="C532" s="74"/>
      <c r="D532" s="74"/>
    </row>
    <row r="533">
      <c r="A533" s="46"/>
      <c r="B533" s="7"/>
      <c r="C533" s="74"/>
      <c r="D533" s="74"/>
    </row>
    <row r="534">
      <c r="A534" s="46"/>
      <c r="B534" s="7"/>
      <c r="C534" s="74"/>
      <c r="D534" s="74"/>
    </row>
    <row r="535">
      <c r="A535" s="46"/>
      <c r="B535" s="7"/>
      <c r="C535" s="74"/>
      <c r="D535" s="74"/>
    </row>
    <row r="536">
      <c r="A536" s="46"/>
      <c r="B536" s="7"/>
      <c r="C536" s="74"/>
      <c r="D536" s="74"/>
    </row>
    <row r="537">
      <c r="A537" s="46"/>
      <c r="B537" s="7"/>
      <c r="C537" s="74"/>
      <c r="D537" s="74"/>
    </row>
    <row r="538">
      <c r="A538" s="46"/>
      <c r="B538" s="7"/>
      <c r="C538" s="74"/>
      <c r="D538" s="74"/>
    </row>
    <row r="539">
      <c r="A539" s="46"/>
      <c r="B539" s="7"/>
      <c r="C539" s="74"/>
      <c r="D539" s="74"/>
    </row>
    <row r="540">
      <c r="A540" s="46"/>
      <c r="B540" s="7"/>
      <c r="C540" s="74"/>
      <c r="D540" s="74"/>
    </row>
    <row r="541">
      <c r="A541" s="46"/>
      <c r="B541" s="7"/>
      <c r="C541" s="74"/>
      <c r="D541" s="74"/>
    </row>
    <row r="542">
      <c r="A542" s="46"/>
      <c r="B542" s="7"/>
      <c r="C542" s="74"/>
      <c r="D542" s="74"/>
    </row>
    <row r="543">
      <c r="A543" s="46"/>
      <c r="B543" s="7"/>
      <c r="C543" s="74"/>
      <c r="D543" s="74"/>
    </row>
    <row r="544">
      <c r="A544" s="46"/>
      <c r="B544" s="7"/>
      <c r="C544" s="74"/>
      <c r="D544" s="74"/>
    </row>
    <row r="545">
      <c r="A545" s="46"/>
      <c r="B545" s="7"/>
      <c r="C545" s="74"/>
      <c r="D545" s="74"/>
    </row>
    <row r="546">
      <c r="A546" s="46"/>
      <c r="B546" s="7"/>
      <c r="C546" s="74"/>
      <c r="D546" s="74"/>
    </row>
    <row r="547">
      <c r="A547" s="46"/>
      <c r="B547" s="7"/>
      <c r="C547" s="74"/>
      <c r="D547" s="74"/>
    </row>
    <row r="548">
      <c r="A548" s="46"/>
      <c r="B548" s="7"/>
      <c r="C548" s="74"/>
      <c r="D548" s="74"/>
    </row>
    <row r="549">
      <c r="A549" s="46"/>
      <c r="B549" s="7"/>
      <c r="C549" s="74"/>
      <c r="D549" s="74"/>
    </row>
    <row r="550">
      <c r="A550" s="46"/>
      <c r="B550" s="7"/>
      <c r="C550" s="74"/>
      <c r="D550" s="74"/>
    </row>
    <row r="551">
      <c r="A551" s="46"/>
      <c r="B551" s="7"/>
      <c r="C551" s="74"/>
      <c r="D551" s="74"/>
    </row>
    <row r="552">
      <c r="A552" s="46"/>
      <c r="B552" s="7"/>
      <c r="C552" s="74"/>
      <c r="D552" s="74"/>
    </row>
    <row r="553">
      <c r="A553" s="46"/>
      <c r="B553" s="7"/>
      <c r="C553" s="74"/>
      <c r="D553" s="74"/>
    </row>
    <row r="554">
      <c r="A554" s="46"/>
      <c r="B554" s="7"/>
      <c r="C554" s="74"/>
      <c r="D554" s="74"/>
    </row>
    <row r="555">
      <c r="A555" s="46"/>
      <c r="B555" s="7"/>
      <c r="C555" s="74"/>
      <c r="D555" s="74"/>
    </row>
    <row r="556">
      <c r="A556" s="46"/>
      <c r="B556" s="7"/>
      <c r="C556" s="74"/>
      <c r="D556" s="74"/>
    </row>
    <row r="557">
      <c r="A557" s="46"/>
      <c r="B557" s="7"/>
      <c r="C557" s="74"/>
      <c r="D557" s="74"/>
    </row>
    <row r="558">
      <c r="A558" s="46"/>
      <c r="B558" s="7"/>
      <c r="C558" s="74"/>
      <c r="D558" s="74"/>
    </row>
    <row r="559">
      <c r="A559" s="46"/>
      <c r="B559" s="7"/>
      <c r="C559" s="74"/>
      <c r="D559" s="74"/>
    </row>
    <row r="560">
      <c r="A560" s="46"/>
      <c r="B560" s="7"/>
      <c r="C560" s="74"/>
      <c r="D560" s="74"/>
    </row>
    <row r="561">
      <c r="A561" s="46"/>
      <c r="B561" s="7"/>
      <c r="C561" s="74"/>
      <c r="D561" s="74"/>
    </row>
    <row r="562">
      <c r="A562" s="46"/>
      <c r="B562" s="7"/>
      <c r="C562" s="74"/>
      <c r="D562" s="74"/>
    </row>
    <row r="563">
      <c r="A563" s="46"/>
      <c r="B563" s="7"/>
      <c r="C563" s="74"/>
      <c r="D563" s="74"/>
    </row>
    <row r="564">
      <c r="A564" s="46"/>
      <c r="B564" s="7"/>
      <c r="C564" s="74"/>
      <c r="D564" s="74"/>
    </row>
    <row r="565">
      <c r="A565" s="46"/>
      <c r="B565" s="7"/>
      <c r="C565" s="74"/>
      <c r="D565" s="74"/>
    </row>
    <row r="566">
      <c r="A566" s="46"/>
      <c r="B566" s="7"/>
      <c r="C566" s="74"/>
      <c r="D566" s="74"/>
    </row>
    <row r="567">
      <c r="A567" s="46"/>
      <c r="B567" s="7"/>
      <c r="C567" s="74"/>
      <c r="D567" s="74"/>
    </row>
    <row r="568">
      <c r="A568" s="46"/>
      <c r="B568" s="7"/>
      <c r="C568" s="74"/>
      <c r="D568" s="74"/>
    </row>
    <row r="569">
      <c r="A569" s="46"/>
      <c r="B569" s="7"/>
      <c r="C569" s="74"/>
      <c r="D569" s="74"/>
    </row>
    <row r="570">
      <c r="A570" s="46"/>
      <c r="B570" s="7"/>
      <c r="C570" s="74"/>
      <c r="D570" s="74"/>
    </row>
    <row r="571">
      <c r="A571" s="46"/>
      <c r="B571" s="7"/>
      <c r="C571" s="74"/>
      <c r="D571" s="74"/>
    </row>
    <row r="572">
      <c r="A572" s="46"/>
      <c r="B572" s="7"/>
      <c r="C572" s="74"/>
      <c r="D572" s="74"/>
    </row>
    <row r="573">
      <c r="A573" s="46"/>
      <c r="B573" s="7"/>
      <c r="C573" s="74"/>
      <c r="D573" s="74"/>
    </row>
    <row r="574">
      <c r="A574" s="46"/>
      <c r="B574" s="7"/>
      <c r="C574" s="74"/>
      <c r="D574" s="74"/>
    </row>
    <row r="575">
      <c r="A575" s="46"/>
      <c r="B575" s="7"/>
      <c r="C575" s="74"/>
      <c r="D575" s="74"/>
    </row>
    <row r="576">
      <c r="A576" s="46"/>
      <c r="B576" s="7"/>
      <c r="C576" s="74"/>
      <c r="D576" s="74"/>
    </row>
    <row r="577">
      <c r="A577" s="46"/>
      <c r="B577" s="7"/>
      <c r="C577" s="74"/>
      <c r="D577" s="74"/>
    </row>
    <row r="578">
      <c r="A578" s="46"/>
      <c r="B578" s="7"/>
      <c r="C578" s="74"/>
      <c r="D578" s="74"/>
    </row>
    <row r="579">
      <c r="A579" s="46"/>
      <c r="B579" s="7"/>
      <c r="C579" s="74"/>
      <c r="D579" s="74"/>
    </row>
    <row r="580">
      <c r="A580" s="46"/>
      <c r="B580" s="7"/>
      <c r="C580" s="74"/>
      <c r="D580" s="74"/>
    </row>
    <row r="581">
      <c r="A581" s="46"/>
      <c r="B581" s="7"/>
      <c r="C581" s="74"/>
      <c r="D581" s="74"/>
    </row>
    <row r="582">
      <c r="A582" s="46"/>
      <c r="B582" s="7"/>
      <c r="C582" s="74"/>
      <c r="D582" s="74"/>
    </row>
    <row r="583">
      <c r="A583" s="46"/>
      <c r="B583" s="7"/>
      <c r="C583" s="74"/>
      <c r="D583" s="74"/>
    </row>
    <row r="584">
      <c r="A584" s="46"/>
      <c r="B584" s="7"/>
      <c r="C584" s="74"/>
      <c r="D584" s="74"/>
    </row>
    <row r="585">
      <c r="A585" s="46"/>
      <c r="B585" s="7"/>
      <c r="C585" s="74"/>
      <c r="D585" s="74"/>
    </row>
    <row r="586">
      <c r="A586" s="46"/>
      <c r="B586" s="7"/>
      <c r="C586" s="74"/>
      <c r="D586" s="74"/>
    </row>
    <row r="587">
      <c r="A587" s="46"/>
      <c r="B587" s="7"/>
      <c r="C587" s="74"/>
      <c r="D587" s="74"/>
    </row>
    <row r="588">
      <c r="A588" s="46"/>
      <c r="B588" s="7"/>
      <c r="C588" s="74"/>
      <c r="D588" s="74"/>
    </row>
    <row r="589">
      <c r="A589" s="46"/>
      <c r="B589" s="7"/>
      <c r="C589" s="74"/>
      <c r="D589" s="74"/>
    </row>
    <row r="590">
      <c r="A590" s="46"/>
      <c r="B590" s="7"/>
      <c r="C590" s="74"/>
      <c r="D590" s="74"/>
    </row>
    <row r="591">
      <c r="A591" s="46"/>
      <c r="B591" s="7"/>
      <c r="C591" s="74"/>
      <c r="D591" s="74"/>
    </row>
    <row r="592">
      <c r="A592" s="46"/>
      <c r="B592" s="7"/>
      <c r="C592" s="74"/>
      <c r="D592" s="74"/>
    </row>
    <row r="593">
      <c r="A593" s="46"/>
      <c r="B593" s="7"/>
      <c r="C593" s="74"/>
      <c r="D593" s="74"/>
    </row>
    <row r="594">
      <c r="A594" s="46"/>
      <c r="B594" s="7"/>
      <c r="C594" s="74"/>
      <c r="D594" s="74"/>
    </row>
    <row r="595">
      <c r="A595" s="46"/>
      <c r="B595" s="7"/>
      <c r="C595" s="74"/>
      <c r="D595" s="74"/>
    </row>
    <row r="596">
      <c r="A596" s="46"/>
      <c r="B596" s="7"/>
      <c r="C596" s="74"/>
      <c r="D596" s="74"/>
    </row>
    <row r="597">
      <c r="A597" s="46"/>
      <c r="B597" s="7"/>
      <c r="C597" s="74"/>
      <c r="D597" s="74"/>
    </row>
    <row r="598">
      <c r="A598" s="46"/>
      <c r="B598" s="7"/>
      <c r="C598" s="74"/>
      <c r="D598" s="74"/>
    </row>
    <row r="599">
      <c r="A599" s="46"/>
      <c r="B599" s="7"/>
      <c r="C599" s="74"/>
      <c r="D599" s="74"/>
    </row>
    <row r="600">
      <c r="A600" s="46"/>
      <c r="B600" s="7"/>
      <c r="C600" s="74"/>
      <c r="D600" s="74"/>
    </row>
    <row r="601">
      <c r="A601" s="46"/>
      <c r="B601" s="7"/>
      <c r="C601" s="74"/>
      <c r="D601" s="74"/>
    </row>
    <row r="602">
      <c r="A602" s="46"/>
      <c r="B602" s="7"/>
      <c r="C602" s="74"/>
      <c r="D602" s="74"/>
    </row>
    <row r="603">
      <c r="A603" s="46"/>
      <c r="B603" s="7"/>
      <c r="C603" s="74"/>
      <c r="D603" s="74"/>
    </row>
    <row r="604">
      <c r="A604" s="46"/>
      <c r="B604" s="7"/>
      <c r="C604" s="74"/>
      <c r="D604" s="74"/>
    </row>
    <row r="605">
      <c r="A605" s="46"/>
      <c r="B605" s="7"/>
      <c r="C605" s="74"/>
      <c r="D605" s="74"/>
    </row>
    <row r="606">
      <c r="A606" s="46"/>
      <c r="B606" s="7"/>
      <c r="C606" s="74"/>
      <c r="D606" s="74"/>
    </row>
    <row r="607">
      <c r="A607" s="46"/>
      <c r="B607" s="7"/>
      <c r="C607" s="74"/>
      <c r="D607" s="74"/>
    </row>
    <row r="608">
      <c r="A608" s="46"/>
      <c r="B608" s="7"/>
      <c r="C608" s="74"/>
      <c r="D608" s="74"/>
    </row>
    <row r="609">
      <c r="A609" s="46"/>
      <c r="B609" s="7"/>
      <c r="C609" s="74"/>
      <c r="D609" s="74"/>
    </row>
    <row r="610">
      <c r="A610" s="46"/>
      <c r="B610" s="7"/>
      <c r="C610" s="74"/>
      <c r="D610" s="74"/>
    </row>
    <row r="611">
      <c r="A611" s="46"/>
      <c r="B611" s="7"/>
      <c r="C611" s="74"/>
      <c r="D611" s="74"/>
    </row>
    <row r="612">
      <c r="A612" s="46"/>
      <c r="B612" s="7"/>
      <c r="C612" s="74"/>
      <c r="D612" s="74"/>
    </row>
    <row r="613">
      <c r="A613" s="46"/>
      <c r="B613" s="7"/>
      <c r="C613" s="74"/>
      <c r="D613" s="74"/>
    </row>
    <row r="614">
      <c r="A614" s="46"/>
      <c r="B614" s="7"/>
      <c r="C614" s="74"/>
      <c r="D614" s="74"/>
    </row>
    <row r="615">
      <c r="A615" s="46"/>
      <c r="B615" s="7"/>
      <c r="C615" s="74"/>
      <c r="D615" s="74"/>
    </row>
    <row r="616">
      <c r="A616" s="46"/>
      <c r="B616" s="7"/>
      <c r="C616" s="74"/>
      <c r="D616" s="74"/>
    </row>
    <row r="617">
      <c r="A617" s="46"/>
      <c r="B617" s="7"/>
      <c r="C617" s="74"/>
      <c r="D617" s="74"/>
    </row>
    <row r="618">
      <c r="A618" s="46"/>
      <c r="B618" s="7"/>
      <c r="C618" s="74"/>
      <c r="D618" s="74"/>
    </row>
    <row r="619">
      <c r="A619" s="46"/>
      <c r="B619" s="7"/>
      <c r="C619" s="74"/>
      <c r="D619" s="74"/>
    </row>
    <row r="620">
      <c r="A620" s="46"/>
      <c r="B620" s="7"/>
      <c r="C620" s="74"/>
      <c r="D620" s="74"/>
    </row>
    <row r="621">
      <c r="A621" s="46"/>
      <c r="B621" s="7"/>
      <c r="C621" s="74"/>
      <c r="D621" s="74"/>
    </row>
    <row r="622">
      <c r="A622" s="46"/>
      <c r="B622" s="7"/>
      <c r="C622" s="74"/>
      <c r="D622" s="74"/>
    </row>
    <row r="623">
      <c r="A623" s="46"/>
      <c r="B623" s="7"/>
      <c r="C623" s="74"/>
      <c r="D623" s="74"/>
    </row>
    <row r="624">
      <c r="A624" s="46"/>
      <c r="B624" s="7"/>
      <c r="C624" s="74"/>
      <c r="D624" s="74"/>
    </row>
    <row r="625">
      <c r="A625" s="46"/>
      <c r="B625" s="7"/>
      <c r="C625" s="74"/>
      <c r="D625" s="74"/>
    </row>
    <row r="626">
      <c r="A626" s="46"/>
      <c r="B626" s="7"/>
      <c r="C626" s="74"/>
      <c r="D626" s="74"/>
    </row>
    <row r="627">
      <c r="A627" s="46"/>
      <c r="B627" s="7"/>
      <c r="C627" s="74"/>
      <c r="D627" s="74"/>
    </row>
    <row r="628">
      <c r="A628" s="46"/>
      <c r="B628" s="7"/>
      <c r="C628" s="74"/>
      <c r="D628" s="74"/>
    </row>
    <row r="629">
      <c r="A629" s="46"/>
      <c r="B629" s="7"/>
      <c r="C629" s="74"/>
      <c r="D629" s="74"/>
    </row>
    <row r="630">
      <c r="A630" s="46"/>
      <c r="B630" s="7"/>
      <c r="C630" s="74"/>
      <c r="D630" s="74"/>
    </row>
    <row r="631">
      <c r="A631" s="46"/>
      <c r="B631" s="7"/>
      <c r="C631" s="74"/>
      <c r="D631" s="74"/>
    </row>
    <row r="632">
      <c r="A632" s="46"/>
      <c r="B632" s="7"/>
      <c r="C632" s="74"/>
      <c r="D632" s="74"/>
    </row>
    <row r="633">
      <c r="A633" s="46"/>
      <c r="B633" s="7"/>
      <c r="C633" s="74"/>
      <c r="D633" s="74"/>
    </row>
    <row r="634">
      <c r="A634" s="46"/>
      <c r="B634" s="7"/>
      <c r="C634" s="74"/>
      <c r="D634" s="74"/>
    </row>
    <row r="635">
      <c r="A635" s="46"/>
      <c r="B635" s="7"/>
      <c r="C635" s="74"/>
      <c r="D635" s="74"/>
    </row>
    <row r="636">
      <c r="A636" s="46"/>
      <c r="B636" s="7"/>
      <c r="C636" s="74"/>
      <c r="D636" s="74"/>
    </row>
    <row r="637">
      <c r="A637" s="46"/>
      <c r="B637" s="7"/>
      <c r="C637" s="74"/>
      <c r="D637" s="74"/>
    </row>
    <row r="638">
      <c r="A638" s="46"/>
      <c r="B638" s="7"/>
      <c r="C638" s="74"/>
      <c r="D638" s="74"/>
    </row>
    <row r="639">
      <c r="A639" s="46"/>
      <c r="B639" s="7"/>
      <c r="C639" s="74"/>
      <c r="D639" s="74"/>
    </row>
    <row r="640">
      <c r="A640" s="46"/>
      <c r="B640" s="7"/>
      <c r="C640" s="74"/>
      <c r="D640" s="74"/>
    </row>
    <row r="641">
      <c r="A641" s="46"/>
      <c r="B641" s="7"/>
      <c r="C641" s="74"/>
      <c r="D641" s="74"/>
    </row>
    <row r="642">
      <c r="A642" s="46"/>
      <c r="B642" s="7"/>
      <c r="C642" s="74"/>
      <c r="D642" s="74"/>
    </row>
    <row r="643">
      <c r="A643" s="46"/>
      <c r="B643" s="7"/>
      <c r="C643" s="74"/>
      <c r="D643" s="74"/>
    </row>
    <row r="644">
      <c r="A644" s="46"/>
      <c r="B644" s="7"/>
      <c r="C644" s="74"/>
      <c r="D644" s="74"/>
    </row>
    <row r="645">
      <c r="A645" s="46"/>
      <c r="B645" s="7"/>
      <c r="C645" s="74"/>
      <c r="D645" s="74"/>
    </row>
    <row r="646">
      <c r="A646" s="46"/>
      <c r="B646" s="7"/>
      <c r="C646" s="74"/>
      <c r="D646" s="74"/>
    </row>
    <row r="647">
      <c r="A647" s="46"/>
      <c r="B647" s="7"/>
      <c r="C647" s="74"/>
      <c r="D647" s="74"/>
    </row>
    <row r="648">
      <c r="A648" s="46"/>
      <c r="B648" s="7"/>
      <c r="C648" s="74"/>
      <c r="D648" s="74"/>
    </row>
    <row r="649">
      <c r="A649" s="46"/>
      <c r="B649" s="7"/>
      <c r="C649" s="74"/>
      <c r="D649" s="74"/>
    </row>
    <row r="650">
      <c r="A650" s="46"/>
      <c r="B650" s="7"/>
      <c r="C650" s="74"/>
      <c r="D650" s="74"/>
    </row>
    <row r="651">
      <c r="A651" s="46"/>
      <c r="B651" s="7"/>
      <c r="C651" s="74"/>
      <c r="D651" s="74"/>
    </row>
    <row r="652">
      <c r="A652" s="46"/>
      <c r="B652" s="7"/>
      <c r="C652" s="74"/>
      <c r="D652" s="74"/>
    </row>
    <row r="653">
      <c r="A653" s="46"/>
      <c r="B653" s="7"/>
      <c r="C653" s="74"/>
      <c r="D653" s="74"/>
    </row>
    <row r="654">
      <c r="A654" s="46"/>
      <c r="B654" s="7"/>
      <c r="C654" s="74"/>
      <c r="D654" s="74"/>
    </row>
    <row r="655">
      <c r="A655" s="46"/>
      <c r="B655" s="7"/>
      <c r="C655" s="74"/>
      <c r="D655" s="74"/>
    </row>
    <row r="656">
      <c r="A656" s="46"/>
      <c r="B656" s="7"/>
      <c r="C656" s="74"/>
      <c r="D656" s="74"/>
    </row>
    <row r="657">
      <c r="A657" s="46"/>
      <c r="B657" s="7"/>
      <c r="C657" s="74"/>
      <c r="D657" s="74"/>
    </row>
    <row r="658">
      <c r="A658" s="46"/>
      <c r="B658" s="7"/>
      <c r="C658" s="74"/>
      <c r="D658" s="74"/>
    </row>
    <row r="659">
      <c r="A659" s="46"/>
      <c r="B659" s="7"/>
      <c r="C659" s="74"/>
      <c r="D659" s="74"/>
    </row>
    <row r="660">
      <c r="A660" s="46"/>
      <c r="B660" s="7"/>
      <c r="C660" s="74"/>
      <c r="D660" s="74"/>
    </row>
    <row r="661">
      <c r="A661" s="46"/>
      <c r="B661" s="7"/>
      <c r="C661" s="74"/>
      <c r="D661" s="74"/>
    </row>
    <row r="662">
      <c r="A662" s="46"/>
      <c r="B662" s="7"/>
      <c r="C662" s="74"/>
      <c r="D662" s="74"/>
    </row>
    <row r="663">
      <c r="A663" s="46"/>
      <c r="B663" s="7"/>
      <c r="C663" s="74"/>
      <c r="D663" s="74"/>
    </row>
    <row r="664">
      <c r="A664" s="46"/>
      <c r="B664" s="7"/>
      <c r="C664" s="74"/>
      <c r="D664" s="74"/>
    </row>
    <row r="665">
      <c r="A665" s="46"/>
      <c r="B665" s="7"/>
      <c r="C665" s="74"/>
      <c r="D665" s="74"/>
    </row>
    <row r="666">
      <c r="A666" s="46"/>
      <c r="B666" s="7"/>
      <c r="C666" s="74"/>
      <c r="D666" s="74"/>
    </row>
    <row r="667">
      <c r="A667" s="46"/>
      <c r="B667" s="7"/>
      <c r="C667" s="74"/>
      <c r="D667" s="74"/>
    </row>
    <row r="668">
      <c r="A668" s="46"/>
      <c r="B668" s="7"/>
      <c r="C668" s="74"/>
      <c r="D668" s="74"/>
    </row>
    <row r="669">
      <c r="A669" s="46"/>
      <c r="B669" s="7"/>
      <c r="C669" s="74"/>
      <c r="D669" s="74"/>
    </row>
    <row r="670">
      <c r="A670" s="46"/>
      <c r="B670" s="7"/>
      <c r="C670" s="74"/>
      <c r="D670" s="74"/>
    </row>
    <row r="671">
      <c r="A671" s="46"/>
      <c r="B671" s="7"/>
      <c r="C671" s="74"/>
      <c r="D671" s="74"/>
    </row>
    <row r="672">
      <c r="A672" s="46"/>
      <c r="B672" s="7"/>
      <c r="C672" s="74"/>
      <c r="D672" s="74"/>
    </row>
    <row r="673">
      <c r="A673" s="46"/>
      <c r="B673" s="7"/>
      <c r="C673" s="74"/>
      <c r="D673" s="74"/>
    </row>
    <row r="674">
      <c r="A674" s="46"/>
      <c r="B674" s="7"/>
      <c r="C674" s="74"/>
      <c r="D674" s="74"/>
    </row>
    <row r="675">
      <c r="A675" s="46"/>
      <c r="B675" s="7"/>
      <c r="C675" s="74"/>
      <c r="D675" s="74"/>
    </row>
    <row r="676">
      <c r="A676" s="46"/>
      <c r="B676" s="7"/>
      <c r="C676" s="74"/>
      <c r="D676" s="74"/>
    </row>
    <row r="677">
      <c r="A677" s="46"/>
      <c r="B677" s="7"/>
      <c r="C677" s="74"/>
      <c r="D677" s="74"/>
    </row>
    <row r="678">
      <c r="A678" s="46"/>
      <c r="B678" s="7"/>
      <c r="C678" s="74"/>
      <c r="D678" s="74"/>
    </row>
    <row r="679">
      <c r="A679" s="46"/>
      <c r="B679" s="7"/>
      <c r="C679" s="74"/>
      <c r="D679" s="74"/>
    </row>
    <row r="680">
      <c r="A680" s="46"/>
      <c r="B680" s="7"/>
      <c r="C680" s="74"/>
      <c r="D680" s="74"/>
    </row>
    <row r="681">
      <c r="A681" s="46"/>
      <c r="B681" s="7"/>
      <c r="C681" s="74"/>
      <c r="D681" s="74"/>
    </row>
    <row r="682">
      <c r="A682" s="46"/>
      <c r="B682" s="7"/>
      <c r="C682" s="74"/>
      <c r="D682" s="74"/>
    </row>
    <row r="683">
      <c r="A683" s="46"/>
      <c r="B683" s="7"/>
      <c r="C683" s="74"/>
      <c r="D683" s="74"/>
    </row>
    <row r="684">
      <c r="A684" s="46"/>
      <c r="B684" s="7"/>
      <c r="C684" s="74"/>
      <c r="D684" s="74"/>
    </row>
    <row r="685">
      <c r="A685" s="46"/>
      <c r="B685" s="7"/>
      <c r="C685" s="74"/>
      <c r="D685" s="74"/>
    </row>
    <row r="686">
      <c r="A686" s="46"/>
      <c r="B686" s="7"/>
      <c r="C686" s="74"/>
      <c r="D686" s="74"/>
    </row>
    <row r="687">
      <c r="A687" s="46"/>
      <c r="B687" s="7"/>
      <c r="C687" s="74"/>
      <c r="D687" s="74"/>
    </row>
    <row r="688">
      <c r="A688" s="46"/>
      <c r="B688" s="7"/>
      <c r="C688" s="74"/>
      <c r="D688" s="74"/>
    </row>
    <row r="689">
      <c r="A689" s="46"/>
      <c r="B689" s="7"/>
      <c r="C689" s="74"/>
      <c r="D689" s="74"/>
    </row>
    <row r="690">
      <c r="A690" s="46"/>
      <c r="B690" s="7"/>
      <c r="C690" s="74"/>
      <c r="D690" s="74"/>
    </row>
    <row r="691">
      <c r="A691" s="46"/>
      <c r="B691" s="7"/>
      <c r="C691" s="74"/>
      <c r="D691" s="74"/>
    </row>
    <row r="692">
      <c r="A692" s="46"/>
      <c r="B692" s="7"/>
      <c r="C692" s="74"/>
      <c r="D692" s="74"/>
    </row>
    <row r="693">
      <c r="A693" s="46"/>
      <c r="B693" s="7"/>
      <c r="C693" s="74"/>
      <c r="D693" s="74"/>
    </row>
    <row r="694">
      <c r="A694" s="46"/>
      <c r="B694" s="7"/>
      <c r="C694" s="74"/>
      <c r="D694" s="74"/>
    </row>
    <row r="695">
      <c r="A695" s="46"/>
      <c r="B695" s="7"/>
      <c r="C695" s="74"/>
      <c r="D695" s="74"/>
    </row>
    <row r="696">
      <c r="A696" s="46"/>
      <c r="B696" s="7"/>
      <c r="C696" s="74"/>
      <c r="D696" s="74"/>
    </row>
    <row r="697">
      <c r="A697" s="46"/>
      <c r="B697" s="7"/>
      <c r="C697" s="74"/>
      <c r="D697" s="74"/>
    </row>
    <row r="698">
      <c r="A698" s="46"/>
      <c r="B698" s="7"/>
      <c r="C698" s="74"/>
      <c r="D698" s="74"/>
    </row>
    <row r="699">
      <c r="A699" s="46"/>
      <c r="B699" s="7"/>
      <c r="C699" s="74"/>
      <c r="D699" s="74"/>
    </row>
    <row r="700">
      <c r="A700" s="46"/>
      <c r="B700" s="7"/>
      <c r="C700" s="74"/>
      <c r="D700" s="74"/>
    </row>
    <row r="701">
      <c r="A701" s="46"/>
      <c r="B701" s="7"/>
      <c r="C701" s="74"/>
      <c r="D701" s="74"/>
    </row>
    <row r="702">
      <c r="A702" s="46"/>
      <c r="B702" s="7"/>
      <c r="C702" s="74"/>
      <c r="D702" s="74"/>
    </row>
    <row r="703">
      <c r="A703" s="46"/>
      <c r="B703" s="7"/>
      <c r="C703" s="74"/>
      <c r="D703" s="74"/>
    </row>
    <row r="704">
      <c r="A704" s="46"/>
      <c r="B704" s="7"/>
      <c r="C704" s="74"/>
      <c r="D704" s="74"/>
    </row>
    <row r="705">
      <c r="A705" s="46"/>
      <c r="B705" s="7"/>
      <c r="C705" s="74"/>
      <c r="D705" s="74"/>
    </row>
    <row r="706">
      <c r="A706" s="46"/>
      <c r="B706" s="7"/>
      <c r="C706" s="74"/>
      <c r="D706" s="74"/>
    </row>
    <row r="707">
      <c r="A707" s="46"/>
      <c r="B707" s="7"/>
      <c r="C707" s="74"/>
      <c r="D707" s="74"/>
    </row>
    <row r="708">
      <c r="A708" s="46"/>
      <c r="B708" s="7"/>
      <c r="C708" s="74"/>
      <c r="D708" s="74"/>
    </row>
    <row r="709">
      <c r="A709" s="46"/>
      <c r="B709" s="7"/>
      <c r="C709" s="74"/>
      <c r="D709" s="74"/>
    </row>
    <row r="710">
      <c r="A710" s="46"/>
      <c r="B710" s="7"/>
      <c r="C710" s="74"/>
      <c r="D710" s="74"/>
    </row>
    <row r="711">
      <c r="A711" s="46"/>
      <c r="B711" s="7"/>
      <c r="C711" s="74"/>
      <c r="D711" s="74"/>
    </row>
    <row r="712">
      <c r="A712" s="46"/>
      <c r="B712" s="7"/>
      <c r="C712" s="74"/>
      <c r="D712" s="74"/>
    </row>
    <row r="713">
      <c r="A713" s="46"/>
      <c r="B713" s="7"/>
      <c r="C713" s="74"/>
      <c r="D713" s="74"/>
    </row>
    <row r="714">
      <c r="A714" s="46"/>
      <c r="B714" s="7"/>
      <c r="C714" s="74"/>
      <c r="D714" s="74"/>
    </row>
    <row r="715">
      <c r="A715" s="46"/>
      <c r="B715" s="7"/>
      <c r="C715" s="74"/>
      <c r="D715" s="74"/>
    </row>
    <row r="716">
      <c r="A716" s="46"/>
      <c r="B716" s="7"/>
      <c r="C716" s="74"/>
      <c r="D716" s="74"/>
    </row>
    <row r="717">
      <c r="A717" s="46"/>
      <c r="B717" s="7"/>
      <c r="C717" s="74"/>
      <c r="D717" s="74"/>
    </row>
    <row r="718">
      <c r="A718" s="46"/>
      <c r="B718" s="7"/>
      <c r="C718" s="74"/>
      <c r="D718" s="74"/>
    </row>
    <row r="719">
      <c r="A719" s="46"/>
      <c r="B719" s="7"/>
      <c r="C719" s="74"/>
      <c r="D719" s="74"/>
    </row>
    <row r="720">
      <c r="A720" s="46"/>
      <c r="B720" s="7"/>
      <c r="C720" s="74"/>
      <c r="D720" s="74"/>
    </row>
    <row r="721">
      <c r="A721" s="46"/>
      <c r="B721" s="7"/>
      <c r="C721" s="74"/>
      <c r="D721" s="74"/>
    </row>
    <row r="722">
      <c r="A722" s="46"/>
      <c r="B722" s="7"/>
      <c r="C722" s="74"/>
      <c r="D722" s="74"/>
    </row>
    <row r="723">
      <c r="A723" s="46"/>
      <c r="B723" s="7"/>
      <c r="C723" s="74"/>
      <c r="D723" s="74"/>
    </row>
    <row r="724">
      <c r="A724" s="46"/>
      <c r="B724" s="7"/>
      <c r="C724" s="74"/>
      <c r="D724" s="74"/>
    </row>
    <row r="725">
      <c r="A725" s="46"/>
      <c r="B725" s="7"/>
      <c r="C725" s="74"/>
      <c r="D725" s="74"/>
    </row>
    <row r="726">
      <c r="A726" s="46"/>
      <c r="B726" s="7"/>
      <c r="C726" s="74"/>
      <c r="D726" s="74"/>
    </row>
    <row r="727">
      <c r="A727" s="46"/>
      <c r="B727" s="7"/>
      <c r="C727" s="74"/>
      <c r="D727" s="74"/>
    </row>
    <row r="728">
      <c r="A728" s="46"/>
      <c r="B728" s="7"/>
      <c r="C728" s="74"/>
      <c r="D728" s="74"/>
    </row>
    <row r="729">
      <c r="A729" s="46"/>
      <c r="B729" s="7"/>
      <c r="C729" s="74"/>
      <c r="D729" s="74"/>
    </row>
    <row r="730">
      <c r="A730" s="46"/>
      <c r="B730" s="7"/>
      <c r="C730" s="74"/>
      <c r="D730" s="74"/>
    </row>
    <row r="731">
      <c r="A731" s="46"/>
      <c r="B731" s="7"/>
      <c r="C731" s="74"/>
      <c r="D731" s="74"/>
    </row>
    <row r="732">
      <c r="A732" s="46"/>
      <c r="B732" s="7"/>
      <c r="C732" s="74"/>
      <c r="D732" s="74"/>
    </row>
    <row r="733">
      <c r="A733" s="46"/>
      <c r="B733" s="7"/>
      <c r="C733" s="74"/>
      <c r="D733" s="74"/>
    </row>
    <row r="734">
      <c r="A734" s="46"/>
      <c r="B734" s="7"/>
      <c r="C734" s="74"/>
      <c r="D734" s="74"/>
    </row>
    <row r="735">
      <c r="A735" s="46"/>
      <c r="B735" s="7"/>
      <c r="C735" s="74"/>
      <c r="D735" s="74"/>
    </row>
    <row r="736">
      <c r="A736" s="46"/>
      <c r="B736" s="7"/>
      <c r="C736" s="74"/>
      <c r="D736" s="74"/>
    </row>
    <row r="737">
      <c r="A737" s="46"/>
      <c r="B737" s="7"/>
      <c r="C737" s="74"/>
      <c r="D737" s="74"/>
    </row>
    <row r="738">
      <c r="A738" s="46"/>
      <c r="B738" s="7"/>
      <c r="C738" s="74"/>
      <c r="D738" s="74"/>
    </row>
    <row r="739">
      <c r="A739" s="46"/>
      <c r="B739" s="7"/>
      <c r="C739" s="74"/>
      <c r="D739" s="74"/>
    </row>
    <row r="740">
      <c r="A740" s="46"/>
      <c r="B740" s="7"/>
      <c r="C740" s="74"/>
      <c r="D740" s="74"/>
    </row>
    <row r="741">
      <c r="A741" s="46"/>
      <c r="B741" s="7"/>
      <c r="C741" s="74"/>
      <c r="D741" s="74"/>
    </row>
    <row r="742">
      <c r="A742" s="46"/>
      <c r="B742" s="7"/>
      <c r="C742" s="74"/>
      <c r="D742" s="74"/>
    </row>
    <row r="743">
      <c r="A743" s="46"/>
      <c r="B743" s="7"/>
      <c r="C743" s="74"/>
      <c r="D743" s="74"/>
    </row>
    <row r="744">
      <c r="A744" s="46"/>
      <c r="B744" s="7"/>
      <c r="C744" s="74"/>
      <c r="D744" s="74"/>
    </row>
    <row r="745">
      <c r="A745" s="46"/>
      <c r="B745" s="7"/>
      <c r="C745" s="74"/>
      <c r="D745" s="74"/>
    </row>
    <row r="746">
      <c r="A746" s="46"/>
      <c r="B746" s="7"/>
      <c r="C746" s="74"/>
      <c r="D746" s="74"/>
    </row>
    <row r="747">
      <c r="A747" s="46"/>
      <c r="B747" s="7"/>
      <c r="C747" s="74"/>
      <c r="D747" s="74"/>
    </row>
    <row r="748">
      <c r="A748" s="46"/>
      <c r="B748" s="7"/>
      <c r="C748" s="74"/>
      <c r="D748" s="74"/>
    </row>
    <row r="749">
      <c r="A749" s="46"/>
      <c r="B749" s="7"/>
      <c r="C749" s="74"/>
      <c r="D749" s="74"/>
    </row>
    <row r="750">
      <c r="A750" s="46"/>
      <c r="B750" s="7"/>
      <c r="C750" s="74"/>
      <c r="D750" s="74"/>
    </row>
    <row r="751">
      <c r="A751" s="46"/>
      <c r="B751" s="7"/>
      <c r="C751" s="74"/>
      <c r="D751" s="74"/>
    </row>
    <row r="752">
      <c r="A752" s="46"/>
      <c r="B752" s="7"/>
      <c r="C752" s="74"/>
      <c r="D752" s="74"/>
    </row>
    <row r="753">
      <c r="A753" s="46"/>
      <c r="B753" s="7"/>
      <c r="C753" s="74"/>
      <c r="D753" s="74"/>
    </row>
    <row r="754">
      <c r="A754" s="46"/>
      <c r="B754" s="7"/>
      <c r="C754" s="74"/>
      <c r="D754" s="74"/>
    </row>
    <row r="755">
      <c r="A755" s="46"/>
      <c r="B755" s="7"/>
      <c r="C755" s="74"/>
      <c r="D755" s="74"/>
    </row>
    <row r="756">
      <c r="A756" s="46"/>
      <c r="B756" s="7"/>
      <c r="C756" s="74"/>
      <c r="D756" s="74"/>
    </row>
    <row r="757">
      <c r="A757" s="46"/>
      <c r="B757" s="7"/>
      <c r="C757" s="74"/>
      <c r="D757" s="74"/>
    </row>
    <row r="758">
      <c r="A758" s="46"/>
      <c r="B758" s="7"/>
      <c r="C758" s="74"/>
      <c r="D758" s="74"/>
    </row>
    <row r="759">
      <c r="A759" s="46"/>
      <c r="B759" s="7"/>
      <c r="C759" s="74"/>
      <c r="D759" s="74"/>
    </row>
    <row r="760">
      <c r="A760" s="46"/>
      <c r="B760" s="7"/>
      <c r="C760" s="74"/>
      <c r="D760" s="74"/>
    </row>
    <row r="761">
      <c r="A761" s="46"/>
      <c r="B761" s="7"/>
      <c r="C761" s="74"/>
      <c r="D761" s="74"/>
    </row>
    <row r="762">
      <c r="A762" s="46"/>
      <c r="B762" s="7"/>
      <c r="C762" s="74"/>
      <c r="D762" s="74"/>
    </row>
    <row r="763">
      <c r="A763" s="46"/>
      <c r="B763" s="7"/>
      <c r="C763" s="74"/>
      <c r="D763" s="74"/>
    </row>
    <row r="764">
      <c r="A764" s="46"/>
      <c r="B764" s="7"/>
      <c r="C764" s="74"/>
      <c r="D764" s="74"/>
    </row>
    <row r="765">
      <c r="A765" s="46"/>
      <c r="B765" s="7"/>
      <c r="C765" s="74"/>
      <c r="D765" s="74"/>
    </row>
    <row r="766">
      <c r="A766" s="46"/>
      <c r="B766" s="7"/>
      <c r="C766" s="74"/>
      <c r="D766" s="74"/>
    </row>
    <row r="767">
      <c r="A767" s="46"/>
      <c r="B767" s="7"/>
      <c r="C767" s="74"/>
      <c r="D767" s="74"/>
    </row>
    <row r="768">
      <c r="A768" s="46"/>
      <c r="B768" s="7"/>
      <c r="C768" s="74"/>
      <c r="D768" s="74"/>
    </row>
    <row r="769">
      <c r="A769" s="46"/>
      <c r="B769" s="7"/>
      <c r="C769" s="74"/>
      <c r="D769" s="74"/>
    </row>
    <row r="770">
      <c r="A770" s="46"/>
      <c r="B770" s="7"/>
      <c r="C770" s="74"/>
      <c r="D770" s="74"/>
    </row>
    <row r="771">
      <c r="A771" s="46"/>
      <c r="B771" s="7"/>
      <c r="C771" s="74"/>
      <c r="D771" s="74"/>
    </row>
    <row r="772">
      <c r="A772" s="46"/>
      <c r="B772" s="7"/>
      <c r="C772" s="74"/>
      <c r="D772" s="74"/>
    </row>
    <row r="773">
      <c r="A773" s="46"/>
      <c r="B773" s="7"/>
      <c r="C773" s="74"/>
      <c r="D773" s="74"/>
    </row>
    <row r="774">
      <c r="A774" s="46"/>
      <c r="B774" s="7"/>
      <c r="C774" s="74"/>
      <c r="D774" s="74"/>
    </row>
    <row r="775">
      <c r="A775" s="46"/>
      <c r="B775" s="7"/>
      <c r="C775" s="74"/>
      <c r="D775" s="74"/>
    </row>
    <row r="776">
      <c r="A776" s="46"/>
      <c r="B776" s="7"/>
      <c r="C776" s="74"/>
      <c r="D776" s="74"/>
    </row>
    <row r="777">
      <c r="A777" s="46"/>
      <c r="B777" s="7"/>
      <c r="C777" s="74"/>
      <c r="D777" s="74"/>
    </row>
    <row r="778">
      <c r="A778" s="46"/>
      <c r="B778" s="7"/>
      <c r="C778" s="74"/>
      <c r="D778" s="74"/>
    </row>
    <row r="779">
      <c r="A779" s="46"/>
      <c r="B779" s="7"/>
      <c r="C779" s="74"/>
      <c r="D779" s="74"/>
    </row>
    <row r="780">
      <c r="A780" s="46"/>
      <c r="B780" s="7"/>
      <c r="C780" s="74"/>
      <c r="D780" s="74"/>
    </row>
    <row r="781">
      <c r="A781" s="46"/>
      <c r="B781" s="7"/>
      <c r="C781" s="74"/>
      <c r="D781" s="74"/>
    </row>
    <row r="782">
      <c r="A782" s="46"/>
      <c r="B782" s="7"/>
      <c r="C782" s="74"/>
      <c r="D782" s="74"/>
    </row>
    <row r="783">
      <c r="A783" s="46"/>
      <c r="B783" s="7"/>
      <c r="C783" s="74"/>
      <c r="D783" s="74"/>
    </row>
    <row r="784">
      <c r="A784" s="46"/>
      <c r="B784" s="7"/>
      <c r="C784" s="74"/>
      <c r="D784" s="74"/>
    </row>
    <row r="785">
      <c r="A785" s="46"/>
      <c r="B785" s="7"/>
      <c r="C785" s="74"/>
      <c r="D785" s="74"/>
    </row>
    <row r="786">
      <c r="A786" s="46"/>
      <c r="B786" s="7"/>
      <c r="C786" s="74"/>
      <c r="D786" s="74"/>
    </row>
    <row r="787">
      <c r="A787" s="46"/>
      <c r="B787" s="7"/>
      <c r="C787" s="74"/>
      <c r="D787" s="74"/>
    </row>
    <row r="788">
      <c r="A788" s="46"/>
      <c r="B788" s="7"/>
      <c r="C788" s="74"/>
      <c r="D788" s="74"/>
    </row>
    <row r="789">
      <c r="A789" s="46"/>
      <c r="B789" s="7"/>
      <c r="C789" s="74"/>
      <c r="D789" s="74"/>
    </row>
    <row r="790">
      <c r="A790" s="46"/>
      <c r="B790" s="7"/>
      <c r="C790" s="74"/>
      <c r="D790" s="74"/>
    </row>
    <row r="791">
      <c r="A791" s="46"/>
      <c r="B791" s="7"/>
      <c r="C791" s="74"/>
      <c r="D791" s="74"/>
    </row>
    <row r="792">
      <c r="A792" s="46"/>
      <c r="B792" s="7"/>
      <c r="C792" s="74"/>
      <c r="D792" s="74"/>
    </row>
    <row r="793">
      <c r="A793" s="46"/>
      <c r="B793" s="7"/>
      <c r="C793" s="74"/>
      <c r="D793" s="74"/>
    </row>
    <row r="794">
      <c r="A794" s="46"/>
      <c r="B794" s="7"/>
      <c r="C794" s="74"/>
      <c r="D794" s="74"/>
    </row>
    <row r="795">
      <c r="A795" s="46"/>
      <c r="B795" s="7"/>
      <c r="C795" s="74"/>
      <c r="D795" s="74"/>
    </row>
    <row r="796">
      <c r="A796" s="46"/>
      <c r="B796" s="7"/>
      <c r="C796" s="74"/>
      <c r="D796" s="74"/>
    </row>
    <row r="797">
      <c r="A797" s="46"/>
      <c r="B797" s="7"/>
      <c r="C797" s="74"/>
      <c r="D797" s="74"/>
    </row>
    <row r="798">
      <c r="A798" s="46"/>
      <c r="B798" s="7"/>
      <c r="C798" s="74"/>
      <c r="D798" s="74"/>
    </row>
    <row r="799">
      <c r="A799" s="46"/>
      <c r="B799" s="7"/>
      <c r="C799" s="74"/>
      <c r="D799" s="74"/>
    </row>
    <row r="800">
      <c r="A800" s="46"/>
      <c r="B800" s="7"/>
      <c r="C800" s="74"/>
      <c r="D800" s="74"/>
    </row>
    <row r="801">
      <c r="A801" s="46"/>
      <c r="B801" s="7"/>
      <c r="C801" s="74"/>
      <c r="D801" s="74"/>
    </row>
    <row r="802">
      <c r="A802" s="46"/>
      <c r="B802" s="7"/>
      <c r="C802" s="74"/>
      <c r="D802" s="74"/>
    </row>
    <row r="803">
      <c r="A803" s="46"/>
      <c r="B803" s="7"/>
      <c r="C803" s="74"/>
      <c r="D803" s="74"/>
    </row>
    <row r="804">
      <c r="A804" s="46"/>
      <c r="B804" s="7"/>
      <c r="C804" s="74"/>
      <c r="D804" s="74"/>
    </row>
    <row r="805">
      <c r="A805" s="46"/>
      <c r="B805" s="7"/>
      <c r="C805" s="74"/>
      <c r="D805" s="74"/>
    </row>
    <row r="806">
      <c r="A806" s="46"/>
      <c r="B806" s="7"/>
      <c r="C806" s="74"/>
      <c r="D806" s="74"/>
    </row>
    <row r="807">
      <c r="A807" s="46"/>
      <c r="B807" s="7"/>
      <c r="C807" s="74"/>
      <c r="D807" s="74"/>
    </row>
    <row r="808">
      <c r="A808" s="46"/>
      <c r="B808" s="7"/>
      <c r="C808" s="74"/>
      <c r="D808" s="74"/>
    </row>
    <row r="809">
      <c r="A809" s="46"/>
      <c r="B809" s="7"/>
      <c r="C809" s="74"/>
      <c r="D809" s="74"/>
    </row>
    <row r="810">
      <c r="A810" s="46"/>
      <c r="B810" s="7"/>
      <c r="C810" s="74"/>
      <c r="D810" s="74"/>
    </row>
    <row r="811">
      <c r="A811" s="46"/>
      <c r="B811" s="7"/>
      <c r="C811" s="74"/>
      <c r="D811" s="74"/>
    </row>
    <row r="812">
      <c r="A812" s="46"/>
      <c r="B812" s="7"/>
      <c r="C812" s="74"/>
      <c r="D812" s="74"/>
    </row>
    <row r="813">
      <c r="A813" s="46"/>
      <c r="B813" s="7"/>
      <c r="C813" s="74"/>
      <c r="D813" s="74"/>
    </row>
    <row r="814">
      <c r="A814" s="46"/>
      <c r="B814" s="7"/>
      <c r="C814" s="74"/>
      <c r="D814" s="74"/>
    </row>
    <row r="815">
      <c r="A815" s="46"/>
      <c r="B815" s="7"/>
      <c r="C815" s="74"/>
      <c r="D815" s="74"/>
    </row>
    <row r="816">
      <c r="A816" s="46"/>
      <c r="B816" s="7"/>
      <c r="C816" s="74"/>
      <c r="D816" s="74"/>
    </row>
    <row r="817">
      <c r="A817" s="46"/>
      <c r="B817" s="7"/>
      <c r="C817" s="74"/>
      <c r="D817" s="74"/>
    </row>
    <row r="818">
      <c r="A818" s="46"/>
      <c r="B818" s="7"/>
      <c r="C818" s="74"/>
      <c r="D818" s="74"/>
    </row>
    <row r="819">
      <c r="A819" s="46"/>
      <c r="B819" s="7"/>
      <c r="C819" s="74"/>
      <c r="D819" s="74"/>
    </row>
    <row r="820">
      <c r="A820" s="46"/>
      <c r="B820" s="7"/>
      <c r="C820" s="74"/>
      <c r="D820" s="74"/>
    </row>
    <row r="821">
      <c r="A821" s="46"/>
      <c r="B821" s="7"/>
      <c r="C821" s="74"/>
      <c r="D821" s="74"/>
    </row>
    <row r="822">
      <c r="A822" s="46"/>
      <c r="B822" s="7"/>
      <c r="C822" s="74"/>
      <c r="D822" s="74"/>
    </row>
    <row r="823">
      <c r="A823" s="46"/>
      <c r="B823" s="7"/>
      <c r="C823" s="74"/>
      <c r="D823" s="74"/>
    </row>
    <row r="824">
      <c r="A824" s="46"/>
      <c r="B824" s="7"/>
      <c r="C824" s="74"/>
      <c r="D824" s="74"/>
    </row>
    <row r="825">
      <c r="A825" s="46"/>
      <c r="B825" s="7"/>
      <c r="C825" s="74"/>
      <c r="D825" s="74"/>
    </row>
    <row r="826">
      <c r="A826" s="46"/>
      <c r="B826" s="7"/>
      <c r="C826" s="74"/>
      <c r="D826" s="74"/>
    </row>
    <row r="827">
      <c r="A827" s="46"/>
      <c r="B827" s="7"/>
      <c r="C827" s="74"/>
      <c r="D827" s="74"/>
    </row>
    <row r="828">
      <c r="A828" s="46"/>
      <c r="B828" s="7"/>
      <c r="C828" s="74"/>
      <c r="D828" s="74"/>
    </row>
    <row r="829">
      <c r="A829" s="46"/>
      <c r="B829" s="7"/>
      <c r="C829" s="74"/>
      <c r="D829" s="74"/>
    </row>
    <row r="830">
      <c r="A830" s="46"/>
      <c r="B830" s="7"/>
      <c r="C830" s="74"/>
      <c r="D830" s="74"/>
    </row>
    <row r="831">
      <c r="A831" s="46"/>
      <c r="B831" s="7"/>
      <c r="C831" s="74"/>
      <c r="D831" s="74"/>
    </row>
    <row r="832">
      <c r="A832" s="46"/>
      <c r="B832" s="7"/>
      <c r="C832" s="74"/>
      <c r="D832" s="74"/>
    </row>
    <row r="833">
      <c r="A833" s="46"/>
      <c r="B833" s="7"/>
      <c r="C833" s="74"/>
      <c r="D833" s="74"/>
    </row>
    <row r="834">
      <c r="A834" s="46"/>
      <c r="B834" s="7"/>
      <c r="C834" s="74"/>
      <c r="D834" s="74"/>
    </row>
    <row r="835">
      <c r="A835" s="46"/>
      <c r="B835" s="7"/>
      <c r="C835" s="74"/>
      <c r="D835" s="74"/>
    </row>
    <row r="836">
      <c r="A836" s="46"/>
      <c r="B836" s="7"/>
      <c r="C836" s="74"/>
      <c r="D836" s="74"/>
    </row>
    <row r="837">
      <c r="A837" s="46"/>
      <c r="B837" s="7"/>
      <c r="C837" s="74"/>
      <c r="D837" s="74"/>
    </row>
    <row r="838">
      <c r="A838" s="46"/>
      <c r="B838" s="7"/>
      <c r="C838" s="74"/>
      <c r="D838" s="74"/>
    </row>
    <row r="839">
      <c r="A839" s="46"/>
      <c r="B839" s="7"/>
      <c r="C839" s="74"/>
      <c r="D839" s="74"/>
    </row>
    <row r="840">
      <c r="A840" s="46"/>
      <c r="B840" s="7"/>
      <c r="C840" s="74"/>
      <c r="D840" s="74"/>
    </row>
    <row r="841">
      <c r="A841" s="46"/>
      <c r="B841" s="7"/>
      <c r="C841" s="74"/>
      <c r="D841" s="74"/>
    </row>
    <row r="842">
      <c r="A842" s="46"/>
      <c r="B842" s="7"/>
      <c r="C842" s="74"/>
      <c r="D842" s="74"/>
    </row>
    <row r="843">
      <c r="A843" s="46"/>
      <c r="B843" s="7"/>
      <c r="C843" s="74"/>
      <c r="D843" s="74"/>
    </row>
    <row r="844">
      <c r="A844" s="46"/>
      <c r="B844" s="7"/>
      <c r="C844" s="74"/>
      <c r="D844" s="74"/>
    </row>
    <row r="845">
      <c r="A845" s="46"/>
      <c r="B845" s="7"/>
      <c r="C845" s="74"/>
      <c r="D845" s="74"/>
    </row>
    <row r="846">
      <c r="A846" s="46"/>
      <c r="B846" s="7"/>
      <c r="C846" s="74"/>
      <c r="D846" s="74"/>
    </row>
    <row r="847">
      <c r="A847" s="46"/>
      <c r="B847" s="7"/>
      <c r="C847" s="74"/>
      <c r="D847" s="74"/>
    </row>
    <row r="848">
      <c r="A848" s="46"/>
      <c r="B848" s="7"/>
      <c r="C848" s="74"/>
      <c r="D848" s="74"/>
    </row>
    <row r="849">
      <c r="A849" s="46"/>
      <c r="B849" s="7"/>
      <c r="C849" s="74"/>
      <c r="D849" s="74"/>
    </row>
    <row r="850">
      <c r="A850" s="46"/>
      <c r="B850" s="7"/>
      <c r="C850" s="74"/>
      <c r="D850" s="74"/>
    </row>
    <row r="851">
      <c r="A851" s="46"/>
      <c r="B851" s="7"/>
      <c r="C851" s="74"/>
      <c r="D851" s="74"/>
    </row>
    <row r="852">
      <c r="A852" s="46"/>
      <c r="B852" s="7"/>
      <c r="C852" s="74"/>
      <c r="D852" s="74"/>
    </row>
    <row r="853">
      <c r="A853" s="46"/>
      <c r="B853" s="7"/>
      <c r="C853" s="74"/>
      <c r="D853" s="74"/>
    </row>
    <row r="854">
      <c r="A854" s="46"/>
      <c r="B854" s="7"/>
      <c r="C854" s="74"/>
      <c r="D854" s="74"/>
    </row>
    <row r="855">
      <c r="A855" s="46"/>
      <c r="B855" s="7"/>
      <c r="C855" s="74"/>
      <c r="D855" s="74"/>
    </row>
    <row r="856">
      <c r="A856" s="46"/>
      <c r="B856" s="7"/>
      <c r="C856" s="74"/>
      <c r="D856" s="74"/>
    </row>
    <row r="857">
      <c r="A857" s="46"/>
      <c r="B857" s="7"/>
      <c r="C857" s="74"/>
      <c r="D857" s="74"/>
    </row>
    <row r="858">
      <c r="A858" s="46"/>
      <c r="B858" s="7"/>
      <c r="C858" s="74"/>
      <c r="D858" s="74"/>
    </row>
    <row r="859">
      <c r="A859" s="46"/>
      <c r="B859" s="7"/>
      <c r="C859" s="74"/>
      <c r="D859" s="74"/>
    </row>
    <row r="860">
      <c r="A860" s="46"/>
      <c r="B860" s="7"/>
      <c r="C860" s="74"/>
      <c r="D860" s="74"/>
    </row>
    <row r="861">
      <c r="A861" s="46"/>
      <c r="B861" s="7"/>
      <c r="C861" s="74"/>
      <c r="D861" s="74"/>
    </row>
    <row r="862">
      <c r="A862" s="46"/>
      <c r="B862" s="7"/>
      <c r="C862" s="74"/>
      <c r="D862" s="74"/>
    </row>
    <row r="863">
      <c r="A863" s="46"/>
      <c r="B863" s="7"/>
      <c r="C863" s="74"/>
      <c r="D863" s="74"/>
    </row>
    <row r="864">
      <c r="A864" s="46"/>
      <c r="B864" s="7"/>
      <c r="C864" s="74"/>
      <c r="D864" s="74"/>
    </row>
    <row r="865">
      <c r="A865" s="46"/>
      <c r="B865" s="7"/>
      <c r="C865" s="74"/>
      <c r="D865" s="74"/>
    </row>
    <row r="866">
      <c r="A866" s="46"/>
      <c r="B866" s="7"/>
      <c r="C866" s="74"/>
      <c r="D866" s="74"/>
    </row>
    <row r="867">
      <c r="A867" s="46"/>
      <c r="B867" s="7"/>
      <c r="C867" s="74"/>
      <c r="D867" s="74"/>
    </row>
    <row r="868">
      <c r="A868" s="46"/>
      <c r="B868" s="7"/>
      <c r="C868" s="74"/>
      <c r="D868" s="74"/>
    </row>
    <row r="869">
      <c r="A869" s="46"/>
      <c r="B869" s="7"/>
      <c r="C869" s="74"/>
      <c r="D869" s="74"/>
    </row>
    <row r="870">
      <c r="A870" s="46"/>
      <c r="B870" s="7"/>
      <c r="C870" s="74"/>
      <c r="D870" s="74"/>
    </row>
    <row r="871">
      <c r="A871" s="46"/>
      <c r="B871" s="7"/>
      <c r="C871" s="74"/>
      <c r="D871" s="74"/>
    </row>
    <row r="872">
      <c r="A872" s="46"/>
      <c r="B872" s="7"/>
      <c r="C872" s="74"/>
      <c r="D872" s="74"/>
    </row>
    <row r="873">
      <c r="A873" s="46"/>
      <c r="B873" s="7"/>
      <c r="C873" s="74"/>
      <c r="D873" s="74"/>
    </row>
    <row r="874">
      <c r="A874" s="46"/>
      <c r="B874" s="7"/>
      <c r="C874" s="74"/>
      <c r="D874" s="74"/>
    </row>
    <row r="875">
      <c r="A875" s="46"/>
      <c r="B875" s="7"/>
      <c r="C875" s="74"/>
      <c r="D875" s="74"/>
    </row>
    <row r="876">
      <c r="A876" s="46"/>
      <c r="B876" s="7"/>
      <c r="C876" s="74"/>
      <c r="D876" s="74"/>
    </row>
    <row r="877">
      <c r="A877" s="46"/>
      <c r="B877" s="7"/>
      <c r="C877" s="74"/>
      <c r="D877" s="74"/>
    </row>
    <row r="878">
      <c r="A878" s="46"/>
      <c r="B878" s="7"/>
      <c r="C878" s="74"/>
      <c r="D878" s="74"/>
    </row>
    <row r="879">
      <c r="A879" s="46"/>
      <c r="B879" s="7"/>
      <c r="C879" s="74"/>
      <c r="D879" s="74"/>
    </row>
    <row r="880">
      <c r="A880" s="46"/>
      <c r="B880" s="7"/>
      <c r="C880" s="74"/>
      <c r="D880" s="74"/>
    </row>
    <row r="881">
      <c r="A881" s="46"/>
      <c r="B881" s="7"/>
      <c r="C881" s="74"/>
      <c r="D881" s="74"/>
    </row>
    <row r="882">
      <c r="A882" s="46"/>
      <c r="B882" s="7"/>
      <c r="C882" s="74"/>
      <c r="D882" s="74"/>
    </row>
    <row r="883">
      <c r="A883" s="46"/>
      <c r="B883" s="7"/>
      <c r="C883" s="74"/>
      <c r="D883" s="74"/>
    </row>
    <row r="884">
      <c r="A884" s="46"/>
      <c r="B884" s="7"/>
      <c r="C884" s="74"/>
      <c r="D884" s="74"/>
    </row>
    <row r="885">
      <c r="A885" s="46"/>
      <c r="B885" s="7"/>
      <c r="C885" s="74"/>
      <c r="D885" s="74"/>
    </row>
    <row r="886">
      <c r="A886" s="46"/>
      <c r="B886" s="7"/>
      <c r="C886" s="74"/>
      <c r="D886" s="74"/>
    </row>
    <row r="887">
      <c r="A887" s="46"/>
      <c r="B887" s="7"/>
      <c r="C887" s="74"/>
      <c r="D887" s="74"/>
    </row>
    <row r="888">
      <c r="A888" s="46"/>
      <c r="B888" s="7"/>
      <c r="C888" s="74"/>
      <c r="D888" s="74"/>
    </row>
    <row r="889">
      <c r="A889" s="46"/>
      <c r="B889" s="7"/>
      <c r="C889" s="74"/>
      <c r="D889" s="74"/>
    </row>
    <row r="890">
      <c r="A890" s="46"/>
      <c r="B890" s="7"/>
      <c r="C890" s="74"/>
      <c r="D890" s="74"/>
    </row>
    <row r="891">
      <c r="A891" s="46"/>
      <c r="B891" s="7"/>
      <c r="C891" s="74"/>
      <c r="D891" s="74"/>
    </row>
    <row r="892">
      <c r="A892" s="46"/>
      <c r="B892" s="7"/>
      <c r="C892" s="74"/>
      <c r="D892" s="74"/>
    </row>
    <row r="893">
      <c r="A893" s="46"/>
      <c r="B893" s="7"/>
      <c r="C893" s="74"/>
      <c r="D893" s="74"/>
    </row>
    <row r="894">
      <c r="A894" s="46"/>
      <c r="B894" s="7"/>
      <c r="C894" s="74"/>
      <c r="D894" s="74"/>
    </row>
    <row r="895">
      <c r="A895" s="46"/>
      <c r="B895" s="7"/>
      <c r="C895" s="74"/>
      <c r="D895" s="74"/>
    </row>
    <row r="896">
      <c r="A896" s="46"/>
      <c r="B896" s="7"/>
      <c r="C896" s="74"/>
      <c r="D896" s="74"/>
    </row>
    <row r="897">
      <c r="A897" s="46"/>
      <c r="B897" s="7"/>
      <c r="C897" s="74"/>
      <c r="D897" s="74"/>
    </row>
    <row r="898">
      <c r="A898" s="46"/>
      <c r="B898" s="7"/>
      <c r="C898" s="74"/>
      <c r="D898" s="74"/>
    </row>
    <row r="899">
      <c r="A899" s="46"/>
      <c r="B899" s="7"/>
      <c r="C899" s="74"/>
      <c r="D899" s="74"/>
    </row>
    <row r="900">
      <c r="A900" s="46"/>
      <c r="B900" s="7"/>
      <c r="C900" s="74"/>
      <c r="D900" s="74"/>
    </row>
    <row r="901">
      <c r="A901" s="46"/>
      <c r="B901" s="7"/>
      <c r="C901" s="74"/>
      <c r="D901" s="74"/>
    </row>
    <row r="902">
      <c r="A902" s="46"/>
      <c r="B902" s="7"/>
      <c r="C902" s="74"/>
      <c r="D902" s="74"/>
    </row>
    <row r="903">
      <c r="A903" s="46"/>
      <c r="B903" s="7"/>
      <c r="C903" s="74"/>
      <c r="D903" s="74"/>
    </row>
    <row r="904">
      <c r="A904" s="46"/>
      <c r="B904" s="7"/>
      <c r="C904" s="74"/>
      <c r="D904" s="74"/>
    </row>
    <row r="905">
      <c r="A905" s="46"/>
      <c r="B905" s="7"/>
      <c r="C905" s="74"/>
      <c r="D905" s="74"/>
    </row>
    <row r="906">
      <c r="A906" s="46"/>
      <c r="B906" s="7"/>
      <c r="C906" s="74"/>
      <c r="D906" s="74"/>
    </row>
    <row r="907">
      <c r="A907" s="46"/>
      <c r="B907" s="7"/>
      <c r="C907" s="74"/>
      <c r="D907" s="74"/>
    </row>
    <row r="908">
      <c r="A908" s="46"/>
      <c r="B908" s="7"/>
      <c r="C908" s="74"/>
      <c r="D908" s="74"/>
    </row>
    <row r="909">
      <c r="A909" s="46"/>
      <c r="B909" s="7"/>
      <c r="C909" s="74"/>
      <c r="D909" s="74"/>
    </row>
    <row r="910">
      <c r="A910" s="46"/>
      <c r="B910" s="7"/>
      <c r="C910" s="74"/>
      <c r="D910" s="74"/>
    </row>
    <row r="911">
      <c r="A911" s="46"/>
      <c r="B911" s="7"/>
      <c r="C911" s="74"/>
      <c r="D911" s="74"/>
    </row>
    <row r="912">
      <c r="A912" s="46"/>
      <c r="B912" s="7"/>
      <c r="C912" s="74"/>
      <c r="D912" s="74"/>
    </row>
    <row r="913">
      <c r="A913" s="46"/>
      <c r="B913" s="7"/>
      <c r="C913" s="74"/>
      <c r="D913" s="74"/>
    </row>
    <row r="914">
      <c r="A914" s="46"/>
      <c r="B914" s="7"/>
      <c r="C914" s="74"/>
      <c r="D914" s="74"/>
    </row>
    <row r="915">
      <c r="A915" s="46"/>
      <c r="B915" s="7"/>
      <c r="C915" s="74"/>
      <c r="D915" s="74"/>
    </row>
    <row r="916">
      <c r="A916" s="46"/>
      <c r="B916" s="7"/>
      <c r="C916" s="74"/>
      <c r="D916" s="74"/>
    </row>
    <row r="917">
      <c r="A917" s="46"/>
      <c r="B917" s="7"/>
      <c r="C917" s="74"/>
      <c r="D917" s="74"/>
    </row>
    <row r="918">
      <c r="A918" s="46"/>
      <c r="B918" s="7"/>
      <c r="C918" s="74"/>
      <c r="D918" s="74"/>
    </row>
    <row r="919">
      <c r="A919" s="46"/>
      <c r="B919" s="7"/>
      <c r="C919" s="74"/>
      <c r="D919" s="74"/>
    </row>
    <row r="920">
      <c r="A920" s="46"/>
      <c r="B920" s="7"/>
      <c r="C920" s="74"/>
      <c r="D920" s="74"/>
    </row>
    <row r="921">
      <c r="A921" s="46"/>
      <c r="B921" s="7"/>
      <c r="C921" s="74"/>
      <c r="D921" s="74"/>
    </row>
    <row r="922">
      <c r="A922" s="46"/>
      <c r="B922" s="7"/>
      <c r="C922" s="74"/>
      <c r="D922" s="74"/>
    </row>
    <row r="923">
      <c r="A923" s="46"/>
      <c r="B923" s="7"/>
      <c r="C923" s="74"/>
      <c r="D923" s="74"/>
    </row>
    <row r="924">
      <c r="A924" s="46"/>
      <c r="B924" s="7"/>
      <c r="C924" s="74"/>
      <c r="D924" s="74"/>
    </row>
    <row r="925">
      <c r="A925" s="46"/>
      <c r="B925" s="7"/>
      <c r="C925" s="74"/>
      <c r="D925" s="74"/>
    </row>
    <row r="926">
      <c r="A926" s="46"/>
      <c r="B926" s="7"/>
      <c r="C926" s="74"/>
      <c r="D926" s="74"/>
    </row>
    <row r="927">
      <c r="A927" s="46"/>
      <c r="B927" s="7"/>
      <c r="C927" s="74"/>
      <c r="D927" s="74"/>
    </row>
    <row r="928">
      <c r="A928" s="46"/>
      <c r="B928" s="7"/>
      <c r="C928" s="74"/>
      <c r="D928" s="74"/>
    </row>
    <row r="929">
      <c r="A929" s="46"/>
      <c r="B929" s="7"/>
      <c r="C929" s="74"/>
      <c r="D929" s="74"/>
    </row>
    <row r="930">
      <c r="A930" s="46"/>
      <c r="B930" s="7"/>
      <c r="C930" s="74"/>
      <c r="D930" s="74"/>
    </row>
    <row r="931">
      <c r="A931" s="46"/>
      <c r="B931" s="7"/>
      <c r="C931" s="74"/>
      <c r="D931" s="74"/>
    </row>
    <row r="932">
      <c r="A932" s="46"/>
      <c r="B932" s="7"/>
      <c r="C932" s="74"/>
      <c r="D932" s="74"/>
    </row>
    <row r="933">
      <c r="A933" s="46"/>
      <c r="B933" s="7"/>
      <c r="C933" s="74"/>
      <c r="D933" s="74"/>
    </row>
    <row r="934">
      <c r="A934" s="46"/>
      <c r="B934" s="7"/>
      <c r="C934" s="74"/>
      <c r="D934" s="74"/>
    </row>
    <row r="935">
      <c r="A935" s="46"/>
      <c r="B935" s="7"/>
      <c r="C935" s="74"/>
      <c r="D935" s="74"/>
    </row>
    <row r="936">
      <c r="A936" s="46"/>
      <c r="B936" s="7"/>
      <c r="C936" s="74"/>
      <c r="D936" s="74"/>
    </row>
    <row r="937">
      <c r="A937" s="46"/>
      <c r="B937" s="7"/>
      <c r="C937" s="74"/>
      <c r="D937" s="74"/>
    </row>
    <row r="938">
      <c r="A938" s="46"/>
      <c r="B938" s="7"/>
      <c r="C938" s="74"/>
      <c r="D938" s="74"/>
    </row>
    <row r="939">
      <c r="A939" s="46"/>
      <c r="B939" s="7"/>
      <c r="C939" s="74"/>
      <c r="D939" s="74"/>
    </row>
    <row r="940">
      <c r="A940" s="46"/>
      <c r="B940" s="7"/>
      <c r="C940" s="74"/>
      <c r="D940" s="74"/>
    </row>
    <row r="941">
      <c r="A941" s="46"/>
      <c r="B941" s="7"/>
      <c r="C941" s="74"/>
      <c r="D941" s="74"/>
    </row>
    <row r="942">
      <c r="A942" s="46"/>
      <c r="B942" s="7"/>
      <c r="C942" s="74"/>
      <c r="D942" s="74"/>
    </row>
    <row r="943">
      <c r="A943" s="46"/>
      <c r="B943" s="7"/>
      <c r="C943" s="74"/>
      <c r="D943" s="74"/>
    </row>
    <row r="944">
      <c r="A944" s="46"/>
      <c r="B944" s="7"/>
      <c r="C944" s="74"/>
      <c r="D944" s="74"/>
    </row>
    <row r="945">
      <c r="A945" s="46"/>
      <c r="B945" s="7"/>
      <c r="C945" s="74"/>
      <c r="D945" s="74"/>
    </row>
    <row r="946">
      <c r="A946" s="46"/>
      <c r="B946" s="7"/>
      <c r="C946" s="74"/>
      <c r="D946" s="74"/>
    </row>
    <row r="947">
      <c r="A947" s="46"/>
      <c r="B947" s="7"/>
      <c r="C947" s="74"/>
      <c r="D947" s="74"/>
    </row>
    <row r="948">
      <c r="A948" s="46"/>
      <c r="B948" s="7"/>
      <c r="C948" s="74"/>
      <c r="D948" s="74"/>
    </row>
    <row r="949">
      <c r="A949" s="46"/>
      <c r="B949" s="7"/>
      <c r="C949" s="74"/>
      <c r="D949" s="74"/>
    </row>
    <row r="950">
      <c r="A950" s="46"/>
      <c r="B950" s="7"/>
      <c r="C950" s="74"/>
      <c r="D950" s="74"/>
    </row>
    <row r="951">
      <c r="A951" s="46"/>
      <c r="B951" s="7"/>
      <c r="C951" s="74"/>
      <c r="D951" s="74"/>
    </row>
    <row r="952">
      <c r="A952" s="46"/>
      <c r="B952" s="7"/>
      <c r="C952" s="74"/>
      <c r="D952" s="74"/>
    </row>
    <row r="953">
      <c r="A953" s="46"/>
      <c r="B953" s="7"/>
      <c r="C953" s="74"/>
      <c r="D953" s="74"/>
    </row>
    <row r="954">
      <c r="A954" s="46"/>
      <c r="B954" s="7"/>
      <c r="C954" s="74"/>
      <c r="D954" s="74"/>
    </row>
    <row r="955">
      <c r="A955" s="46"/>
      <c r="B955" s="7"/>
      <c r="C955" s="74"/>
      <c r="D955" s="74"/>
    </row>
    <row r="956">
      <c r="A956" s="46"/>
      <c r="B956" s="7"/>
      <c r="C956" s="74"/>
      <c r="D956" s="74"/>
    </row>
    <row r="957">
      <c r="A957" s="46"/>
      <c r="B957" s="7"/>
      <c r="C957" s="74"/>
      <c r="D957" s="74"/>
    </row>
    <row r="958">
      <c r="A958" s="46"/>
      <c r="B958" s="7"/>
      <c r="C958" s="74"/>
      <c r="D958" s="74"/>
    </row>
    <row r="959">
      <c r="A959" s="46"/>
      <c r="B959" s="7"/>
      <c r="C959" s="74"/>
      <c r="D959" s="74"/>
    </row>
    <row r="960">
      <c r="A960" s="46"/>
      <c r="B960" s="7"/>
      <c r="C960" s="74"/>
      <c r="D960" s="74"/>
    </row>
    <row r="961">
      <c r="A961" s="46"/>
      <c r="B961" s="7"/>
      <c r="C961" s="74"/>
      <c r="D961" s="74"/>
    </row>
    <row r="962">
      <c r="A962" s="46"/>
      <c r="B962" s="7"/>
      <c r="C962" s="74"/>
      <c r="D962" s="74"/>
    </row>
    <row r="963">
      <c r="A963" s="46"/>
      <c r="B963" s="7"/>
      <c r="C963" s="74"/>
      <c r="D963" s="74"/>
    </row>
    <row r="964">
      <c r="A964" s="46"/>
      <c r="B964" s="7"/>
      <c r="C964" s="74"/>
      <c r="D964" s="74"/>
    </row>
    <row r="965">
      <c r="A965" s="46"/>
      <c r="B965" s="7"/>
      <c r="C965" s="74"/>
      <c r="D965" s="74"/>
    </row>
    <row r="966">
      <c r="A966" s="46"/>
      <c r="B966" s="7"/>
      <c r="C966" s="74"/>
      <c r="D966" s="74"/>
    </row>
    <row r="967">
      <c r="A967" s="46"/>
      <c r="B967" s="7"/>
      <c r="C967" s="74"/>
      <c r="D967" s="74"/>
    </row>
    <row r="968">
      <c r="A968" s="46"/>
      <c r="B968" s="7"/>
      <c r="C968" s="74"/>
      <c r="D968" s="74"/>
    </row>
    <row r="969">
      <c r="A969" s="46"/>
      <c r="B969" s="7"/>
      <c r="C969" s="74"/>
      <c r="D969" s="74"/>
    </row>
    <row r="970">
      <c r="A970" s="46"/>
      <c r="B970" s="7"/>
      <c r="C970" s="74"/>
      <c r="D970" s="74"/>
    </row>
    <row r="971">
      <c r="A971" s="46"/>
      <c r="B971" s="7"/>
      <c r="C971" s="74"/>
      <c r="D971" s="74"/>
    </row>
    <row r="972">
      <c r="A972" s="46"/>
      <c r="B972" s="7"/>
      <c r="C972" s="74"/>
      <c r="D972" s="74"/>
    </row>
    <row r="973">
      <c r="A973" s="46"/>
      <c r="B973" s="7"/>
      <c r="C973" s="74"/>
      <c r="D973" s="74"/>
    </row>
    <row r="974">
      <c r="A974" s="46"/>
      <c r="B974" s="7"/>
      <c r="C974" s="74"/>
      <c r="D974" s="74"/>
    </row>
    <row r="975">
      <c r="A975" s="46"/>
      <c r="B975" s="7"/>
      <c r="C975" s="74"/>
      <c r="D975" s="74"/>
    </row>
    <row r="976">
      <c r="A976" s="46"/>
      <c r="B976" s="7"/>
      <c r="C976" s="74"/>
      <c r="D976" s="74"/>
    </row>
    <row r="977">
      <c r="A977" s="46"/>
      <c r="B977" s="7"/>
      <c r="C977" s="74"/>
      <c r="D977" s="74"/>
    </row>
    <row r="978">
      <c r="A978" s="46"/>
      <c r="B978" s="7"/>
      <c r="C978" s="74"/>
      <c r="D978" s="74"/>
    </row>
    <row r="979">
      <c r="A979" s="46"/>
      <c r="B979" s="7"/>
      <c r="C979" s="74"/>
      <c r="D979" s="74"/>
    </row>
    <row r="980">
      <c r="A980" s="46"/>
      <c r="B980" s="7"/>
      <c r="C980" s="74"/>
      <c r="D980" s="74"/>
    </row>
    <row r="981">
      <c r="A981" s="46"/>
      <c r="B981" s="7"/>
      <c r="C981" s="74"/>
      <c r="D981" s="74"/>
    </row>
    <row r="982">
      <c r="A982" s="46"/>
      <c r="B982" s="7"/>
      <c r="C982" s="74"/>
      <c r="D982" s="74"/>
    </row>
    <row r="983">
      <c r="A983" s="46"/>
      <c r="B983" s="7"/>
      <c r="C983" s="74"/>
      <c r="D983" s="74"/>
    </row>
    <row r="984">
      <c r="A984" s="46"/>
      <c r="B984" s="7"/>
      <c r="C984" s="74"/>
      <c r="D984" s="74"/>
    </row>
    <row r="985">
      <c r="A985" s="46"/>
      <c r="B985" s="7"/>
      <c r="C985" s="74"/>
      <c r="D985" s="74"/>
    </row>
    <row r="986">
      <c r="A986" s="46"/>
      <c r="B986" s="7"/>
      <c r="C986" s="74"/>
      <c r="D986" s="74"/>
    </row>
    <row r="987">
      <c r="A987" s="46"/>
      <c r="B987" s="7"/>
      <c r="C987" s="74"/>
      <c r="D987" s="74"/>
    </row>
    <row r="988">
      <c r="A988" s="46"/>
      <c r="B988" s="7"/>
      <c r="C988" s="74"/>
      <c r="D988" s="74"/>
    </row>
    <row r="989">
      <c r="A989" s="46"/>
      <c r="B989" s="7"/>
      <c r="C989" s="74"/>
      <c r="D989" s="74"/>
    </row>
    <row r="990">
      <c r="A990" s="46"/>
      <c r="B990" s="7"/>
      <c r="C990" s="74"/>
      <c r="D990" s="74"/>
    </row>
    <row r="991">
      <c r="A991" s="46"/>
      <c r="B991" s="7"/>
      <c r="C991" s="74"/>
      <c r="D991" s="74"/>
    </row>
    <row r="992">
      <c r="A992" s="46"/>
      <c r="B992" s="7"/>
      <c r="C992" s="74"/>
      <c r="D992" s="74"/>
    </row>
    <row r="993">
      <c r="A993" s="46"/>
      <c r="B993" s="7"/>
      <c r="C993" s="74"/>
      <c r="D993" s="74"/>
    </row>
    <row r="994">
      <c r="A994" s="46"/>
      <c r="B994" s="7"/>
      <c r="C994" s="74"/>
      <c r="D994" s="74"/>
    </row>
    <row r="995">
      <c r="A995" s="46"/>
      <c r="B995" s="7"/>
      <c r="C995" s="74"/>
      <c r="D995" s="74"/>
    </row>
    <row r="996">
      <c r="A996" s="46"/>
      <c r="B996" s="7"/>
      <c r="C996" s="74"/>
      <c r="D996" s="74"/>
    </row>
    <row r="997">
      <c r="A997" s="46"/>
      <c r="B997" s="7"/>
      <c r="C997" s="74"/>
      <c r="D997" s="74"/>
    </row>
    <row r="998">
      <c r="A998" s="46"/>
      <c r="B998" s="7"/>
      <c r="C998" s="74"/>
      <c r="D998" s="74"/>
    </row>
    <row r="999">
      <c r="A999" s="46"/>
      <c r="B999" s="7"/>
      <c r="C999" s="74"/>
      <c r="D999" s="74"/>
    </row>
    <row r="1000">
      <c r="A1000" s="46"/>
      <c r="B1000" s="7"/>
      <c r="C1000" s="74"/>
      <c r="D1000" s="74"/>
    </row>
    <row r="1001">
      <c r="A1001" s="46"/>
      <c r="B1001" s="7"/>
      <c r="C1001" s="74"/>
      <c r="D1001" s="74"/>
    </row>
    <row r="1002">
      <c r="A1002" s="46"/>
      <c r="B1002" s="7"/>
      <c r="C1002" s="74"/>
      <c r="D1002" s="74"/>
    </row>
    <row r="1003">
      <c r="A1003" s="46"/>
      <c r="B1003" s="7"/>
      <c r="C1003" s="74"/>
      <c r="D1003" s="74"/>
    </row>
    <row r="1004">
      <c r="A1004" s="46"/>
      <c r="B1004" s="7"/>
      <c r="C1004" s="74"/>
      <c r="D1004" s="74"/>
    </row>
    <row r="1005">
      <c r="A1005" s="46"/>
      <c r="B1005" s="7"/>
      <c r="C1005" s="74"/>
      <c r="D1005" s="74"/>
    </row>
    <row r="1006">
      <c r="A1006" s="46"/>
      <c r="B1006" s="7"/>
      <c r="C1006" s="74"/>
      <c r="D1006" s="74"/>
    </row>
    <row r="1007">
      <c r="A1007" s="46"/>
      <c r="B1007" s="7"/>
      <c r="C1007" s="74"/>
      <c r="D1007" s="74"/>
    </row>
    <row r="1008">
      <c r="A1008" s="46"/>
      <c r="B1008" s="7"/>
      <c r="C1008" s="74"/>
      <c r="D1008" s="74"/>
    </row>
    <row r="1009">
      <c r="A1009" s="46"/>
      <c r="B1009" s="7"/>
      <c r="C1009" s="74"/>
      <c r="D1009" s="74"/>
    </row>
    <row r="1010">
      <c r="A1010" s="46"/>
      <c r="B1010" s="7"/>
      <c r="C1010" s="74"/>
      <c r="D1010" s="74"/>
    </row>
    <row r="1011">
      <c r="A1011" s="46"/>
      <c r="B1011" s="7"/>
      <c r="C1011" s="74"/>
      <c r="D1011" s="74"/>
    </row>
    <row r="1012">
      <c r="A1012" s="46"/>
      <c r="B1012" s="7"/>
      <c r="C1012" s="74"/>
      <c r="D1012" s="74"/>
    </row>
    <row r="1013">
      <c r="A1013" s="46"/>
      <c r="B1013" s="7"/>
      <c r="C1013" s="74"/>
      <c r="D1013" s="74"/>
    </row>
    <row r="1014">
      <c r="A1014" s="46"/>
      <c r="B1014" s="7"/>
      <c r="C1014" s="74"/>
      <c r="D1014" s="74"/>
    </row>
  </sheetData>
  <mergeCells count="25">
    <mergeCell ref="B2:B18"/>
    <mergeCell ref="B19:B21"/>
    <mergeCell ref="B22:B25"/>
    <mergeCell ref="B28:B30"/>
    <mergeCell ref="B31:B34"/>
    <mergeCell ref="B35:B37"/>
    <mergeCell ref="B38:B40"/>
    <mergeCell ref="B41:B45"/>
    <mergeCell ref="B46:B49"/>
    <mergeCell ref="B50:B51"/>
    <mergeCell ref="B52:B53"/>
    <mergeCell ref="B54:B56"/>
    <mergeCell ref="B57:B59"/>
    <mergeCell ref="B61:B65"/>
    <mergeCell ref="B155:B156"/>
    <mergeCell ref="B157:B162"/>
    <mergeCell ref="B163:B165"/>
    <mergeCell ref="B167:B170"/>
    <mergeCell ref="B66:B68"/>
    <mergeCell ref="B69:B116"/>
    <mergeCell ref="B117:B124"/>
    <mergeCell ref="B125:B128"/>
    <mergeCell ref="B129:B131"/>
    <mergeCell ref="B132:B145"/>
    <mergeCell ref="B146:B154"/>
  </mergeCells>
  <hyperlinks>
    <hyperlink r:id="rId2" ref="B2"/>
    <hyperlink r:id="rId3" ref="B19"/>
    <hyperlink r:id="rId4" ref="B22"/>
    <hyperlink r:id="rId5" ref="B26"/>
    <hyperlink r:id="rId6" ref="B27"/>
    <hyperlink r:id="rId7" ref="B28"/>
    <hyperlink r:id="rId8" ref="B31"/>
    <hyperlink r:id="rId9" ref="B35"/>
    <hyperlink r:id="rId10" ref="B38"/>
    <hyperlink r:id="rId11" ref="B41"/>
    <hyperlink r:id="rId12" ref="B46"/>
    <hyperlink r:id="rId13" ref="B50"/>
    <hyperlink r:id="rId14" ref="B52"/>
    <hyperlink r:id="rId15" ref="B54"/>
    <hyperlink r:id="rId16" ref="B57"/>
    <hyperlink r:id="rId17" ref="B60"/>
    <hyperlink r:id="rId18" ref="B61"/>
    <hyperlink r:id="rId19" ref="B66"/>
    <hyperlink r:id="rId20" ref="B69"/>
    <hyperlink r:id="rId21" ref="B117"/>
    <hyperlink r:id="rId22" ref="B125"/>
    <hyperlink r:id="rId23" ref="B129"/>
    <hyperlink r:id="rId24" ref="B132"/>
    <hyperlink r:id="rId25" ref="B146"/>
    <hyperlink r:id="rId26" ref="B155"/>
    <hyperlink r:id="rId27" ref="B157"/>
    <hyperlink r:id="rId28" ref="B163"/>
    <hyperlink r:id="rId29" ref="B166"/>
    <hyperlink r:id="rId30" ref="B167"/>
    <hyperlink r:id="rId31" ref="B172"/>
  </hyperlinks>
  <drawing r:id="rId32"/>
  <legacyDrawing r:id="rId3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9.86"/>
    <col customWidth="1" min="2" max="2" width="41.0"/>
    <col customWidth="1" min="3" max="3" width="31.57"/>
    <col customWidth="1" min="4" max="4" width="34.29"/>
    <col customWidth="1" min="5" max="5" width="16.0"/>
  </cols>
  <sheetData>
    <row r="1">
      <c r="A1" s="99" t="s">
        <v>1208</v>
      </c>
      <c r="B1" s="5" t="s">
        <v>6</v>
      </c>
      <c r="C1" s="5" t="s">
        <v>7</v>
      </c>
      <c r="D1" s="5" t="s">
        <v>8</v>
      </c>
      <c r="E1" s="78" t="s">
        <v>1355</v>
      </c>
      <c r="F1" s="78"/>
    </row>
    <row r="2">
      <c r="A2" s="46" t="str">
        <f>IFERROR(__xludf.DUMMYFUNCTION("JOIN(""-"",""app"",SPLIT(LOWER( C2),"" ""))"),"app-terra")</f>
        <v>app-terra</v>
      </c>
      <c r="B2" s="9"/>
      <c r="C2" s="26" t="s">
        <v>379</v>
      </c>
      <c r="D2" s="26" t="s">
        <v>379</v>
      </c>
      <c r="E2" s="46" t="str">
        <f>IFERROR(__xludf.DUMMYFUNCTION("IFERROR(VLOOKUP(C2,IMPORTRANGE(""https://docs.google.com/spreadsheets/d/1SQRLoxD_LXfQNfB7NOxI5jlxbkDlcNPwla_2gSTySP8/edit#gid=274515254"",""Terra!$C$2:$D$151""),2,0),0)"),"Terra / テラ")</f>
        <v>Terra / テラ</v>
      </c>
    </row>
    <row r="3">
      <c r="A3" s="108" t="str">
        <f>IFERROR(__xludf.DUMMYFUNCTION("JOIN(""-"",""app"",SPLIT(LOWER( C3),"" ""))"),"app-create-terra-view-for")</f>
        <v>app-create-terra-view-for</v>
      </c>
      <c r="B3" s="103" t="s">
        <v>2432</v>
      </c>
      <c r="C3" s="106" t="s">
        <v>2433</v>
      </c>
      <c r="D3" s="106" t="s">
        <v>2434</v>
      </c>
      <c r="E3" s="93" t="s">
        <v>2435</v>
      </c>
    </row>
    <row r="4">
      <c r="A4" s="108" t="str">
        <f>IFERROR(__xludf.DUMMYFUNCTION("JOIN(""-"",""app"",SPLIT(LOWER( C4),"" ""))"),"app-new-terra")</f>
        <v>app-new-terra</v>
      </c>
      <c r="C4" s="106" t="s">
        <v>2436</v>
      </c>
      <c r="D4" s="106" t="s">
        <v>2437</v>
      </c>
      <c r="E4" s="93" t="s">
        <v>2438</v>
      </c>
    </row>
    <row r="5">
      <c r="A5" s="108" t="str">
        <f>IFERROR(__xludf.DUMMYFUNCTION("JOIN(""-"",""app"",SPLIT(LOWER( C5),"" ""))"),"app-add-groups")</f>
        <v>app-add-groups</v>
      </c>
      <c r="C5" s="106" t="s">
        <v>2439</v>
      </c>
      <c r="D5" s="106" t="s">
        <v>2440</v>
      </c>
      <c r="E5" s="93" t="s">
        <v>2441</v>
      </c>
    </row>
    <row r="6">
      <c r="A6" s="108" t="str">
        <f>IFERROR(__xludf.DUMMYFUNCTION("JOIN(""-"",""app"",SPLIT(LOWER( C6),"" ""))"),"app-search-groups")</f>
        <v>app-search-groups</v>
      </c>
      <c r="C6" s="106" t="s">
        <v>2442</v>
      </c>
      <c r="D6" s="106" t="s">
        <v>2443</v>
      </c>
      <c r="E6" s="93" t="s">
        <v>2444</v>
      </c>
    </row>
    <row r="7">
      <c r="A7" s="108" t="str">
        <f>IFERROR(__xludf.DUMMYFUNCTION("JOIN(""-"",""app"",SPLIT(LOWER( C7),"" ""))"),"app-create-terra-view")</f>
        <v>app-create-terra-view</v>
      </c>
      <c r="C7" s="106" t="s">
        <v>2445</v>
      </c>
      <c r="D7" s="106" t="s">
        <v>2446</v>
      </c>
      <c r="E7" s="93" t="s">
        <v>2447</v>
      </c>
    </row>
    <row r="8">
      <c r="A8" s="108" t="str">
        <f>IFERROR(__xludf.DUMMYFUNCTION("JOIN(""-"",""app"",SPLIT(LOWER( C8),"" ""))"),"app-enter-tags")</f>
        <v>app-enter-tags</v>
      </c>
      <c r="B8" s="105" t="s">
        <v>2448</v>
      </c>
      <c r="C8" s="106" t="s">
        <v>2105</v>
      </c>
      <c r="D8" s="106" t="s">
        <v>2106</v>
      </c>
      <c r="E8" s="116" t="str">
        <f>IFERROR(__xludf.DUMMYFUNCTION("IFERROR(VLOOKUP(C8,IMPORTRANGE(""https://docs.google.com/spreadsheets/d/1SQRLoxD_LXfQNfB7NOxI5jlxbkDlcNPwla_2gSTySP8/edit#gid=274515254"",""Terra!$C$2:$D$151""),2,0),0)"),"タグを入力")</f>
        <v>タグを入力</v>
      </c>
    </row>
    <row r="9">
      <c r="A9" s="108" t="str">
        <f>IFERROR(__xludf.DUMMYFUNCTION("JOIN(""-"",""app"",SPLIT(LOWER( C9),"" ""))"),"app-are-you-sure-you-want-to-delete-the-terra?")</f>
        <v>app-are-you-sure-you-want-to-delete-the-terra?</v>
      </c>
      <c r="B9" s="105" t="s">
        <v>2449</v>
      </c>
      <c r="C9" s="106" t="s">
        <v>2450</v>
      </c>
      <c r="D9" s="106" t="s">
        <v>2451</v>
      </c>
      <c r="E9" s="93" t="s">
        <v>2452</v>
      </c>
    </row>
    <row r="10">
      <c r="A10" s="117" t="s">
        <v>2453</v>
      </c>
      <c r="B10" s="8" t="s">
        <v>2454</v>
      </c>
      <c r="C10" s="118" t="s">
        <v>2455</v>
      </c>
      <c r="D10" s="118" t="s">
        <v>2456</v>
      </c>
      <c r="E10" s="46" t="str">
        <f>IFERROR(__xludf.DUMMYFUNCTION("IFERROR(VLOOKUP(C10,IMPORTRANGE(""https://docs.google.com/spreadsheets/d/1SQRLoxD_LXfQNfB7NOxI5jlxbkDlcNPwla_2gSTySP8/edit#gid=274515254"",""Terra!$C$2:$D$151""),2,0),0)"),"最近")</f>
        <v>最近</v>
      </c>
    </row>
    <row r="11">
      <c r="A11" s="117" t="s">
        <v>2457</v>
      </c>
      <c r="C11" s="118" t="s">
        <v>2458</v>
      </c>
      <c r="D11" s="118" t="s">
        <v>2459</v>
      </c>
      <c r="E11" s="46" t="str">
        <f>IFERROR(__xludf.DUMMYFUNCTION("IFERROR(VLOOKUP(C11,IMPORTRANGE(""https://docs.google.com/spreadsheets/d/1SQRLoxD_LXfQNfB7NOxI5jlxbkDlcNPwla_2gSTySP8/edit#gid=274515254"",""Terra!$C$2:$D$151""),2,0),0)"),"プロジェクトの進展状況")</f>
        <v>プロジェクトの進展状況</v>
      </c>
    </row>
    <row r="12">
      <c r="A12" s="117" t="s">
        <v>2460</v>
      </c>
      <c r="C12" s="118" t="s">
        <v>2461</v>
      </c>
      <c r="D12" s="118" t="s">
        <v>2462</v>
      </c>
      <c r="E12" s="46" t="str">
        <f>IFERROR(__xludf.DUMMYFUNCTION("IFERROR(VLOOKUP(C12,IMPORTRANGE(""https://docs.google.com/spreadsheets/d/1SQRLoxD_LXfQNfB7NOxI5jlxbkDlcNPwla_2gSTySP8/edit#gid=274515254"",""Terra!$C$2:$D$151""),2,0),0)"),"建設監視")</f>
        <v>建設監視</v>
      </c>
    </row>
    <row r="13">
      <c r="A13" s="54" t="s">
        <v>2463</v>
      </c>
      <c r="C13" s="118" t="s">
        <v>2464</v>
      </c>
      <c r="D13" s="118" t="s">
        <v>2465</v>
      </c>
      <c r="E13" s="46" t="str">
        <f>IFERROR(__xludf.DUMMYFUNCTION("IFERROR(VLOOKUP(C13,IMPORTRANGE(""https://docs.google.com/spreadsheets/d/1SQRLoxD_LXfQNfB7NOxI5jlxbkDlcNPwla_2gSTySP8/edit#gid=274515254"",""Terra!$C$2:$D$151""),2,0),0)"),"現場オプション")</f>
        <v>現場オプション</v>
      </c>
    </row>
    <row r="14">
      <c r="A14" s="54" t="s">
        <v>2466</v>
      </c>
      <c r="C14" s="118" t="s">
        <v>2467</v>
      </c>
      <c r="D14" s="26" t="s">
        <v>2468</v>
      </c>
      <c r="E14" s="46" t="str">
        <f>IFERROR(__xludf.DUMMYFUNCTION("IFERROR(VLOOKUP(C14,IMPORTRANGE(""https://docs.google.com/spreadsheets/d/1SQRLoxD_LXfQNfB7NOxI5jlxbkDlcNPwla_2gSTySP8/edit#gid=274515254"",""Terra!$C$2:$D$151""),2,0),0)"),"設計レイアウト")</f>
        <v>設計レイアウト</v>
      </c>
    </row>
    <row r="15">
      <c r="A15" s="54" t="s">
        <v>1474</v>
      </c>
      <c r="C15" s="118" t="s">
        <v>1476</v>
      </c>
      <c r="D15" s="118" t="s">
        <v>2469</v>
      </c>
      <c r="E15" s="46" t="str">
        <f>IFERROR(__xludf.DUMMYFUNCTION("IFERROR(VLOOKUP(C15,IMPORTRANGE(""https://docs.google.com/spreadsheets/d/1SQRLoxD_LXfQNfB7NOxI5jlxbkDlcNPwla_2gSTySP8/edit#gid=274515254"",""Terra!$C$2:$D$151""),2,0),0)"),"作成者")</f>
        <v>作成者</v>
      </c>
    </row>
    <row r="16">
      <c r="A16" s="54" t="s">
        <v>507</v>
      </c>
      <c r="C16" s="118" t="s">
        <v>508</v>
      </c>
      <c r="D16" s="118" t="s">
        <v>509</v>
      </c>
      <c r="E16" s="46" t="str">
        <f>IFERROR(__xludf.DUMMYFUNCTION("IFERROR(VLOOKUP(C16,IMPORTRANGE(""https://docs.google.com/spreadsheets/d/1SQRLoxD_LXfQNfB7NOxI5jlxbkDlcNPwla_2gSTySP8/edit#gid=274515254"",""Terra!$C$2:$D$151""),2,0),0)"),"ユーザ")</f>
        <v>ユーザ</v>
      </c>
    </row>
    <row r="17">
      <c r="A17" s="54" t="s">
        <v>1739</v>
      </c>
      <c r="C17" s="118" t="s">
        <v>2470</v>
      </c>
      <c r="D17" s="118" t="s">
        <v>2471</v>
      </c>
      <c r="E17" s="46" t="str">
        <f>IFERROR(__xludf.DUMMYFUNCTION("IFERROR(VLOOKUP(C17,IMPORTRANGE(""https://docs.google.com/spreadsheets/d/1SQRLoxD_LXfQNfB7NOxI5jlxbkDlcNPwla_2gSTySP8/edit#gid=274515254"",""Terra!$C$2:$D$151""),2,0),0)"),"変更日")</f>
        <v>変更日</v>
      </c>
    </row>
    <row r="18">
      <c r="A18" s="54" t="s">
        <v>1739</v>
      </c>
      <c r="C18" s="118" t="s">
        <v>2472</v>
      </c>
      <c r="D18" s="26" t="s">
        <v>2473</v>
      </c>
      <c r="E18" s="46" t="str">
        <f>IFERROR(__xludf.DUMMYFUNCTION("IFERROR(VLOOKUP(C18,IMPORTRANGE(""https://docs.google.com/spreadsheets/d/1SQRLoxD_LXfQNfB7NOxI5jlxbkDlcNPwla_2gSTySP8/edit#gid=274515254"",""Terra!$C$2:$D$151""),2,0),0)"),"３日前")</f>
        <v>３日前</v>
      </c>
    </row>
    <row r="19">
      <c r="A19" s="54" t="s">
        <v>926</v>
      </c>
      <c r="B19" s="8" t="s">
        <v>2474</v>
      </c>
      <c r="C19" s="26" t="s">
        <v>927</v>
      </c>
      <c r="D19" s="26" t="s">
        <v>1034</v>
      </c>
      <c r="E19" s="46" t="str">
        <f>IFERROR(__xludf.DUMMYFUNCTION("IFERROR(VLOOKUP(C19,IMPORTRANGE(""https://docs.google.com/spreadsheets/d/1SQRLoxD_LXfQNfB7NOxI5jlxbkDlcNPwla_2gSTySP8/edit#gid=274515254"",""Terra!$C$2:$D$151""),2,0),0)"),"すべて")</f>
        <v>すべて</v>
      </c>
    </row>
    <row r="20">
      <c r="A20" s="54" t="s">
        <v>1872</v>
      </c>
      <c r="C20" s="118" t="s">
        <v>219</v>
      </c>
      <c r="D20" s="118" t="s">
        <v>220</v>
      </c>
      <c r="E20" s="46" t="str">
        <f>IFERROR(__xludf.DUMMYFUNCTION("IFERROR(VLOOKUP(C20,IMPORTRANGE(""https://docs.google.com/spreadsheets/d/1SQRLoxD_LXfQNfB7NOxI5jlxbkDlcNPwla_2gSTySP8/edit#gid=274515254"",""Terra!$C$2:$D$151""),2,0),0)"),"検索")</f>
        <v>検索</v>
      </c>
    </row>
    <row r="21">
      <c r="A21" s="54" t="s">
        <v>2475</v>
      </c>
      <c r="C21" s="118" t="s">
        <v>2476</v>
      </c>
      <c r="D21" s="118" t="s">
        <v>2477</v>
      </c>
      <c r="E21" s="46" t="str">
        <f>IFERROR(__xludf.DUMMYFUNCTION("IFERROR(VLOOKUP(C21,IMPORTRANGE(""https://docs.google.com/spreadsheets/d/1SQRLoxD_LXfQNfB7NOxI5jlxbkDlcNPwla_2gSTySP8/edit#gid=274515254"",""Terra!$C$2:$D$151""),2,0),0)"),"専用設備")</f>
        <v>専用設備</v>
      </c>
    </row>
    <row r="22">
      <c r="A22" s="54" t="s">
        <v>2478</v>
      </c>
      <c r="C22" s="118" t="s">
        <v>2479</v>
      </c>
      <c r="D22" s="118" t="s">
        <v>2480</v>
      </c>
      <c r="E22" s="46" t="str">
        <f>IFERROR(__xludf.DUMMYFUNCTION("IFERROR(VLOOKUP(C22,IMPORTRANGE(""https://docs.google.com/spreadsheets/d/1SQRLoxD_LXfQNfB7NOxI5jlxbkDlcNPwla_2gSTySP8/edit#gid=274515254"",""Terra!$C$2:$D$151""),2,0),0)"),"ビューを作成")</f>
        <v>ビューを作成</v>
      </c>
    </row>
    <row r="23">
      <c r="A23" s="54" t="s">
        <v>2481</v>
      </c>
      <c r="B23" s="8" t="s">
        <v>2482</v>
      </c>
      <c r="C23" s="118" t="s">
        <v>2483</v>
      </c>
      <c r="D23" s="26" t="s">
        <v>2484</v>
      </c>
      <c r="E23" s="46" t="str">
        <f>IFERROR(__xludf.DUMMYFUNCTION("IFERROR(VLOOKUP(C23,IMPORTRANGE(""https://docs.google.com/spreadsheets/d/1SQRLoxD_LXfQNfB7NOxI5jlxbkDlcNPwla_2gSTySP8/edit#gid=274515254"",""Terra!$C$2:$D$151""),2,0),0)"),"バーコードスキャン")</f>
        <v>バーコードスキャン</v>
      </c>
    </row>
    <row r="24">
      <c r="A24" s="54" t="str">
        <f>IFERROR(__xludf.DUMMYFUNCTION("JOIN(""-"",""app"",SPLIT(LOWER( C24),"" ""))"),"app-demarked-site-boundary-and-other-key-feature-raster-overlaid-on-the-site-ortho")</f>
        <v>app-demarked-site-boundary-and-other-key-feature-raster-overlaid-on-the-site-ortho</v>
      </c>
      <c r="B24" s="20" t="s">
        <v>2485</v>
      </c>
      <c r="C24" s="118" t="s">
        <v>2486</v>
      </c>
      <c r="D24" s="26" t="s">
        <v>2487</v>
      </c>
      <c r="E24" s="46" t="str">
        <f>IFERROR(__xludf.DUMMYFUNCTION("IFERROR(VLOOKUP(C24,IMPORTRANGE(""https://docs.google.com/spreadsheets/d/1SQRLoxD_LXfQNfB7NOxI5jlxbkDlcNPwla_2gSTySP8/edit#gid=274515254"",""Terra!$C$2:$D$151""),2,0),0)"),"既定の現場境界線と、その他主要特徴のラスタを現場オルソ画像に重ねる")</f>
        <v>既定の現場境界線と、その他主要特徴のラスタを現場オルソ画像に重ねる</v>
      </c>
    </row>
    <row r="25">
      <c r="A25" s="54" t="str">
        <f>IFERROR(__xludf.DUMMYFUNCTION("JOIN(""-"",""app"",SPLIT(LOWER( C25),"" ""))"),"app-groups")</f>
        <v>app-groups</v>
      </c>
      <c r="C25" s="118" t="s">
        <v>1009</v>
      </c>
      <c r="D25" s="118" t="s">
        <v>2488</v>
      </c>
      <c r="E25" s="46" t="str">
        <f>IFERROR(__xludf.DUMMYFUNCTION("IFERROR(VLOOKUP(C25,IMPORTRANGE(""https://docs.google.com/spreadsheets/d/1SQRLoxD_LXfQNfB7NOxI5jlxbkDlcNPwla_2gSTySP8/edit#gid=274515254"",""Terra!$C$2:$D$151""),2,0),0)"),"グループ")</f>
        <v>グループ</v>
      </c>
    </row>
    <row r="26">
      <c r="A26" s="54" t="str">
        <f>IFERROR(__xludf.DUMMYFUNCTION("JOIN(""-"",""app"",SPLIT(LOWER( C26),"" ""))"),"app-teams")</f>
        <v>app-teams</v>
      </c>
      <c r="C26" s="118" t="s">
        <v>519</v>
      </c>
      <c r="D26" s="118" t="s">
        <v>520</v>
      </c>
      <c r="E26" s="46" t="str">
        <f>IFERROR(__xludf.DUMMYFUNCTION("IFERROR(VLOOKUP(C26,IMPORTRANGE(""https://docs.google.com/spreadsheets/d/1SQRLoxD_LXfQNfB7NOxI5jlxbkDlcNPwla_2gSTySP8/edit#gid=274515254"",""Terra!$C$2:$D$151""),2,0),0)"),"チーム")</f>
        <v>チーム</v>
      </c>
    </row>
    <row r="27">
      <c r="A27" s="54" t="str">
        <f>IFERROR(__xludf.DUMMYFUNCTION("JOIN(""-"",""app"",SPLIT(LOWER( C27),"" ""))"),"app-no-teams-assigned")</f>
        <v>app-no-teams-assigned</v>
      </c>
      <c r="C27" s="118" t="s">
        <v>2489</v>
      </c>
      <c r="D27" s="118" t="s">
        <v>2334</v>
      </c>
      <c r="E27" s="46" t="str">
        <f>IFERROR(__xludf.DUMMYFUNCTION("IFERROR(VLOOKUP(C27,IMPORTRANGE(""https://docs.google.com/spreadsheets/d/1SQRLoxD_LXfQNfB7NOxI5jlxbkDlcNPwla_2gSTySP8/edit#gid=274515254"",""Terra!$C$2:$D$151""),2,0),0)"),"割り当てチームなし")</f>
        <v>割り当てチームなし</v>
      </c>
    </row>
    <row r="28">
      <c r="A28" s="54" t="str">
        <f>IFERROR(__xludf.DUMMYFUNCTION("JOIN(""-"",""app"",SPLIT(LOWER( C28),"" ""))"),"app-raster")</f>
        <v>app-raster</v>
      </c>
      <c r="C28" s="118" t="s">
        <v>2490</v>
      </c>
      <c r="D28" s="118" t="s">
        <v>2490</v>
      </c>
      <c r="E28" s="46" t="str">
        <f>IFERROR(__xludf.DUMMYFUNCTION("IFERROR(VLOOKUP(C28,IMPORTRANGE(""https://docs.google.com/spreadsheets/d/1SQRLoxD_LXfQNfB7NOxI5jlxbkDlcNPwla_2gSTySP8/edit#gid=274515254"",""Terra!$C$2:$D$151""),2,0),0)"),"ラスタ")</f>
        <v>ラスタ</v>
      </c>
    </row>
    <row r="29">
      <c r="A29" s="54" t="str">
        <f>IFERROR(__xludf.DUMMYFUNCTION("JOIN(""-"",""app"",SPLIT(LOWER( C29),"" ""))"),"app-feasibility-study")</f>
        <v>app-feasibility-study</v>
      </c>
      <c r="C29" s="118" t="s">
        <v>2283</v>
      </c>
      <c r="D29" s="118" t="s">
        <v>2491</v>
      </c>
      <c r="E29" s="46" t="str">
        <f>IFERROR(__xludf.DUMMYFUNCTION("IFERROR(VLOOKUP(C29,IMPORTRANGE(""https://docs.google.com/spreadsheets/d/1SQRLoxD_LXfQNfB7NOxI5jlxbkDlcNPwla_2gSTySP8/edit#gid=274515254"",""Terra!$C$2:$D$151""),2,0),0)"),"フィジビリティスタディ")</f>
        <v>フィジビリティスタディ</v>
      </c>
    </row>
    <row r="30">
      <c r="A30" s="54" t="str">
        <f>IFERROR(__xludf.DUMMYFUNCTION("JOIN(""-"",""app"",SPLIT(LOWER( C30),"" ""))"),"app-feature-types")</f>
        <v>app-feature-types</v>
      </c>
      <c r="C30" s="118" t="s">
        <v>2492</v>
      </c>
      <c r="D30" s="26" t="s">
        <v>2493</v>
      </c>
      <c r="E30" s="46" t="str">
        <f>IFERROR(__xludf.DUMMYFUNCTION("IFERROR(VLOOKUP(C30,IMPORTRANGE(""https://docs.google.com/spreadsheets/d/1SQRLoxD_LXfQNfB7NOxI5jlxbkDlcNPwla_2gSTySP8/edit#gid=274515254"",""Terra!$C$2:$D$151""),2,0),0)"),"機能タイプ")</f>
        <v>機能タイプ</v>
      </c>
    </row>
    <row r="31">
      <c r="A31" s="54" t="str">
        <f>IFERROR(__xludf.DUMMYFUNCTION("JOIN(""-"",""app"",SPLIT(LOWER( C31),"" ""))"),"app-create-new")</f>
        <v>app-create-new</v>
      </c>
      <c r="C31" s="118" t="s">
        <v>2494</v>
      </c>
      <c r="D31" s="118" t="s">
        <v>2495</v>
      </c>
      <c r="E31" s="46" t="str">
        <f>IFERROR(__xludf.DUMMYFUNCTION("IFERROR(VLOOKUP(C31,IMPORTRANGE(""https://docs.google.com/spreadsheets/d/1SQRLoxD_LXfQNfB7NOxI5jlxbkDlcNPwla_2gSTySP8/edit#gid=274515254"",""Terra!$C$2:$D$151""),2,0),0)"),"新規作成")</f>
        <v>新規作成</v>
      </c>
    </row>
    <row r="32">
      <c r="A32" s="54" t="str">
        <f>IFERROR(__xludf.DUMMYFUNCTION("JOIN(""-"",""app"",SPLIT(LOWER( C32),"" ""))"),"app-go-to-map")</f>
        <v>app-go-to-map</v>
      </c>
      <c r="C32" s="118" t="s">
        <v>2496</v>
      </c>
      <c r="D32" s="118" t="s">
        <v>2497</v>
      </c>
      <c r="E32" s="46" t="str">
        <f>IFERROR(__xludf.DUMMYFUNCTION("IFERROR(VLOOKUP(C32,IMPORTRANGE(""https://docs.google.com/spreadsheets/d/1SQRLoxD_LXfQNfB7NOxI5jlxbkDlcNPwla_2gSTySP8/edit#gid=274515254"",""Terra!$C$2:$D$151""),2,0),0)"),"マップへ移動")</f>
        <v>マップへ移動</v>
      </c>
    </row>
    <row r="33">
      <c r="A33" s="54" t="str">
        <f>IFERROR(__xludf.DUMMYFUNCTION("JOIN(""-"",""app"",SPLIT(LOWER( C33),"" ""))"),"app-assign-group")</f>
        <v>app-assign-group</v>
      </c>
      <c r="C33" s="118" t="s">
        <v>2498</v>
      </c>
      <c r="D33" s="118" t="s">
        <v>2499</v>
      </c>
      <c r="E33" s="46" t="str">
        <f>IFERROR(__xludf.DUMMYFUNCTION("IFERROR(VLOOKUP(C33,IMPORTRANGE(""https://docs.google.com/spreadsheets/d/1SQRLoxD_LXfQNfB7NOxI5jlxbkDlcNPwla_2gSTySP8/edit#gid=274515254"",""Terra!$C$2:$D$151""),2,0),0)"),"グループを割り当て")</f>
        <v>グループを割り当て</v>
      </c>
    </row>
    <row r="34">
      <c r="A34" s="54" t="str">
        <f>IFERROR(__xludf.DUMMYFUNCTION("JOIN(""-"",""app"",SPLIT(LOWER( C34),"" ""))"),"app-monitoring")</f>
        <v>app-monitoring</v>
      </c>
      <c r="C34" s="118" t="s">
        <v>2500</v>
      </c>
      <c r="D34" s="118" t="s">
        <v>2501</v>
      </c>
      <c r="E34" s="46" t="str">
        <f>IFERROR(__xludf.DUMMYFUNCTION("IFERROR(VLOOKUP(C34,IMPORTRANGE(""https://docs.google.com/spreadsheets/d/1SQRLoxD_LXfQNfB7NOxI5jlxbkDlcNPwla_2gSTySP8/edit#gid=274515254"",""Terra!$C$2:$D$151""),2,0),0)"),"モニタリング中")</f>
        <v>モニタリング中</v>
      </c>
    </row>
    <row r="35">
      <c r="A35" s="54" t="str">
        <f>IFERROR(__xludf.DUMMYFUNCTION("JOIN(""-"",""app"",SPLIT(LOWER( C35),"" ""))"),"app-220kv-transmission-line-tower")</f>
        <v>app-220kv-transmission-line-tower</v>
      </c>
      <c r="C35" s="118" t="s">
        <v>2502</v>
      </c>
      <c r="D35" s="26" t="s">
        <v>2503</v>
      </c>
      <c r="E35" s="46" t="str">
        <f>IFERROR(__xludf.DUMMYFUNCTION("IFERROR(VLOOKUP(C35,IMPORTRANGE(""https://docs.google.com/spreadsheets/d/1SQRLoxD_LXfQNfB7NOxI5jlxbkDlcNPwla_2gSTySP8/edit#gid=274515254"",""Terra!$C$2:$D$151""),2,0),0)"),"220KV送電鉄塔")</f>
        <v>220KV送電鉄塔</v>
      </c>
    </row>
    <row r="36">
      <c r="A36" s="54" t="str">
        <f>IFERROR(__xludf.DUMMYFUNCTION("JOIN(""-"",""app"",SPLIT(LOWER( C36),"" ""))"),"app-tower---1")</f>
        <v>app-tower---1</v>
      </c>
      <c r="C36" s="118" t="s">
        <v>2504</v>
      </c>
      <c r="D36" s="118" t="s">
        <v>2505</v>
      </c>
      <c r="E36" s="46" t="str">
        <f>IFERROR(__xludf.DUMMYFUNCTION("IFERROR(VLOOKUP(C36,IMPORTRANGE(""https://docs.google.com/spreadsheets/d/1SQRLoxD_LXfQNfB7NOxI5jlxbkDlcNPwla_2gSTySP8/edit#gid=274515254"",""Terra!$C$2:$D$151""),2,0),0)"),"鉄塔 - 1")</f>
        <v>鉄塔 - 1</v>
      </c>
    </row>
    <row r="37">
      <c r="A37" s="54" t="str">
        <f>IFERROR(__xludf.DUMMYFUNCTION("JOIN(""-"",""app"",SPLIT(LOWER( C37),"" ""))"),"app-temple")</f>
        <v>app-temple</v>
      </c>
      <c r="C37" s="118" t="s">
        <v>2506</v>
      </c>
      <c r="D37" s="118" t="s">
        <v>2507</v>
      </c>
      <c r="E37" s="46" t="str">
        <f>IFERROR(__xludf.DUMMYFUNCTION("IFERROR(VLOOKUP(C37,IMPORTRANGE(""https://docs.google.com/spreadsheets/d/1SQRLoxD_LXfQNfB7NOxI5jlxbkDlcNPwla_2gSTySP8/edit#gid=274515254"",""Terra!$C$2:$D$151""),2,0),0)"),"テンプル")</f>
        <v>テンプル</v>
      </c>
    </row>
    <row r="38">
      <c r="A38" s="54" t="str">
        <f>IFERROR(__xludf.DUMMYFUNCTION("JOIN(""-"",""app"",SPLIT(LOWER( C38),"" ""))"),"app-existing-trans-line---1")</f>
        <v>app-existing-trans-line---1</v>
      </c>
      <c r="C38" s="26" t="s">
        <v>2508</v>
      </c>
      <c r="D38" s="26" t="s">
        <v>2509</v>
      </c>
      <c r="E38" s="46" t="str">
        <f>IFERROR(__xludf.DUMMYFUNCTION("IFERROR(VLOOKUP(C38,IMPORTRANGE(""https://docs.google.com/spreadsheets/d/1SQRLoxD_LXfQNfB7NOxI5jlxbkDlcNPwla_2gSTySP8/edit#gid=274515254"",""Terra!$C$2:$D$151""),2,0),0)"),"既存の送電線 - 1")</f>
        <v>既存の送電線 - 1</v>
      </c>
    </row>
    <row r="39">
      <c r="A39" s="54" t="str">
        <f>IFERROR(__xludf.DUMMYFUNCTION("JOIN(""-"",""app"",SPLIT(LOWER( C39),"" ""))"),"app-existing-trans-line---2")</f>
        <v>app-existing-trans-line---2</v>
      </c>
      <c r="C39" s="26" t="s">
        <v>2510</v>
      </c>
      <c r="D39" s="26" t="s">
        <v>2511</v>
      </c>
      <c r="E39" s="46" t="str">
        <f>IFERROR(__xludf.DUMMYFUNCTION("IFERROR(VLOOKUP(C39,IMPORTRANGE(""https://docs.google.com/spreadsheets/d/1SQRLoxD_LXfQNfB7NOxI5jlxbkDlcNPwla_2gSTySP8/edit#gid=274515254"",""Terra!$C$2:$D$151""),2,0),0)"),"既存の送電線 - 2")</f>
        <v>既存の送電線 - 2</v>
      </c>
    </row>
    <row r="40">
      <c r="A40" s="54" t="str">
        <f>IFERROR(__xludf.DUMMYFUNCTION("JOIN(""-"",""app"",SPLIT(LOWER( C40),"" ""))"),"app-lt-pole")</f>
        <v>app-lt-pole</v>
      </c>
      <c r="C40" s="118" t="s">
        <v>2512</v>
      </c>
      <c r="D40" s="118" t="s">
        <v>2513</v>
      </c>
      <c r="E40" s="46" t="str">
        <f>IFERROR(__xludf.DUMMYFUNCTION("IFERROR(VLOOKUP(C40,IMPORTRANGE(""https://docs.google.com/spreadsheets/d/1SQRLoxD_LXfQNfB7NOxI5jlxbkDlcNPwla_2gSTySP8/edit#gid=274515254"",""Terra!$C$2:$D$151""),2,0),0)"),"電柱")</f>
        <v>電柱</v>
      </c>
    </row>
    <row r="41" ht="21.0" customHeight="1">
      <c r="A41" s="54" t="str">
        <f>IFERROR(__xludf.DUMMYFUNCTION("JOIN(""-"",""app"",SPLIT(LOWER( C41),"" ""))"),"app-owner")</f>
        <v>app-owner</v>
      </c>
      <c r="B41" s="8" t="s">
        <v>2514</v>
      </c>
      <c r="C41" s="118" t="s">
        <v>2515</v>
      </c>
      <c r="D41" s="26" t="s">
        <v>2516</v>
      </c>
      <c r="E41" s="46" t="str">
        <f>IFERROR(__xludf.DUMMYFUNCTION("IFERROR(VLOOKUP(C41,IMPORTRANGE(""https://docs.google.com/spreadsheets/d/1SQRLoxD_LXfQNfB7NOxI5jlxbkDlcNPwla_2gSTySP8/edit#gid=274515254"",""Terra!$C$2:$D$151""),2,0),0)"),"所有者")</f>
        <v>所有者</v>
      </c>
    </row>
    <row r="42" ht="20.25" customHeight="1">
      <c r="A42" s="54" t="str">
        <f>IFERROR(__xludf.DUMMYFUNCTION("JOIN(""-"",""app"",SPLIT(LOWER( C42),"" ""))"),"app-new-feature-type")</f>
        <v>app-new-feature-type</v>
      </c>
      <c r="C42" s="118" t="s">
        <v>2517</v>
      </c>
      <c r="D42" s="26" t="s">
        <v>2518</v>
      </c>
      <c r="E42" s="46" t="str">
        <f>IFERROR(__xludf.DUMMYFUNCTION("IFERROR(VLOOKUP(C42,IMPORTRANGE(""https://docs.google.com/spreadsheets/d/1SQRLoxD_LXfQNfB7NOxI5jlxbkDlcNPwla_2gSTySP8/edit#gid=274515254"",""Terra!$C$2:$D$151""),2,0),0)"),"新規特徴タイプ")</f>
        <v>新規特徴タイプ</v>
      </c>
    </row>
    <row r="43">
      <c r="A43" s="54" t="str">
        <f>IFERROR(__xludf.DUMMYFUNCTION("JOIN(""-"",""app"",SPLIT(LOWER( C43),"" ""))"),"app-search-feature-type-groups")</f>
        <v>app-search-feature-type-groups</v>
      </c>
      <c r="B43" s="20" t="s">
        <v>2519</v>
      </c>
      <c r="C43" s="118" t="s">
        <v>2520</v>
      </c>
      <c r="D43" s="118" t="s">
        <v>2521</v>
      </c>
      <c r="E43" s="46" t="str">
        <f>IFERROR(__xludf.DUMMYFUNCTION("IFERROR(VLOOKUP(C43,IMPORTRANGE(""https://docs.google.com/spreadsheets/d/1SQRLoxD_LXfQNfB7NOxI5jlxbkDlcNPwla_2gSTySP8/edit#gid=274515254"",""Terra!$C$2:$D$151""),2,0),0)"),"特徴タイプグループを検索")</f>
        <v>特徴タイプグループを検索</v>
      </c>
    </row>
    <row r="44">
      <c r="A44" s="54" t="str">
        <f>IFERROR(__xludf.DUMMYFUNCTION("JOIN(""-"",""app"",SPLIT(LOWER( C44),"" ""))"),"app-piles")</f>
        <v>app-piles</v>
      </c>
      <c r="C44" s="118" t="s">
        <v>2522</v>
      </c>
      <c r="D44" s="118" t="s">
        <v>2523</v>
      </c>
      <c r="E44" s="46" t="str">
        <f>IFERROR(__xludf.DUMMYFUNCTION("IFERROR(VLOOKUP(C44,IMPORTRANGE(""https://docs.google.com/spreadsheets/d/1SQRLoxD_LXfQNfB7NOxI5jlxbkDlcNPwla_2gSTySP8/edit#gid=274515254"",""Terra!$C$2:$D$151""),2,0),0)"),"杭")</f>
        <v>杭</v>
      </c>
    </row>
    <row r="45">
      <c r="A45" s="54" t="str">
        <f>IFERROR(__xludf.DUMMYFUNCTION("JOIN(""-"",""app"",SPLIT(LOWER( C45),"" ""))"),"app-others")</f>
        <v>app-others</v>
      </c>
      <c r="C45" s="118" t="s">
        <v>2524</v>
      </c>
      <c r="D45" s="118" t="s">
        <v>2525</v>
      </c>
      <c r="E45" s="46" t="str">
        <f>IFERROR(__xludf.DUMMYFUNCTION("IFERROR(VLOOKUP(C45,IMPORTRANGE(""https://docs.google.com/spreadsheets/d/1SQRLoxD_LXfQNfB7NOxI5jlxbkDlcNPwla_2gSTySP8/edit#gid=274515254"",""Terra!$C$2:$D$151""),2,0),0)"),"その他")</f>
        <v>その他</v>
      </c>
    </row>
    <row r="46">
      <c r="A46" s="54" t="str">
        <f>IFERROR(__xludf.DUMMYFUNCTION("JOIN(""-"",""app"",SPLIT(LOWER( C46),"" ""))"),"app-monitoring")</f>
        <v>app-monitoring</v>
      </c>
      <c r="C46" s="118" t="s">
        <v>2500</v>
      </c>
      <c r="D46" s="118" t="s">
        <v>2501</v>
      </c>
      <c r="E46" s="46" t="str">
        <f>IFERROR(__xludf.DUMMYFUNCTION("IFERROR(VLOOKUP(C46,IMPORTRANGE(""https://docs.google.com/spreadsheets/d/1SQRLoxD_LXfQNfB7NOxI5jlxbkDlcNPwla_2gSTySP8/edit#gid=274515254"",""Terra!$C$2:$D$151""),2,0),0)"),"モニタリング中")</f>
        <v>モニタリング中</v>
      </c>
    </row>
    <row r="47">
      <c r="A47" s="54" t="str">
        <f>IFERROR(__xludf.DUMMYFUNCTION("JOIN(""-"",""app"",SPLIT(LOWER( C47),"" ""))"),"app-materials")</f>
        <v>app-materials</v>
      </c>
      <c r="C47" s="118" t="s">
        <v>2526</v>
      </c>
      <c r="D47" s="118" t="s">
        <v>2527</v>
      </c>
      <c r="E47" s="46" t="str">
        <f>IFERROR(__xludf.DUMMYFUNCTION("IFERROR(VLOOKUP(C47,IMPORTRANGE(""https://docs.google.com/spreadsheets/d/1SQRLoxD_LXfQNfB7NOxI5jlxbkDlcNPwla_2gSTySP8/edit#gid=274515254"",""Terra!$C$2:$D$151""),2,0),0)"),"材料")</f>
        <v>材料</v>
      </c>
    </row>
    <row r="48">
      <c r="A48" s="54" t="str">
        <f>IFERROR(__xludf.DUMMYFUNCTION("JOIN(""-"",""app"",SPLIT(LOWER( C48),"" ""))"),"app-progress-view")</f>
        <v>app-progress-view</v>
      </c>
      <c r="C48" s="118" t="s">
        <v>2528</v>
      </c>
      <c r="D48" s="118" t="s">
        <v>2529</v>
      </c>
      <c r="E48" s="46" t="str">
        <f>IFERROR(__xludf.DUMMYFUNCTION("IFERROR(VLOOKUP(C48,IMPORTRANGE(""https://docs.google.com/spreadsheets/d/1SQRLoxD_LXfQNfB7NOxI5jlxbkDlcNPwla_2gSTySP8/edit#gid=274515254"",""Terra!$C$2:$D$151""),2,0),0)"),"進捗ビュー")</f>
        <v>進捗ビュー</v>
      </c>
    </row>
    <row r="49">
      <c r="A49" s="54" t="str">
        <f>IFERROR(__xludf.DUMMYFUNCTION("JOIN(""-"",""app"",SPLIT(LOWER( C49),"" ""))"),"app-racks")</f>
        <v>app-racks</v>
      </c>
      <c r="C49" s="118" t="s">
        <v>2530</v>
      </c>
      <c r="D49" s="118" t="s">
        <v>2531</v>
      </c>
      <c r="E49" s="46" t="str">
        <f>IFERROR(__xludf.DUMMYFUNCTION("IFERROR(VLOOKUP(C49,IMPORTRANGE(""https://docs.google.com/spreadsheets/d/1SQRLoxD_LXfQNfB7NOxI5jlxbkDlcNPwla_2gSTySP8/edit#gid=274515254"",""Terra!$C$2:$D$151""),2,0),0)"),"ラック")</f>
        <v>ラック</v>
      </c>
    </row>
    <row r="50">
      <c r="A50" s="54" t="str">
        <f>IFERROR(__xludf.DUMMYFUNCTION("JOIN(""-"",""app"",SPLIT(LOWER( C50),"" ""))"),"app-tables")</f>
        <v>app-tables</v>
      </c>
      <c r="C50" s="118" t="s">
        <v>2532</v>
      </c>
      <c r="D50" s="118" t="s">
        <v>2533</v>
      </c>
      <c r="E50" s="46" t="str">
        <f>IFERROR(__xludf.DUMMYFUNCTION("IFERROR(VLOOKUP(C50,IMPORTRANGE(""https://docs.google.com/spreadsheets/d/1SQRLoxD_LXfQNfB7NOxI5jlxbkDlcNPwla_2gSTySP8/edit#gid=274515254"",""Terra!$C$2:$D$151""),2,0),0)"),"テーブル")</f>
        <v>テーブル</v>
      </c>
    </row>
    <row r="51">
      <c r="A51" s="54" t="str">
        <f>IFERROR(__xludf.DUMMYFUNCTION("JOIN(""-"",""app"",SPLIT(LOWER( C51),"" ""))"),"app-components")</f>
        <v>app-components</v>
      </c>
      <c r="C51" s="118" t="s">
        <v>2534</v>
      </c>
      <c r="D51" s="118" t="s">
        <v>2535</v>
      </c>
      <c r="E51" s="46" t="str">
        <f>IFERROR(__xludf.DUMMYFUNCTION("IFERROR(VLOOKUP(C51,IMPORTRANGE(""https://docs.google.com/spreadsheets/d/1SQRLoxD_LXfQNfB7NOxI5jlxbkDlcNPwla_2gSTySP8/edit#gid=274515254"",""Terra!$C$2:$D$151""),2,0),0)"),"コンポーネント")</f>
        <v>コンポーネント</v>
      </c>
    </row>
    <row r="52">
      <c r="A52" s="54" t="str">
        <f>IFERROR(__xludf.DUMMYFUNCTION("JOIN(""-"",""app"",SPLIT(LOWER( C52),"" ""))"),"app-inventory")</f>
        <v>app-inventory</v>
      </c>
      <c r="C52" s="118" t="s">
        <v>2536</v>
      </c>
      <c r="D52" s="118" t="s">
        <v>2537</v>
      </c>
      <c r="E52" s="46" t="str">
        <f>IFERROR(__xludf.DUMMYFUNCTION("IFERROR(VLOOKUP(C52,IMPORTRANGE(""https://docs.google.com/spreadsheets/d/1SQRLoxD_LXfQNfB7NOxI5jlxbkDlcNPwla_2gSTySP8/edit#gid=274515254"",""Terra!$C$2:$D$151""),2,0),0)"),"在庫")</f>
        <v>在庫</v>
      </c>
    </row>
    <row r="53">
      <c r="A53" s="54" t="str">
        <f>IFERROR(__xludf.DUMMYFUNCTION("JOIN(""-"",""app"",SPLIT(LOWER( C53),"" ""))"),"app-layout")</f>
        <v>app-layout</v>
      </c>
      <c r="C53" s="118" t="s">
        <v>2538</v>
      </c>
      <c r="D53" s="118" t="s">
        <v>2539</v>
      </c>
      <c r="E53" s="46" t="str">
        <f>IFERROR(__xludf.DUMMYFUNCTION("IFERROR(VLOOKUP(C53,IMPORTRANGE(""https://docs.google.com/spreadsheets/d/1SQRLoxD_LXfQNfB7NOxI5jlxbkDlcNPwla_2gSTySP8/edit#gid=274515254"",""Terra!$C$2:$D$151""),2,0),0)"),"レイアウト")</f>
        <v>レイアウト</v>
      </c>
    </row>
    <row r="54">
      <c r="A54" s="54" t="str">
        <f>IFERROR(__xludf.DUMMYFUNCTION("JOIN(""-"",""app"",SPLIT(LOWER( C54),"" ""))"),"app-layers")</f>
        <v>app-layers</v>
      </c>
      <c r="C54" s="118" t="s">
        <v>35</v>
      </c>
      <c r="D54" s="118" t="s">
        <v>36</v>
      </c>
      <c r="E54" s="46" t="str">
        <f>IFERROR(__xludf.DUMMYFUNCTION("IFERROR(VLOOKUP(C54,IMPORTRANGE(""https://docs.google.com/spreadsheets/d/1SQRLoxD_LXfQNfB7NOxI5jlxbkDlcNPwla_2gSTySP8/edit#gid=274515254"",""Terra!$C$2:$D$151""),2,0),0)"),"層")</f>
        <v>層</v>
      </c>
    </row>
    <row r="55" ht="21.75" customHeight="1">
      <c r="A55" s="54" t="str">
        <f>IFERROR(__xludf.DUMMYFUNCTION("JOIN(""-"",""app"",SPLIT(LOWER( C55),"" ""))"),"app-edit-container-for-asset")</f>
        <v>app-edit-container-for-asset</v>
      </c>
      <c r="B55" s="8" t="s">
        <v>2540</v>
      </c>
      <c r="C55" s="118" t="s">
        <v>2541</v>
      </c>
      <c r="D55" s="118" t="s">
        <v>2542</v>
      </c>
      <c r="E55" s="46" t="str">
        <f>IFERROR(__xludf.DUMMYFUNCTION("IFERROR(VLOOKUP(C55,IMPORTRANGE(""https://docs.google.com/spreadsheets/d/1SQRLoxD_LXfQNfB7NOxI5jlxbkDlcNPwla_2gSTySP8/edit#gid=274515254"",""Terra!$C$2:$D$151""),2,0),0)"),"アセット用コンテナの編集")</f>
        <v>アセット用コンテナの編集</v>
      </c>
    </row>
    <row r="56" ht="24.0" customHeight="1">
      <c r="A56" s="54" t="str">
        <f>IFERROR(__xludf.DUMMYFUNCTION("JOIN(""-"",""app"",SPLIT(LOWER( C56),"" ""))"),"app-name-of-container")</f>
        <v>app-name-of-container</v>
      </c>
      <c r="C56" s="118" t="s">
        <v>2543</v>
      </c>
      <c r="D56" s="118" t="s">
        <v>2544</v>
      </c>
      <c r="E56" s="46" t="str">
        <f>IFERROR(__xludf.DUMMYFUNCTION("IFERROR(VLOOKUP(C56,IMPORTRANGE(""https://docs.google.com/spreadsheets/d/1SQRLoxD_LXfQNfB7NOxI5jlxbkDlcNPwla_2gSTySP8/edit#gid=274515254"",""Terra!$C$2:$D$151""),2,0),0)"),"コンテナ名")</f>
        <v>コンテナ名</v>
      </c>
    </row>
    <row r="57">
      <c r="A57" s="54" t="str">
        <f>IFERROR(__xludf.DUMMYFUNCTION("JOIN(""-"",""app"",SPLIT(LOWER( C57),"" ""))"),"app-container-color-/-icon")</f>
        <v>app-container-color-/-icon</v>
      </c>
      <c r="B57" s="8" t="s">
        <v>2545</v>
      </c>
      <c r="C57" s="118" t="s">
        <v>2546</v>
      </c>
      <c r="D57" s="26" t="s">
        <v>2547</v>
      </c>
      <c r="E57" s="46" t="str">
        <f>IFERROR(__xludf.DUMMYFUNCTION("IFERROR(VLOOKUP(C57,IMPORTRANGE(""https://docs.google.com/spreadsheets/d/1SQRLoxD_LXfQNfB7NOxI5jlxbkDlcNPwla_2gSTySP8/edit#gid=274515254"",""Terra!$C$2:$D$151""),2,0),0)"),"コンテナの色／アイコン")</f>
        <v>コンテナの色／アイコン</v>
      </c>
    </row>
    <row r="58">
      <c r="A58" s="54" t="str">
        <f>IFERROR(__xludf.DUMMYFUNCTION("JOIN(""-"",""app"",SPLIT(LOWER( C58),"" ""))"),"app-advanced-option")</f>
        <v>app-advanced-option</v>
      </c>
      <c r="C58" s="26" t="s">
        <v>2201</v>
      </c>
      <c r="D58" s="26" t="s">
        <v>2202</v>
      </c>
      <c r="E58" s="46" t="str">
        <f>IFERROR(__xludf.DUMMYFUNCTION("IFERROR(VLOOKUP(C58,IMPORTRANGE(""https://docs.google.com/spreadsheets/d/1SQRLoxD_LXfQNfB7NOxI5jlxbkDlcNPwla_2gSTySP8/edit#gid=274515254"",""Terra!$C$2:$D$151""),2,0),0)"),"詳細設定")</f>
        <v>詳細設定</v>
      </c>
    </row>
    <row r="59">
      <c r="A59" s="54" t="str">
        <f>IFERROR(__xludf.DUMMYFUNCTION("JOIN(""-"",""app"",SPLIT(LOWER( C59),"" ""))"),"app-or")</f>
        <v>app-or</v>
      </c>
      <c r="C59" s="26" t="s">
        <v>2210</v>
      </c>
      <c r="D59" s="26" t="s">
        <v>2211</v>
      </c>
      <c r="E59" s="46" t="str">
        <f>IFERROR(__xludf.DUMMYFUNCTION("IFERROR(VLOOKUP(C59,IMPORTRANGE(""https://docs.google.com/spreadsheets/d/1SQRLoxD_LXfQNfB7NOxI5jlxbkDlcNPwla_2gSTySP8/edit#gid=274515254"",""Terra!$C$2:$D$151""),2,0),0)"),"または")</f>
        <v>または</v>
      </c>
    </row>
    <row r="60">
      <c r="A60" s="54" t="str">
        <f>IFERROR(__xludf.DUMMYFUNCTION("JOIN(""-"",""app"",SPLIT(LOWER( C60),"" ""))"),"app-upload-icon")</f>
        <v>app-upload-icon</v>
      </c>
      <c r="C60" s="26" t="s">
        <v>2213</v>
      </c>
      <c r="D60" s="26" t="s">
        <v>2214</v>
      </c>
      <c r="E60" s="46" t="str">
        <f>IFERROR(__xludf.DUMMYFUNCTION("IFERROR(VLOOKUP(C60,IMPORTRANGE(""https://docs.google.com/spreadsheets/d/1SQRLoxD_LXfQNfB7NOxI5jlxbkDlcNPwla_2gSTySP8/edit#gid=274515254"",""Terra!$C$2:$D$151""),2,0),0)"),"アイコンをアップロード")</f>
        <v>アイコンをアップロード</v>
      </c>
    </row>
    <row r="61">
      <c r="A61" s="54" t="str">
        <f>IFERROR(__xludf.DUMMYFUNCTION("JOIN(""-"",""app"",SPLIT(LOWER( C61),"" ""))"),"app-tags")</f>
        <v>app-tags</v>
      </c>
      <c r="C61" s="26" t="s">
        <v>346</v>
      </c>
      <c r="D61" s="26" t="s">
        <v>347</v>
      </c>
      <c r="E61" s="46" t="str">
        <f>IFERROR(__xludf.DUMMYFUNCTION("IFERROR(VLOOKUP(C61,IMPORTRANGE(""https://docs.google.com/spreadsheets/d/1SQRLoxD_LXfQNfB7NOxI5jlxbkDlcNPwla_2gSTySP8/edit#gid=274515254"",""Terra!$C$2:$D$151""),2,0),0)"),"タグ")</f>
        <v>タグ</v>
      </c>
    </row>
    <row r="62">
      <c r="A62" s="54" t="str">
        <f>IFERROR(__xludf.DUMMYFUNCTION("JOIN(""-"",""app"",SPLIT(LOWER( C62),"" ""))"),"app-enter-tags")</f>
        <v>app-enter-tags</v>
      </c>
      <c r="C62" s="26" t="s">
        <v>2105</v>
      </c>
      <c r="D62" s="26" t="s">
        <v>2106</v>
      </c>
      <c r="E62" s="46" t="str">
        <f>IFERROR(__xludf.DUMMYFUNCTION("IFERROR(VLOOKUP(C62,IMPORTRANGE(""https://docs.google.com/spreadsheets/d/1SQRLoxD_LXfQNfB7NOxI5jlxbkDlcNPwla_2gSTySP8/edit#gid=274515254"",""Terra!$C$2:$D$151""),2,0),0)"),"タグを入力")</f>
        <v>タグを入力</v>
      </c>
    </row>
    <row r="63">
      <c r="A63" s="54" t="str">
        <f>IFERROR(__xludf.DUMMYFUNCTION("JOIN(""-"",""app"",SPLIT(LOWER( C63),"" ""))"),"app-save-changes")</f>
        <v>app-save-changes</v>
      </c>
      <c r="C63" s="26" t="s">
        <v>2204</v>
      </c>
      <c r="D63" s="26" t="s">
        <v>2205</v>
      </c>
      <c r="E63" s="46" t="str">
        <f>IFERROR(__xludf.DUMMYFUNCTION("IFERROR(VLOOKUP(C63,IMPORTRANGE(""https://docs.google.com/spreadsheets/d/1SQRLoxD_LXfQNfB7NOxI5jlxbkDlcNPwla_2gSTySP8/edit#gid=274515254"",""Terra!$C$2:$D$151""),2,0),0)"),"変更を保存")</f>
        <v>変更を保存</v>
      </c>
    </row>
    <row r="64">
      <c r="A64" s="119" t="s">
        <v>2548</v>
      </c>
      <c r="B64" s="8" t="s">
        <v>2549</v>
      </c>
      <c r="C64" s="118" t="s">
        <v>2550</v>
      </c>
      <c r="D64" s="118" t="s">
        <v>2551</v>
      </c>
      <c r="E64" s="46" t="str">
        <f>IFERROR(__xludf.DUMMYFUNCTION("IFERROR(VLOOKUP(C64,IMPORTRANGE(""https://docs.google.com/spreadsheets/d/1SQRLoxD_LXfQNfB7NOxI5jlxbkDlcNPwla_2gSTySP8/edit#gid=274515254"",""Terra!$C$2:$D$151""),2,0),0)"),"エクスポート")</f>
        <v>エクスポート</v>
      </c>
    </row>
    <row r="65">
      <c r="A65" s="119" t="s">
        <v>229</v>
      </c>
      <c r="C65" s="118" t="s">
        <v>231</v>
      </c>
      <c r="D65" s="118" t="s">
        <v>232</v>
      </c>
      <c r="E65" s="46" t="str">
        <f>IFERROR(__xludf.DUMMYFUNCTION("IFERROR(VLOOKUP(C65,IMPORTRANGE(""https://docs.google.com/spreadsheets/d/1SQRLoxD_LXfQNfB7NOxI5jlxbkDlcNPwla_2gSTySP8/edit#gid=274515254"",""Terra!$C$2:$D$151""),2,0),0)"),"インポート")</f>
        <v>インポート</v>
      </c>
    </row>
    <row r="66">
      <c r="A66" s="119" t="s">
        <v>1108</v>
      </c>
      <c r="C66" s="118" t="s">
        <v>2492</v>
      </c>
      <c r="D66" s="26" t="s">
        <v>2493</v>
      </c>
      <c r="E66" s="46" t="str">
        <f>IFERROR(__xludf.DUMMYFUNCTION("IFERROR(VLOOKUP(C66,IMPORTRANGE(""https://docs.google.com/spreadsheets/d/1SQRLoxD_LXfQNfB7NOxI5jlxbkDlcNPwla_2gSTySP8/edit#gid=274515254"",""Terra!$C$2:$D$151""),2,0),0)"),"機能タイプ")</f>
        <v>機能タイプ</v>
      </c>
    </row>
    <row r="67">
      <c r="A67" s="119" t="s">
        <v>2552</v>
      </c>
      <c r="C67" s="118" t="s">
        <v>2553</v>
      </c>
      <c r="D67" s="118" t="s">
        <v>2553</v>
      </c>
      <c r="E67" s="46" t="str">
        <f>IFERROR(__xludf.DUMMYFUNCTION("IFERROR(VLOOKUP(C67,IMPORTRANGE(""https://docs.google.com/spreadsheets/d/1SQRLoxD_LXfQNfB7NOxI5jlxbkDlcNPwla_2gSTySP8/edit#gid=274515254"",""Terra!$C$2:$D$151""),2,0),0)"),"ラスタ")</f>
        <v>ラスタ</v>
      </c>
    </row>
    <row r="68">
      <c r="A68" s="119" t="s">
        <v>2554</v>
      </c>
      <c r="C68" s="118" t="s">
        <v>2555</v>
      </c>
      <c r="D68" s="118" t="s">
        <v>2556</v>
      </c>
      <c r="E68" s="46" t="str">
        <f>IFERROR(__xludf.DUMMYFUNCTION("IFERROR(VLOOKUP(C68,IMPORTRANGE(""https://docs.google.com/spreadsheets/d/1SQRLoxD_LXfQNfB7NOxI5jlxbkDlcNPwla_2gSTySP8/edit#gid=274515254"",""Terra!$C$2:$D$151""),2,0),0)"),"マップ")</f>
        <v>マップ</v>
      </c>
    </row>
    <row r="69">
      <c r="A69" s="117" t="s">
        <v>1108</v>
      </c>
      <c r="C69" s="118" t="s">
        <v>382</v>
      </c>
      <c r="D69" s="26" t="s">
        <v>383</v>
      </c>
      <c r="E69" s="46" t="str">
        <f>IFERROR(__xludf.DUMMYFUNCTION("IFERROR(VLOOKUP(C69,IMPORTRANGE(""https://docs.google.com/spreadsheets/d/1SQRLoxD_LXfQNfB7NOxI5jlxbkDlcNPwla_2gSTySP8/edit#gid=274515254"",""Terra!$C$2:$D$151""),2,0),0)"),"特徴")</f>
        <v>特徴</v>
      </c>
    </row>
    <row r="70">
      <c r="A70" s="108" t="str">
        <f>IFERROR(__xludf.DUMMYFUNCTION("JOIN(""-"",""app"",SPLIT(LOWER( C70),"" ""))"),"app-properties")</f>
        <v>app-properties</v>
      </c>
      <c r="B70" s="103" t="s">
        <v>2557</v>
      </c>
      <c r="C70" s="106" t="s">
        <v>2558</v>
      </c>
      <c r="D70" s="106" t="s">
        <v>2559</v>
      </c>
      <c r="E70" s="46" t="str">
        <f>IFERROR(__xludf.DUMMYFUNCTION("IFERROR(VLOOKUP(C70,IMPORTRANGE(""https://docs.google.com/spreadsheets/d/1SQRLoxD_LXfQNfB7NOxI5jlxbkDlcNPwla_2gSTySP8/edit#gid=274515254"",""Terra!$C$2:$D$151""),2,0),0)"),"プロパティ")</f>
        <v>プロパティ</v>
      </c>
    </row>
    <row r="71">
      <c r="A71" s="108" t="s">
        <v>34</v>
      </c>
      <c r="C71" s="106" t="s">
        <v>35</v>
      </c>
      <c r="D71" s="106" t="s">
        <v>36</v>
      </c>
      <c r="E71" s="46" t="str">
        <f>IFERROR(__xludf.DUMMYFUNCTION("IFERROR(VLOOKUP(C71,IMPORTRANGE(""https://docs.google.com/spreadsheets/d/1SQRLoxD_LXfQNfB7NOxI5jlxbkDlcNPwla_2gSTySP8/edit#gid=274515254"",""Terra!$C$2:$D$151""),2,0),0)"),"層")</f>
        <v>層</v>
      </c>
    </row>
    <row r="72" ht="21.75" customHeight="1">
      <c r="A72" s="119" t="s">
        <v>2560</v>
      </c>
      <c r="B72" s="8" t="s">
        <v>2561</v>
      </c>
      <c r="C72" s="118" t="s">
        <v>2562</v>
      </c>
      <c r="D72" s="118" t="s">
        <v>2563</v>
      </c>
      <c r="E72" s="46" t="str">
        <f>IFERROR(__xludf.DUMMYFUNCTION("IFERROR(VLOOKUP(C72,IMPORTRANGE(""https://docs.google.com/spreadsheets/d/1SQRLoxD_LXfQNfB7NOxI5jlxbkDlcNPwla_2gSTySP8/edit#gid=274515254"",""Terra!$C$2:$D$151""),2,0),0)"),"プロジェクトから")</f>
        <v>プロジェクトから</v>
      </c>
    </row>
    <row r="73" ht="18.75" customHeight="1">
      <c r="A73" s="119" t="s">
        <v>2564</v>
      </c>
      <c r="C73" s="118" t="s">
        <v>2565</v>
      </c>
      <c r="D73" s="118" t="s">
        <v>2566</v>
      </c>
      <c r="E73" s="46" t="str">
        <f>IFERROR(__xludf.DUMMYFUNCTION("IFERROR(VLOOKUP(C73,IMPORTRANGE(""https://docs.google.com/spreadsheets/d/1SQRLoxD_LXfQNfB7NOxI5jlxbkDlcNPwla_2gSTySP8/edit#gid=274515254"",""Terra!$C$2:$D$151""),2,0),0)"),"ファイルの参照")</f>
        <v>ファイルの参照</v>
      </c>
    </row>
    <row r="74">
      <c r="A74" s="119" t="s">
        <v>2567</v>
      </c>
      <c r="B74" s="8" t="s">
        <v>2568</v>
      </c>
      <c r="C74" s="118" t="s">
        <v>2569</v>
      </c>
      <c r="D74" s="118" t="s">
        <v>2570</v>
      </c>
      <c r="E74" s="46" t="str">
        <f>IFERROR(__xludf.DUMMYFUNCTION("IFERROR(VLOOKUP(C74,IMPORTRANGE(""https://docs.google.com/spreadsheets/d/1SQRLoxD_LXfQNfB7NOxI5jlxbkDlcNPwla_2gSTySP8/edit#gid=274515254"",""Terra!$C$2:$D$151""),2,0),0)"),"プロジェクトからインポート")</f>
        <v>プロジェクトからインポート</v>
      </c>
    </row>
    <row r="75">
      <c r="A75" s="119" t="s">
        <v>2571</v>
      </c>
      <c r="C75" s="118" t="s">
        <v>2572</v>
      </c>
      <c r="D75" s="118" t="s">
        <v>2573</v>
      </c>
      <c r="E75" s="46" t="str">
        <f>IFERROR(__xludf.DUMMYFUNCTION("IFERROR(VLOOKUP(C75,IMPORTRANGE(""https://docs.google.com/spreadsheets/d/1SQRLoxD_LXfQNfB7NOxI5jlxbkDlcNPwla_2gSTySP8/edit#gid=274515254"",""Terra!$C$2:$D$151""),2,0),0)"),"既存のプロジェクト")</f>
        <v>既存のプロジェクト</v>
      </c>
    </row>
    <row r="76">
      <c r="A76" s="119" t="s">
        <v>2574</v>
      </c>
      <c r="C76" s="118" t="s">
        <v>2575</v>
      </c>
      <c r="D76" s="26" t="s">
        <v>2576</v>
      </c>
      <c r="E76" s="46" t="str">
        <f>IFERROR(__xludf.DUMMYFUNCTION("IFERROR(VLOOKUP(C76,IMPORTRANGE(""https://docs.google.com/spreadsheets/d/1SQRLoxD_LXfQNfB7NOxI5jlxbkDlcNPwla_2gSTySP8/edit#gid=274515254"",""Terra!$C$2:$D$151""),2,0),0)"),"プロジェクトを選択")</f>
        <v>プロジェクトを選択</v>
      </c>
    </row>
    <row r="77">
      <c r="A77" s="119" t="s">
        <v>2577</v>
      </c>
      <c r="C77" s="118" t="s">
        <v>2578</v>
      </c>
      <c r="D77" s="26" t="s">
        <v>2579</v>
      </c>
      <c r="E77" s="46" t="str">
        <f>IFERROR(__xludf.DUMMYFUNCTION("IFERROR(VLOOKUP(C77,IMPORTRANGE(""https://docs.google.com/spreadsheets/d/1SQRLoxD_LXfQNfB7NOxI5jlxbkDlcNPwla_2gSTySP8/edit#gid=274515254"",""Terra!$C$2:$D$151""),2,0),0)"),"特徴フィルタ")</f>
        <v>特徴フィルタ</v>
      </c>
    </row>
    <row r="78">
      <c r="A78" s="119" t="s">
        <v>2580</v>
      </c>
      <c r="C78" s="118" t="s">
        <v>2581</v>
      </c>
      <c r="D78" s="26" t="s">
        <v>2582</v>
      </c>
      <c r="E78" s="46" t="str">
        <f>IFERROR(__xludf.DUMMYFUNCTION("IFERROR(VLOOKUP(C78,IMPORTRANGE(""https://docs.google.com/spreadsheets/d/1SQRLoxD_LXfQNfB7NOxI5jlxbkDlcNPwla_2gSTySP8/edit#gid=274515254"",""Terra!$C$2:$D$151""),2,0),0)"),"特徴")</f>
        <v>特徴</v>
      </c>
    </row>
    <row r="79">
      <c r="A79" s="119" t="s">
        <v>2583</v>
      </c>
      <c r="C79" s="118" t="s">
        <v>2584</v>
      </c>
      <c r="D79" s="26" t="s">
        <v>2585</v>
      </c>
      <c r="E79" s="46" t="str">
        <f>IFERROR(__xludf.DUMMYFUNCTION("IFERROR(VLOOKUP(C79,IMPORTRANGE(""https://docs.google.com/spreadsheets/d/1SQRLoxD_LXfQNfB7NOxI5jlxbkDlcNPwla_2gSTySP8/edit#gid=274515254"",""Terra!$C$2:$D$151""),2,0),0)"),"特徴を選択")</f>
        <v>特徴を選択</v>
      </c>
    </row>
    <row r="80">
      <c r="A80" s="108" t="s">
        <v>34</v>
      </c>
      <c r="B80" s="103" t="s">
        <v>2586</v>
      </c>
      <c r="C80" s="106" t="s">
        <v>35</v>
      </c>
      <c r="D80" s="106" t="s">
        <v>36</v>
      </c>
      <c r="E80" s="46" t="str">
        <f>IFERROR(__xludf.DUMMYFUNCTION("IFERROR(VLOOKUP(C80,IMPORTRANGE(""https://docs.google.com/spreadsheets/d/1SQRLoxD_LXfQNfB7NOxI5jlxbkDlcNPwla_2gSTySP8/edit#gid=274515254"",""Terra!$C$2:$D$151""),2,0),0)"),"層")</f>
        <v>層</v>
      </c>
    </row>
    <row r="81">
      <c r="A81" s="119" t="s">
        <v>2587</v>
      </c>
      <c r="B81" s="8" t="s">
        <v>2588</v>
      </c>
      <c r="C81" s="118" t="s">
        <v>2589</v>
      </c>
      <c r="D81" s="118" t="s">
        <v>2590</v>
      </c>
      <c r="E81" s="46" t="str">
        <f>IFERROR(__xludf.DUMMYFUNCTION("IFERROR(VLOOKUP(C81,IMPORTRANGE(""https://docs.google.com/spreadsheets/d/1SQRLoxD_LXfQNfB7NOxI5jlxbkDlcNPwla_2gSTySP8/edit#gid=274515254"",""Terra!$C$2:$D$151""),2,0),0)"),"添付するファイルをドロップまたはファイルを参照")</f>
        <v>添付するファイルをドロップまたはファイルを参照</v>
      </c>
    </row>
    <row r="82">
      <c r="A82" s="117" t="s">
        <v>2591</v>
      </c>
      <c r="C82" s="120" t="s">
        <v>2592</v>
      </c>
      <c r="D82" s="121" t="s">
        <v>2593</v>
      </c>
      <c r="E82" s="46" t="str">
        <f>IFERROR(__xludf.DUMMYFUNCTION("IFERROR(VLOOKUP(C82,IMPORTRANGE(""https://docs.google.com/spreadsheets/d/1SQRLoxD_LXfQNfB7NOxI5jlxbkDlcNPwla_2gSTySP8/edit#gid=274515254"",""Terra!$C$2:$D$151""),2,0),0)"),"SRSソース")</f>
        <v>SRSソース</v>
      </c>
    </row>
    <row r="83">
      <c r="A83" s="54" t="s">
        <v>2594</v>
      </c>
      <c r="C83" s="118" t="s">
        <v>2595</v>
      </c>
      <c r="D83" s="26" t="s">
        <v>2596</v>
      </c>
      <c r="E83" s="46" t="str">
        <f>IFERROR(__xludf.DUMMYFUNCTION("IFERROR(VLOOKUP(C83,IMPORTRANGE(""https://docs.google.com/spreadsheets/d/1SQRLoxD_LXfQNfB7NOxI5jlxbkDlcNPwla_2gSTySP8/edit#gid=274515254"",""Terra!$C$2:$D$151""),2,0),0)"),"例")</f>
        <v>例</v>
      </c>
    </row>
    <row r="84">
      <c r="A84" s="108" t="str">
        <f>IFERROR(__xludf.DUMMYFUNCTION("JOIN(""-"",""app"",SPLIT(LOWER( C84),"" ""))"),"app-browse")</f>
        <v>app-browse</v>
      </c>
      <c r="B84" s="109" t="s">
        <v>2597</v>
      </c>
      <c r="C84" s="106" t="s">
        <v>2598</v>
      </c>
      <c r="D84" s="122" t="s">
        <v>2599</v>
      </c>
      <c r="E84" s="93" t="s">
        <v>2600</v>
      </c>
    </row>
    <row r="85">
      <c r="A85" s="108" t="str">
        <f>IFERROR(__xludf.DUMMYFUNCTION("JOIN(""-"",""app"",SPLIT(LOWER( C85),"" ""))"),"app-feature-type")</f>
        <v>app-feature-type</v>
      </c>
      <c r="C85" s="106" t="s">
        <v>2581</v>
      </c>
      <c r="D85" s="122" t="s">
        <v>2582</v>
      </c>
      <c r="E85" s="46" t="str">
        <f>IFERROR(__xludf.DUMMYFUNCTION("IFERROR(VLOOKUP(C85,IMPORTRANGE(""https://docs.google.com/spreadsheets/d/1SQRLoxD_LXfQNfB7NOxI5jlxbkDlcNPwla_2gSTySP8/edit#gid=274515254"",""Terra!$C$2:$D$151""),2,0),0)"),"特徴")</f>
        <v>特徴</v>
      </c>
    </row>
    <row r="86">
      <c r="A86" s="108" t="s">
        <v>34</v>
      </c>
      <c r="C86" s="106" t="s">
        <v>35</v>
      </c>
      <c r="D86" s="122" t="s">
        <v>36</v>
      </c>
      <c r="E86" s="46" t="str">
        <f>IFERROR(__xludf.DUMMYFUNCTION("IFERROR(VLOOKUP(C86,IMPORTRANGE(""https://docs.google.com/spreadsheets/d/1SQRLoxD_LXfQNfB7NOxI5jlxbkDlcNPwla_2gSTySP8/edit#gid=274515254"",""Terra!$C$2:$D$151""),2,0),0)"),"層")</f>
        <v>層</v>
      </c>
    </row>
    <row r="87">
      <c r="A87" s="119" t="s">
        <v>2601</v>
      </c>
      <c r="B87" s="20" t="s">
        <v>2602</v>
      </c>
      <c r="C87" s="118" t="s">
        <v>2603</v>
      </c>
      <c r="D87" s="26" t="s">
        <v>2604</v>
      </c>
      <c r="E87" s="46" t="str">
        <f>IFERROR(__xludf.DUMMYFUNCTION("IFERROR(VLOOKUP(C87,IMPORTRANGE(""https://docs.google.com/spreadsheets/d/1SQRLoxD_LXfQNfB7NOxI5jlxbkDlcNPwla_2gSTySP8/edit#gid=274515254"",""Terra!$C$2:$D$151""),2,0),0)"),"特徴を作成/変更")</f>
        <v>特徴を作成/変更</v>
      </c>
    </row>
    <row r="88">
      <c r="A88" s="93" t="s">
        <v>2605</v>
      </c>
      <c r="C88" s="118" t="s">
        <v>2500</v>
      </c>
      <c r="D88" s="118" t="s">
        <v>2501</v>
      </c>
      <c r="E88" s="46" t="str">
        <f>IFERROR(__xludf.DUMMYFUNCTION("IFERROR(VLOOKUP(C88,IMPORTRANGE(""https://docs.google.com/spreadsheets/d/1SQRLoxD_LXfQNfB7NOxI5jlxbkDlcNPwla_2gSTySP8/edit#gid=274515254"",""Terra!$C$2:$D$151""),2,0),0)"),"モニタリング中")</f>
        <v>モニタリング中</v>
      </c>
    </row>
    <row r="89">
      <c r="A89" s="93" t="s">
        <v>2606</v>
      </c>
      <c r="C89" s="118" t="s">
        <v>2607</v>
      </c>
      <c r="D89" s="118" t="s">
        <v>2608</v>
      </c>
      <c r="E89" s="46" t="str">
        <f>IFERROR(__xludf.DUMMYFUNCTION("IFERROR(VLOOKUP(C89,IMPORTRANGE(""https://docs.google.com/spreadsheets/d/1SQRLoxD_LXfQNfB7NOxI5jlxbkDlcNPwla_2gSTySP8/edit#gid=274515254"",""Terra!$C$2:$D$151""),2,0),0)"),"農地")</f>
        <v>農地</v>
      </c>
    </row>
    <row r="90">
      <c r="A90" s="93" t="s">
        <v>2609</v>
      </c>
      <c r="C90" s="118" t="s">
        <v>2610</v>
      </c>
      <c r="D90" s="118" t="s">
        <v>2611</v>
      </c>
      <c r="E90" s="46" t="str">
        <f>IFERROR(__xludf.DUMMYFUNCTION("IFERROR(VLOOKUP(C90,IMPORTRANGE(""https://docs.google.com/spreadsheets/d/1SQRLoxD_LXfQNfB7NOxI5jlxbkDlcNPwla_2gSTySP8/edit#gid=274515254"",""Terra!$C$2:$D$151""),2,0),0)"),"井戸")</f>
        <v>井戸</v>
      </c>
    </row>
    <row r="91">
      <c r="A91" s="93" t="s">
        <v>2612</v>
      </c>
      <c r="C91" s="118" t="s">
        <v>2613</v>
      </c>
      <c r="D91" s="118" t="s">
        <v>2614</v>
      </c>
      <c r="E91" s="46" t="str">
        <f>IFERROR(__xludf.DUMMYFUNCTION("IFERROR(VLOOKUP(C91,IMPORTRANGE(""https://docs.google.com/spreadsheets/d/1SQRLoxD_LXfQNfB7NOxI5jlxbkDlcNPwla_2gSTySP8/edit#gid=274515254"",""Terra!$C$2:$D$151""),2,0),0)"),"住宅")</f>
        <v>住宅</v>
      </c>
    </row>
    <row r="92">
      <c r="A92" s="93" t="s">
        <v>2615</v>
      </c>
      <c r="C92" s="118" t="s">
        <v>2616</v>
      </c>
      <c r="D92" s="118" t="s">
        <v>2617</v>
      </c>
      <c r="E92" s="46" t="str">
        <f>IFERROR(__xludf.DUMMYFUNCTION("IFERROR(VLOOKUP(C92,IMPORTRANGE(""https://docs.google.com/spreadsheets/d/1SQRLoxD_LXfQNfB7NOxI5jlxbkDlcNPwla_2gSTySP8/edit#gid=274515254"",""Terra!$C$2:$D$151""),2,0),0)"),"高圧線")</f>
        <v>高圧線</v>
      </c>
    </row>
    <row r="93">
      <c r="A93" s="93" t="s">
        <v>2618</v>
      </c>
      <c r="C93" s="118" t="s">
        <v>2619</v>
      </c>
      <c r="D93" s="118" t="s">
        <v>2620</v>
      </c>
      <c r="E93" s="46" t="str">
        <f>IFERROR(__xludf.DUMMYFUNCTION("IFERROR(VLOOKUP(C93,IMPORTRANGE(""https://docs.google.com/spreadsheets/d/1SQRLoxD_LXfQNfB7NOxI5jlxbkDlcNPwla_2gSTySP8/edit#gid=274515254"",""Terra!$C$2:$D$151""),2,0),0)"),"境界")</f>
        <v>境界</v>
      </c>
    </row>
    <row r="94">
      <c r="A94" s="93" t="s">
        <v>2621</v>
      </c>
      <c r="C94" s="118" t="s">
        <v>2622</v>
      </c>
      <c r="D94" s="118" t="s">
        <v>2623</v>
      </c>
      <c r="E94" s="46" t="str">
        <f>IFERROR(__xludf.DUMMYFUNCTION("IFERROR(VLOOKUP(C94,IMPORTRANGE(""https://docs.google.com/spreadsheets/d/1SQRLoxD_LXfQNfB7NOxI5jlxbkDlcNPwla_2gSTySP8/edit#gid=274515254"",""Terra!$C$2:$D$151""),2,0),0)"),"水域")</f>
        <v>水域</v>
      </c>
    </row>
    <row r="95">
      <c r="A95" s="93" t="s">
        <v>2624</v>
      </c>
      <c r="C95" s="118" t="s">
        <v>2625</v>
      </c>
      <c r="D95" s="26" t="s">
        <v>2626</v>
      </c>
      <c r="E95" s="46" t="str">
        <f>IFERROR(__xludf.DUMMYFUNCTION("IFERROR(VLOOKUP(C95,IMPORTRANGE(""https://docs.google.com/spreadsheets/d/1SQRLoxD_LXfQNfB7NOxI5jlxbkDlcNPwla_2gSTySP8/edit#gid=274515254"",""Terra!$C$2:$D$151""),2,0),0)"),"低圧線")</f>
        <v>低圧線</v>
      </c>
    </row>
    <row r="96">
      <c r="A96" s="93" t="s">
        <v>2627</v>
      </c>
      <c r="C96" s="120" t="s">
        <v>2628</v>
      </c>
      <c r="D96" s="121" t="s">
        <v>2629</v>
      </c>
      <c r="E96" s="46" t="str">
        <f>IFERROR(__xludf.DUMMYFUNCTION("IFERROR(VLOOKUP(C96,IMPORTRANGE(""https://docs.google.com/spreadsheets/d/1SQRLoxD_LXfQNfB7NOxI5jlxbkDlcNPwla_2gSTySP8/edit#gid=274515254"",""Terra!$C$2:$D$151""),2,0),0)"),"ゲイルコリドー")</f>
        <v>ゲイルコリドー</v>
      </c>
    </row>
    <row r="97">
      <c r="A97" s="93" t="s">
        <v>2630</v>
      </c>
      <c r="B97" s="20" t="s">
        <v>2631</v>
      </c>
      <c r="C97" s="118" t="s">
        <v>2632</v>
      </c>
      <c r="D97" s="26" t="s">
        <v>2633</v>
      </c>
      <c r="E97" s="46" t="str">
        <f>IFERROR(__xludf.DUMMYFUNCTION("IFERROR(VLOOKUP(C97,IMPORTRANGE(""https://docs.google.com/spreadsheets/d/1SQRLoxD_LXfQNfB7NOxI5jlxbkDlcNPwla_2gSTySP8/edit#gid=274515254"",""Terra!$C$2:$D$151""),2,0),0)"),"特別高圧")</f>
        <v>特別高圧</v>
      </c>
    </row>
    <row r="98">
      <c r="A98" s="93" t="s">
        <v>2634</v>
      </c>
      <c r="C98" s="118" t="s">
        <v>2635</v>
      </c>
      <c r="D98" s="26" t="s">
        <v>2636</v>
      </c>
      <c r="E98" s="46" t="str">
        <f>IFERROR(__xludf.DUMMYFUNCTION("IFERROR(VLOOKUP(C98,IMPORTRANGE(""https://docs.google.com/spreadsheets/d/1SQRLoxD_LXfQNfB7NOxI5jlxbkDlcNPwla_2gSTySP8/edit#gid=274515254"",""Terra!$C$2:$D$151""),2,0),0)"),"電柱")</f>
        <v>電柱</v>
      </c>
    </row>
    <row r="99">
      <c r="A99" s="93" t="s">
        <v>2637</v>
      </c>
      <c r="C99" s="118" t="s">
        <v>2638</v>
      </c>
      <c r="D99" s="118" t="s">
        <v>2639</v>
      </c>
      <c r="E99" s="46" t="str">
        <f>IFERROR(__xludf.DUMMYFUNCTION("IFERROR(VLOOKUP(C99,IMPORTRANGE(""https://docs.google.com/spreadsheets/d/1SQRLoxD_LXfQNfB7NOxI5jlxbkDlcNPwla_2gSTySP8/edit#gid=274515254"",""Terra!$C$2:$D$151""),2,0),0)"),"構造")</f>
        <v>構造</v>
      </c>
    </row>
    <row r="100">
      <c r="A100" s="93" t="s">
        <v>2640</v>
      </c>
      <c r="C100" s="118" t="s">
        <v>2641</v>
      </c>
      <c r="D100" s="118" t="s">
        <v>2642</v>
      </c>
      <c r="E100" s="46" t="str">
        <f>IFERROR(__xludf.DUMMYFUNCTION("IFERROR(VLOOKUP(C100,IMPORTRANGE(""https://docs.google.com/spreadsheets/d/1SQRLoxD_LXfQNfB7NOxI5jlxbkDlcNPwla_2gSTySP8/edit#gid=274515254"",""Terra!$C$2:$D$151""),2,0),0)"),"タービン塔と影")</f>
        <v>タービン塔と影</v>
      </c>
    </row>
    <row r="101">
      <c r="A101" s="93" t="s">
        <v>2643</v>
      </c>
      <c r="C101" s="118" t="s">
        <v>2512</v>
      </c>
      <c r="D101" s="118" t="s">
        <v>2513</v>
      </c>
      <c r="E101" s="46" t="str">
        <f>IFERROR(__xludf.DUMMYFUNCTION("IFERROR(VLOOKUP(C101,IMPORTRANGE(""https://docs.google.com/spreadsheets/d/1SQRLoxD_LXfQNfB7NOxI5jlxbkDlcNPwla_2gSTySP8/edit#gid=274515254"",""Terra!$C$2:$D$151""),2,0),0)"),"電柱")</f>
        <v>電柱</v>
      </c>
    </row>
    <row r="102">
      <c r="A102" s="46" t="str">
        <f>IFERROR(__xludf.DUMMYFUNCTION("JOIN(""-"",""app"",SPLIT(LOWER( C102),"" ""))"),"app-existing-trans-line--1")</f>
        <v>app-existing-trans-line--1</v>
      </c>
      <c r="C102" s="118" t="s">
        <v>2644</v>
      </c>
      <c r="D102" s="26" t="s">
        <v>2645</v>
      </c>
      <c r="E102" s="46" t="str">
        <f>IFERROR(__xludf.DUMMYFUNCTION("IFERROR(VLOOKUP(C102,IMPORTRANGE(""https://docs.google.com/spreadsheets/d/1SQRLoxD_LXfQNfB7NOxI5jlxbkDlcNPwla_2gSTySP8/edit#gid=274515254"",""Terra!$C$2:$D$151""),2,0),0)"),"既存の送電線 - 1")</f>
        <v>既存の送電線 - 1</v>
      </c>
    </row>
    <row r="103">
      <c r="A103" s="68" t="str">
        <f>IFERROR(__xludf.DUMMYFUNCTION("JOIN(""-"",""app"",SPLIT(LOWER( C103),"" ""))"),"app-existing-trans-line--2")</f>
        <v>app-existing-trans-line--2</v>
      </c>
      <c r="C103" s="118" t="s">
        <v>2646</v>
      </c>
      <c r="D103" s="26" t="s">
        <v>2647</v>
      </c>
      <c r="E103" s="46" t="str">
        <f>IFERROR(__xludf.DUMMYFUNCTION("IFERROR(VLOOKUP(C103,IMPORTRANGE(""https://docs.google.com/spreadsheets/d/1SQRLoxD_LXfQNfB7NOxI5jlxbkDlcNPwla_2gSTySP8/edit#gid=274515254"",""Terra!$C$2:$D$151""),2,0),0)"),"既存の送電線 - 2")</f>
        <v>既存の送電線 - 2</v>
      </c>
    </row>
    <row r="104">
      <c r="A104" s="68" t="str">
        <f>IFERROR(__xludf.DUMMYFUNCTION("JOIN(""-"",""app"",SPLIT(LOWER( C104),"" ""))"),"app-temple")</f>
        <v>app-temple</v>
      </c>
      <c r="C104" s="118" t="s">
        <v>2506</v>
      </c>
      <c r="D104" s="118" t="s">
        <v>2507</v>
      </c>
      <c r="E104" s="46" t="str">
        <f>IFERROR(__xludf.DUMMYFUNCTION("IFERROR(VLOOKUP(C104,IMPORTRANGE(""https://docs.google.com/spreadsheets/d/1SQRLoxD_LXfQNfB7NOxI5jlxbkDlcNPwla_2gSTySP8/edit#gid=274515254"",""Terra!$C$2:$D$151""),2,0),0)"),"テンプル")</f>
        <v>テンプル</v>
      </c>
    </row>
    <row r="105">
      <c r="A105" s="68" t="str">
        <f>IFERROR(__xludf.DUMMYFUNCTION("JOIN(""-"",""app"",SPLIT(LOWER( C105),"" ""))"),"app-tower--1")</f>
        <v>app-tower--1</v>
      </c>
      <c r="C105" s="118" t="s">
        <v>2648</v>
      </c>
      <c r="D105" s="118" t="s">
        <v>2649</v>
      </c>
      <c r="E105" s="46" t="str">
        <f>IFERROR(__xludf.DUMMYFUNCTION("IFERROR(VLOOKUP(C105,IMPORTRANGE(""https://docs.google.com/spreadsheets/d/1SQRLoxD_LXfQNfB7NOxI5jlxbkDlcNPwla_2gSTySP8/edit#gid=274515254"",""Terra!$C$2:$D$151""),2,0),0)"),"送電塔 - 1")</f>
        <v>送電塔 - 1</v>
      </c>
    </row>
    <row r="106">
      <c r="A106" s="68" t="str">
        <f>IFERROR(__xludf.DUMMYFUNCTION("JOIN(""-"",""app"",SPLIT(LOWER( C106),"" ""))"),"app-220kv-transmission-line-tower")</f>
        <v>app-220kv-transmission-line-tower</v>
      </c>
      <c r="C106" s="118" t="s">
        <v>2502</v>
      </c>
      <c r="D106" s="26" t="s">
        <v>2650</v>
      </c>
      <c r="E106" s="46" t="str">
        <f>IFERROR(__xludf.DUMMYFUNCTION("IFERROR(VLOOKUP(C106,IMPORTRANGE(""https://docs.google.com/spreadsheets/d/1SQRLoxD_LXfQNfB7NOxI5jlxbkDlcNPwla_2gSTySP8/edit#gid=274515254"",""Terra!$C$2:$D$151""),2,0),0)"),"220KV送電鉄塔")</f>
        <v>220KV送電鉄塔</v>
      </c>
    </row>
    <row r="107">
      <c r="A107" s="68" t="str">
        <f>IFERROR(__xludf.DUMMYFUNCTION("JOIN(""-"",""app"",SPLIT(LOWER( C107),"" ""))"),"app-properties")</f>
        <v>app-properties</v>
      </c>
      <c r="C107" s="118" t="s">
        <v>2558</v>
      </c>
      <c r="D107" s="118" t="s">
        <v>2559</v>
      </c>
      <c r="E107" s="46" t="str">
        <f>IFERROR(__xludf.DUMMYFUNCTION("IFERROR(VLOOKUP(C107,IMPORTRANGE(""https://docs.google.com/spreadsheets/d/1SQRLoxD_LXfQNfB7NOxI5jlxbkDlcNPwla_2gSTySP8/edit#gid=274515254"",""Terra!$C$2:$D$151""),2,0),0)"),"プロパティ")</f>
        <v>プロパティ</v>
      </c>
    </row>
    <row r="108">
      <c r="A108" s="108" t="str">
        <f>IFERROR(__xludf.DUMMYFUNCTION("JOIN(""-"",""app"",SPLIT(LOWER( C108),"" ""))"),"app-volume-calculation")</f>
        <v>app-volume-calculation</v>
      </c>
      <c r="B108" s="105" t="s">
        <v>2651</v>
      </c>
      <c r="C108" s="106" t="s">
        <v>2652</v>
      </c>
      <c r="D108" s="122" t="s">
        <v>2653</v>
      </c>
      <c r="E108" s="93" t="s">
        <v>2654</v>
      </c>
    </row>
    <row r="109">
      <c r="A109" s="108" t="str">
        <f>IFERROR(__xludf.DUMMYFUNCTION("JOIN(""-"",""app"",SPLIT(LOWER( C109),"" ""))"),"app-calculation")</f>
        <v>app-calculation</v>
      </c>
      <c r="B109" s="109" t="s">
        <v>2655</v>
      </c>
      <c r="C109" s="106" t="s">
        <v>2656</v>
      </c>
      <c r="D109" s="122" t="s">
        <v>2657</v>
      </c>
      <c r="E109" s="46" t="str">
        <f>IFERROR(__xludf.DUMMYFUNCTION("IFERROR(VLOOKUP(C109,IMPORTRANGE(""https://docs.google.com/spreadsheets/d/1SQRLoxD_LXfQNfB7NOxI5jlxbkDlcNPwla_2gSTySP8/edit#gid=274515254"",""Terra!$C$2:$D$151""),2,0),0)"),"計算")</f>
        <v>計算</v>
      </c>
    </row>
    <row r="110">
      <c r="A110" s="108" t="str">
        <f>IFERROR(__xludf.DUMMYFUNCTION("JOIN(""-"",""app"",SPLIT(LOWER( C110),"" ""))"),"app-volume")</f>
        <v>app-volume</v>
      </c>
      <c r="C110" s="106" t="s">
        <v>2658</v>
      </c>
      <c r="D110" s="122" t="s">
        <v>2659</v>
      </c>
      <c r="E110" s="93" t="s">
        <v>2660</v>
      </c>
    </row>
    <row r="111">
      <c r="A111" s="108" t="str">
        <f>IFERROR(__xludf.DUMMYFUNCTION("JOIN(""-"",""app"",SPLIT(LOWER( C111),"" ""))"),"app-calculate-volume")</f>
        <v>app-calculate-volume</v>
      </c>
      <c r="C111" s="106" t="s">
        <v>2661</v>
      </c>
      <c r="D111" s="122" t="s">
        <v>2662</v>
      </c>
      <c r="E111" s="93" t="s">
        <v>2654</v>
      </c>
    </row>
    <row r="112">
      <c r="A112" s="108" t="str">
        <f>IFERROR(__xludf.DUMMYFUNCTION("JOIN(""-"",""app"",SPLIT(LOWER( C112),"" ""))"),"app-method")</f>
        <v>app-method</v>
      </c>
      <c r="B112" s="109" t="s">
        <v>2663</v>
      </c>
      <c r="C112" s="106" t="s">
        <v>2664</v>
      </c>
      <c r="D112" s="122" t="s">
        <v>2665</v>
      </c>
      <c r="E112" s="46" t="str">
        <f>IFERROR(__xludf.DUMMYFUNCTION("IFERROR(VLOOKUP(C112,IMPORTRANGE(""https://docs.google.com/spreadsheets/d/1SQRLoxD_LXfQNfB7NOxI5jlxbkDlcNPwla_2gSTySP8/edit#gid=274515254"",""Terra!$C$2:$D$151""),2,0),0)"),"方法")</f>
        <v>方法</v>
      </c>
    </row>
    <row r="113">
      <c r="A113" s="108" t="str">
        <f>IFERROR(__xludf.DUMMYFUNCTION("JOIN(""-"",""app"",SPLIT(LOWER( C113),"" ""))"),"app-base-height")</f>
        <v>app-base-height</v>
      </c>
      <c r="C113" s="106" t="s">
        <v>2666</v>
      </c>
      <c r="D113" s="122" t="s">
        <v>2667</v>
      </c>
      <c r="E113" s="46" t="str">
        <f>IFERROR(__xludf.DUMMYFUNCTION("IFERROR(VLOOKUP(C113,IMPORTRANGE(""https://docs.google.com/spreadsheets/d/1SQRLoxD_LXfQNfB7NOxI5jlxbkDlcNPwla_2gSTySP8/edit#gid=274515254"",""Terra!$C$2:$D$151""),2,0),0)"),"基準高度")</f>
        <v>基準高度</v>
      </c>
    </row>
    <row r="114">
      <c r="A114" s="108" t="str">
        <f>IFERROR(__xludf.DUMMYFUNCTION("JOIN(""-"",""app"",SPLIT(LOWER( C114),"" ""))"),"app-triangulated")</f>
        <v>app-triangulated</v>
      </c>
      <c r="C114" s="106" t="s">
        <v>2668</v>
      </c>
      <c r="D114" s="122" t="s">
        <v>2669</v>
      </c>
      <c r="E114" s="46" t="str">
        <f>IFERROR(__xludf.DUMMYFUNCTION("IFERROR(VLOOKUP(C114,IMPORTRANGE(""https://docs.google.com/spreadsheets/d/1SQRLoxD_LXfQNfB7NOxI5jlxbkDlcNPwla_2gSTySP8/edit#gid=274515254"",""Terra!$C$2:$D$151""),2,0),0)"),"三角測量")</f>
        <v>三角測量</v>
      </c>
    </row>
    <row r="115">
      <c r="A115" s="108" t="str">
        <f>IFERROR(__xludf.DUMMYFUNCTION("JOIN(""-"",""app"",SPLIT(LOWER( C115),"" ""))"),"app-surface-to-surface")</f>
        <v>app-surface-to-surface</v>
      </c>
      <c r="B115" s="109" t="s">
        <v>2670</v>
      </c>
      <c r="C115" s="106" t="s">
        <v>2671</v>
      </c>
      <c r="D115" s="122" t="s">
        <v>2672</v>
      </c>
      <c r="E115" s="46" t="str">
        <f>IFERROR(__xludf.DUMMYFUNCTION("IFERROR(VLOOKUP(C115,IMPORTRANGE(""https://docs.google.com/spreadsheets/d/1SQRLoxD_LXfQNfB7NOxI5jlxbkDlcNPwla_2gSTySP8/edit#gid=274515254"",""Terra!$C$2:$D$151""),2,0),0)"),"地対地")</f>
        <v>地対地</v>
      </c>
    </row>
    <row r="116">
      <c r="A116" s="108" t="str">
        <f>IFERROR(__xludf.DUMMYFUNCTION("JOIN(""-"",""app"",SPLIT(LOWER( C116),"" ""))"),"app-height-(m)")</f>
        <v>app-height-(m)</v>
      </c>
      <c r="C116" s="106" t="s">
        <v>2673</v>
      </c>
      <c r="D116" s="122" t="s">
        <v>2674</v>
      </c>
      <c r="E116" s="93" t="s">
        <v>2675</v>
      </c>
    </row>
    <row r="117">
      <c r="A117" s="108" t="str">
        <f>IFERROR(__xludf.DUMMYFUNCTION("JOIN(""-"",""app"",SPLIT(LOWER( C117),"" ""))"),"app-select-from-extend")</f>
        <v>app-select-from-extend</v>
      </c>
      <c r="C117" s="106" t="s">
        <v>2676</v>
      </c>
      <c r="D117" s="122" t="s">
        <v>2677</v>
      </c>
      <c r="E117" s="46" t="str">
        <f>IFERROR(__xludf.DUMMYFUNCTION("IFERROR(VLOOKUP(C117,IMPORTRANGE(""https://docs.google.com/spreadsheets/d/1SQRLoxD_LXfQNfB7NOxI5jlxbkDlcNPwla_2gSTySP8/edit#gid=274515254"",""Terra!$C$2:$D$151""),2,0),0)"),"拡張から選択")</f>
        <v>拡張から選択</v>
      </c>
    </row>
    <row r="118">
      <c r="A118" s="108" t="str">
        <f>IFERROR(__xludf.DUMMYFUNCTION("JOIN(""-"",""app"",SPLIT(LOWER( C118),"" ""))"),"app-select-bounds-from-map")</f>
        <v>app-select-bounds-from-map</v>
      </c>
      <c r="B118" s="105" t="s">
        <v>2678</v>
      </c>
      <c r="C118" s="106" t="s">
        <v>2679</v>
      </c>
      <c r="D118" s="122" t="s">
        <v>2680</v>
      </c>
      <c r="E118" s="46" t="str">
        <f>IFERROR(__xludf.DUMMYFUNCTION("IFERROR(VLOOKUP(C118,IMPORTRANGE(""https://docs.google.com/spreadsheets/d/1SQRLoxD_LXfQNfB7NOxI5jlxbkDlcNPwla_2gSTySP8/edit#gid=274515254"",""Terra!$C$2:$D$151""),2,0),0)"),"地図から境界を選択")</f>
        <v>地図から境界を選択</v>
      </c>
    </row>
    <row r="119">
      <c r="A119" s="108" t="str">
        <f>IFERROR(__xludf.DUMMYFUNCTION("JOIN(""-"",""app"",SPLIT(LOWER( C119),"" ""))"),"app-elevation-profile")</f>
        <v>app-elevation-profile</v>
      </c>
      <c r="B119" s="109" t="s">
        <v>2681</v>
      </c>
      <c r="C119" s="106" t="s">
        <v>2682</v>
      </c>
      <c r="D119" s="122" t="s">
        <v>2683</v>
      </c>
      <c r="E119" s="46" t="str">
        <f>IFERROR(__xludf.DUMMYFUNCTION("IFERROR(VLOOKUP(C119,IMPORTRANGE(""https://docs.google.com/spreadsheets/d/1SQRLoxD_LXfQNfB7NOxI5jlxbkDlcNPwla_2gSTySP8/edit#gid=274515254"",""Terra!$C$2:$D$151""),2,0),0)"),"標高プロファイル")</f>
        <v>標高プロファイル</v>
      </c>
    </row>
    <row r="120">
      <c r="A120" s="108" t="str">
        <f>IFERROR(__xludf.DUMMYFUNCTION("JOIN(""-"",""app"",SPLIT(LOWER( C120),"" ""))"),"app-elevation")</f>
        <v>app-elevation</v>
      </c>
      <c r="C120" s="106" t="s">
        <v>2684</v>
      </c>
      <c r="D120" s="122" t="s">
        <v>2685</v>
      </c>
      <c r="E120" s="93" t="s">
        <v>2686</v>
      </c>
    </row>
    <row r="121">
      <c r="A121" s="108" t="str">
        <f>IFERROR(__xludf.DUMMYFUNCTION("JOIN(""-"",""app"",SPLIT(LOWER( C121),"" ""))"),"app-calculate-elevation")</f>
        <v>app-calculate-elevation</v>
      </c>
      <c r="C121" s="106" t="s">
        <v>2687</v>
      </c>
      <c r="D121" s="122" t="s">
        <v>2688</v>
      </c>
      <c r="E121" s="93" t="s">
        <v>2689</v>
      </c>
    </row>
    <row r="122">
      <c r="A122" s="108" t="str">
        <f>IFERROR(__xludf.DUMMYFUNCTION("JOIN(""-"",""app"",SPLIT(LOWER( C122),"" ""))"),"app-method")</f>
        <v>app-method</v>
      </c>
      <c r="B122" s="109" t="s">
        <v>2690</v>
      </c>
      <c r="C122" s="106" t="s">
        <v>2664</v>
      </c>
      <c r="D122" s="122" t="s">
        <v>2665</v>
      </c>
      <c r="E122" s="46" t="str">
        <f>IFERROR(__xludf.DUMMYFUNCTION("IFERROR(VLOOKUP(C122,IMPORTRANGE(""https://docs.google.com/spreadsheets/d/1SQRLoxD_LXfQNfB7NOxI5jlxbkDlcNPwla_2gSTySP8/edit#gid=274515254"",""Terra!$C$2:$D$151""),2,0),0)"),"方法")</f>
        <v>方法</v>
      </c>
    </row>
    <row r="123">
      <c r="A123" s="108" t="str">
        <f>IFERROR(__xludf.DUMMYFUNCTION("JOIN(""-"",""app"",SPLIT(LOWER( C123),"" ""))"),"app-line")</f>
        <v>app-line</v>
      </c>
      <c r="C123" s="106" t="s">
        <v>2691</v>
      </c>
      <c r="D123" s="122" t="s">
        <v>2692</v>
      </c>
      <c r="E123" s="46" t="str">
        <f>IFERROR(__xludf.DUMMYFUNCTION("IFERROR(VLOOKUP(C123,IMPORTRANGE(""https://docs.google.com/spreadsheets/d/1SQRLoxD_LXfQNfB7NOxI5jlxbkDlcNPwla_2gSTySP8/edit#gid=274515254"",""Terra!$C$2:$D$151""),2,0),0)"),"線")</f>
        <v>線</v>
      </c>
    </row>
    <row r="124">
      <c r="A124" s="108" t="str">
        <f>IFERROR(__xludf.DUMMYFUNCTION("JOIN(""-"",""app"",SPLIT(LOWER( C124),"" ""))"),"app-layer")</f>
        <v>app-layer</v>
      </c>
      <c r="C124" s="106" t="s">
        <v>2693</v>
      </c>
      <c r="D124" s="122" t="s">
        <v>2694</v>
      </c>
      <c r="E124" s="46" t="str">
        <f>IFERROR(__xludf.DUMMYFUNCTION("IFERROR(VLOOKUP(C124,IMPORTRANGE(""https://docs.google.com/spreadsheets/d/1SQRLoxD_LXfQNfB7NOxI5jlxbkDlcNPwla_2gSTySP8/edit#gid=274515254"",""Terra!$C$2:$D$151""),2,0),0)"),"層")</f>
        <v>層</v>
      </c>
    </row>
    <row r="125">
      <c r="A125" s="108" t="str">
        <f>IFERROR(__xludf.DUMMYFUNCTION("JOIN(""-"",""app"",SPLIT(LOWER( C125),"" ""))"),"app-sampling-(m)")</f>
        <v>app-sampling-(m)</v>
      </c>
      <c r="B125" s="109" t="s">
        <v>2695</v>
      </c>
      <c r="C125" s="106" t="s">
        <v>2696</v>
      </c>
      <c r="D125" s="122" t="s">
        <v>2697</v>
      </c>
      <c r="E125" s="93" t="s">
        <v>2698</v>
      </c>
    </row>
    <row r="126">
      <c r="A126" s="108" t="str">
        <f>IFERROR(__xludf.DUMMYFUNCTION("JOIN(""-"",""app"",SPLIT(LOWER( C126),"" ""))"),"app-choose-extend")</f>
        <v>app-choose-extend</v>
      </c>
      <c r="C126" s="106" t="s">
        <v>2699</v>
      </c>
      <c r="D126" s="122" t="s">
        <v>2700</v>
      </c>
      <c r="E126" s="93" t="s">
        <v>2701</v>
      </c>
    </row>
    <row r="127">
      <c r="A127" s="108" t="str">
        <f>IFERROR(__xludf.DUMMYFUNCTION("JOIN(""-"",""app"",SPLIT(LOWER( C127),"" ""))"),"app-point")</f>
        <v>app-point</v>
      </c>
      <c r="B127" s="105" t="s">
        <v>2702</v>
      </c>
      <c r="C127" s="106" t="s">
        <v>2703</v>
      </c>
      <c r="D127" s="122" t="s">
        <v>2704</v>
      </c>
      <c r="E127" s="46" t="str">
        <f>IFERROR(__xludf.DUMMYFUNCTION("IFERROR(VLOOKUP(C127,IMPORTRANGE(""https://docs.google.com/spreadsheets/d/1SQRLoxD_LXfQNfB7NOxI5jlxbkDlcNPwla_2gSTySP8/edit#gid=274515254"",""Terra!$C$2:$D$151""),2,0),0)"),"点")</f>
        <v>点</v>
      </c>
    </row>
    <row r="128">
      <c r="A128" s="108" t="str">
        <f>IFERROR(__xludf.DUMMYFUNCTION("JOIN(""-"",""app"",SPLIT(LOWER( C128),"" ""))"),"app-select-from-map")</f>
        <v>app-select-from-map</v>
      </c>
      <c r="B128" s="105" t="s">
        <v>2705</v>
      </c>
      <c r="C128" s="106" t="s">
        <v>2706</v>
      </c>
      <c r="D128" s="122" t="s">
        <v>2707</v>
      </c>
      <c r="E128" s="46" t="str">
        <f>IFERROR(__xludf.DUMMYFUNCTION("IFERROR(VLOOKUP(C128,IMPORTRANGE(""https://docs.google.com/spreadsheets/d/1SQRLoxD_LXfQNfB7NOxI5jlxbkDlcNPwla_2gSTySP8/edit#gid=274515254"",""Terra!$C$2:$D$151""),2,0),0)"),"地図から選択")</f>
        <v>地図から選択</v>
      </c>
    </row>
    <row r="129">
      <c r="A129" s="108" t="str">
        <f>IFERROR(__xludf.DUMMYFUNCTION("JOIN(""-"",""app"",SPLIT(LOWER( C129),"" ""))"),"app-feature-details")</f>
        <v>app-feature-details</v>
      </c>
      <c r="B129" s="105" t="s">
        <v>2708</v>
      </c>
      <c r="C129" s="106" t="s">
        <v>2709</v>
      </c>
      <c r="D129" s="122" t="s">
        <v>2710</v>
      </c>
      <c r="E129" s="46" t="str">
        <f>IFERROR(__xludf.DUMMYFUNCTION("IFERROR(VLOOKUP(C129,IMPORTRANGE(""https://docs.google.com/spreadsheets/d/1SQRLoxD_LXfQNfB7NOxI5jlxbkDlcNPwla_2gSTySP8/edit#gid=274515254"",""Terra!$C$2:$D$151""),2,0),0)"),"特徴詳細")</f>
        <v>特徴詳細</v>
      </c>
    </row>
    <row r="130">
      <c r="A130" s="108" t="str">
        <f>IFERROR(__xludf.DUMMYFUNCTION("JOIN(""-"",""app"",SPLIT(LOWER( C130),"" ""))"),"app-name")</f>
        <v>app-name</v>
      </c>
      <c r="B130" s="109" t="s">
        <v>2711</v>
      </c>
      <c r="C130" s="106" t="s">
        <v>327</v>
      </c>
      <c r="D130" s="122" t="s">
        <v>2343</v>
      </c>
      <c r="E130" s="54" t="s">
        <v>2712</v>
      </c>
    </row>
    <row r="131">
      <c r="A131" s="108" t="str">
        <f>IFERROR(__xludf.DUMMYFUNCTION("JOIN(""-"",""app"",SPLIT(LOWER( C131),"" ""))"),"app-project-name")</f>
        <v>app-project-name</v>
      </c>
      <c r="C131" s="106" t="s">
        <v>2713</v>
      </c>
      <c r="D131" s="122" t="s">
        <v>2714</v>
      </c>
      <c r="E131" s="54" t="s">
        <v>2715</v>
      </c>
    </row>
    <row r="132">
      <c r="A132" s="108" t="str">
        <f>IFERROR(__xludf.DUMMYFUNCTION("JOIN(""-"",""app"",SPLIT(LOWER( C132),"" ""))"),"app-volume")</f>
        <v>app-volume</v>
      </c>
      <c r="C132" s="106" t="s">
        <v>2658</v>
      </c>
      <c r="D132" s="122" t="s">
        <v>2659</v>
      </c>
      <c r="E132" s="93" t="s">
        <v>2660</v>
      </c>
    </row>
    <row r="133">
      <c r="A133" s="108" t="str">
        <f>IFERROR(__xludf.DUMMYFUNCTION("JOIN(""-"",""app"",SPLIT(LOWER( C133),"" ""))"),"app-base-height")</f>
        <v>app-base-height</v>
      </c>
      <c r="C133" s="106" t="s">
        <v>2716</v>
      </c>
      <c r="D133" s="122" t="s">
        <v>2717</v>
      </c>
      <c r="E133" s="93" t="s">
        <v>2718</v>
      </c>
    </row>
    <row r="134">
      <c r="A134" s="108" t="str">
        <f>IFERROR(__xludf.DUMMYFUNCTION("JOIN(""-"",""app"",SPLIT(LOWER( C134),"" ""))"),"app-triangulated")</f>
        <v>app-triangulated</v>
      </c>
      <c r="C134" s="106" t="s">
        <v>2668</v>
      </c>
      <c r="D134" s="122" t="s">
        <v>2669</v>
      </c>
      <c r="E134" s="46" t="str">
        <f>IFERROR(__xludf.DUMMYFUNCTION("IFERROR(VLOOKUP(C134,IMPORTRANGE(""https://docs.google.com/spreadsheets/d/1SQRLoxD_LXfQNfB7NOxI5jlxbkDlcNPwla_2gSTySP8/edit#gid=274515254"",""Terra!$C$2:$D$151""),2,0),0)"),"三角測量")</f>
        <v>三角測量</v>
      </c>
    </row>
    <row r="135">
      <c r="A135" s="108" t="str">
        <f>IFERROR(__xludf.DUMMYFUNCTION("JOIN(""-"",""app"",SPLIT(LOWER( C135),"" ""))"),"app-surface-to-surface")</f>
        <v>app-surface-to-surface</v>
      </c>
      <c r="C135" s="106" t="s">
        <v>2671</v>
      </c>
      <c r="D135" s="122" t="s">
        <v>2672</v>
      </c>
      <c r="E135" s="46" t="str">
        <f>IFERROR(__xludf.DUMMYFUNCTION("IFERROR(VLOOKUP(C135,IMPORTRANGE(""https://docs.google.com/spreadsheets/d/1SQRLoxD_LXfQNfB7NOxI5jlxbkDlcNPwla_2gSTySP8/edit#gid=274515254"",""Terra!$C$2:$D$151""),2,0),0)"),"地対地")</f>
        <v>地対地</v>
      </c>
    </row>
    <row r="136">
      <c r="A136" s="108" t="str">
        <f>IFERROR(__xludf.DUMMYFUNCTION("JOIN(""-"",""app"",SPLIT(LOWER( C136),"" ""))"),"app-cut")</f>
        <v>app-cut</v>
      </c>
      <c r="B136" s="109" t="s">
        <v>2719</v>
      </c>
      <c r="C136" s="106" t="s">
        <v>2720</v>
      </c>
      <c r="D136" s="122" t="s">
        <v>2721</v>
      </c>
      <c r="E136" s="93" t="s">
        <v>2722</v>
      </c>
    </row>
    <row r="137">
      <c r="A137" s="108" t="str">
        <f>IFERROR(__xludf.DUMMYFUNCTION("JOIN(""-"",""app"",SPLIT(LOWER( C137),"" ""))"),"app-fill")</f>
        <v>app-fill</v>
      </c>
      <c r="C137" s="106" t="s">
        <v>2723</v>
      </c>
      <c r="D137" s="122" t="s">
        <v>2724</v>
      </c>
      <c r="E137" s="93" t="s">
        <v>2725</v>
      </c>
    </row>
    <row r="138">
      <c r="A138" s="108" t="str">
        <f>IFERROR(__xludf.DUMMYFUNCTION("JOIN(""-"",""app"",SPLIT(LOWER( C138),"" ""))"),"app-total")</f>
        <v>app-total</v>
      </c>
      <c r="C138" s="106" t="s">
        <v>2726</v>
      </c>
      <c r="D138" s="122" t="s">
        <v>2726</v>
      </c>
      <c r="E138" s="93" t="s">
        <v>2727</v>
      </c>
    </row>
    <row r="139">
      <c r="A139" s="119" t="s">
        <v>2728</v>
      </c>
      <c r="B139" s="20" t="s">
        <v>2729</v>
      </c>
      <c r="C139" s="118" t="s">
        <v>2730</v>
      </c>
      <c r="D139" s="26" t="s">
        <v>2731</v>
      </c>
      <c r="E139" s="46" t="str">
        <f>IFERROR(__xludf.DUMMYFUNCTION("IFERROR(VLOOKUP(C139,IMPORTRANGE(""https://docs.google.com/spreadsheets/d/1SQRLoxD_LXfQNfB7NOxI5jlxbkDlcNPwla_2gSTySP8/edit#gid=274515254"",""Terra!$C$2:$D$151""),2,0),0)"),"特徴のフィルタリング")</f>
        <v>特徴のフィルタリング</v>
      </c>
    </row>
    <row r="140">
      <c r="A140" s="119" t="s">
        <v>2732</v>
      </c>
      <c r="C140" s="118" t="s">
        <v>2733</v>
      </c>
      <c r="D140" s="118" t="s">
        <v>2734</v>
      </c>
      <c r="E140" s="46" t="str">
        <f>IFERROR(__xludf.DUMMYFUNCTION("IFERROR(VLOOKUP(C140,IMPORTRANGE(""https://docs.google.com/spreadsheets/d/1SQRLoxD_LXfQNfB7NOxI5jlxbkDlcNPwla_2gSTySP8/edit#gid=274515254"",""Terra!$C$2:$D$151""),2,0),0)"),"フィルタ")</f>
        <v>フィルタ</v>
      </c>
    </row>
    <row r="141">
      <c r="A141" s="119" t="s">
        <v>2735</v>
      </c>
      <c r="C141" s="118" t="s">
        <v>2736</v>
      </c>
      <c r="D141" s="118" t="s">
        <v>2737</v>
      </c>
      <c r="E141" s="46" t="str">
        <f>IFERROR(__xludf.DUMMYFUNCTION("IFERROR(VLOOKUP(C141,IMPORTRANGE(""https://docs.google.com/spreadsheets/d/1SQRLoxD_LXfQNfB7NOxI5jlxbkDlcNPwla_2gSTySP8/edit#gid=274515254"",""Terra!$C$2:$D$151""),2,0),0)"),"プロパティ")</f>
        <v>プロパティ</v>
      </c>
    </row>
    <row r="142">
      <c r="A142" s="119" t="s">
        <v>2738</v>
      </c>
      <c r="C142" s="118" t="s">
        <v>2739</v>
      </c>
      <c r="D142" s="118" t="s">
        <v>2740</v>
      </c>
      <c r="E142" s="46" t="str">
        <f>IFERROR(__xludf.DUMMYFUNCTION("IFERROR(VLOOKUP(C142,IMPORTRANGE(""https://docs.google.com/spreadsheets/d/1SQRLoxD_LXfQNfB7NOxI5jlxbkDlcNPwla_2gSTySP8/edit#gid=274515254"",""Terra!$C$2:$D$151""),2,0),0)"),"プロパティを選択")</f>
        <v>プロパティを選択</v>
      </c>
    </row>
    <row r="143">
      <c r="A143" s="119" t="s">
        <v>2741</v>
      </c>
      <c r="C143" s="118" t="s">
        <v>2742</v>
      </c>
      <c r="D143" s="118" t="s">
        <v>2743</v>
      </c>
      <c r="E143" s="46" t="str">
        <f>IFERROR(__xludf.DUMMYFUNCTION("IFERROR(VLOOKUP(C143,IMPORTRANGE(""https://docs.google.com/spreadsheets/d/1SQRLoxD_LXfQNfB7NOxI5jlxbkDlcNPwla_2gSTySP8/edit#gid=274515254"",""Terra!$C$2:$D$151""),2,0),0)"),"値")</f>
        <v>値</v>
      </c>
    </row>
    <row r="144">
      <c r="A144" s="119" t="s">
        <v>2744</v>
      </c>
      <c r="C144" s="118" t="s">
        <v>2745</v>
      </c>
      <c r="D144" s="118" t="s">
        <v>2746</v>
      </c>
      <c r="E144" s="46" t="str">
        <f>IFERROR(__xludf.DUMMYFUNCTION("IFERROR(VLOOKUP(C144,IMPORTRANGE(""https://docs.google.com/spreadsheets/d/1SQRLoxD_LXfQNfB7NOxI5jlxbkDlcNPwla_2gSTySP8/edit#gid=274515254"",""Terra!$C$2:$D$151""),2,0),0)"),"値を選択")</f>
        <v>値を選択</v>
      </c>
    </row>
    <row r="145">
      <c r="A145" s="119" t="s">
        <v>2747</v>
      </c>
      <c r="C145" s="118" t="s">
        <v>2748</v>
      </c>
      <c r="D145" s="118" t="s">
        <v>2749</v>
      </c>
      <c r="E145" s="46" t="str">
        <f>IFERROR(__xludf.DUMMYFUNCTION("IFERROR(VLOOKUP(C145,IMPORTRANGE(""https://docs.google.com/spreadsheets/d/1SQRLoxD_LXfQNfB7NOxI5jlxbkDlcNPwla_2gSTySP8/edit#gid=274515254"",""Terra!$C$2:$D$151""),2,0),0)"),"フィルタを適用")</f>
        <v>フィルタを適用</v>
      </c>
    </row>
    <row r="146">
      <c r="A146" s="117" t="s">
        <v>2750</v>
      </c>
      <c r="B146" s="20" t="s">
        <v>2751</v>
      </c>
      <c r="C146" s="118" t="s">
        <v>2752</v>
      </c>
      <c r="D146" s="118" t="s">
        <v>2753</v>
      </c>
      <c r="E146" s="46" t="str">
        <f>IFERROR(__xludf.DUMMYFUNCTION("IFERROR(VLOOKUP(C146,IMPORTRANGE(""https://docs.google.com/spreadsheets/d/1SQRLoxD_LXfQNfB7NOxI5jlxbkDlcNPwla_2gSTySP8/edit#gid=274515254"",""Terra!$C$2:$D$151""),2,0),0)"),"利用可能なオプションなし")</f>
        <v>利用可能なオプションなし</v>
      </c>
    </row>
    <row r="147">
      <c r="A147" s="119" t="s">
        <v>2754</v>
      </c>
      <c r="B147" s="20" t="s">
        <v>2755</v>
      </c>
      <c r="C147" s="118" t="s">
        <v>2756</v>
      </c>
      <c r="D147" s="118" t="s">
        <v>2757</v>
      </c>
      <c r="E147" s="46" t="str">
        <f>IFERROR(__xludf.DUMMYFUNCTION("IFERROR(VLOOKUP(C147,IMPORTRANGE(""https://docs.google.com/spreadsheets/d/1SQRLoxD_LXfQNfB7NOxI5jlxbkDlcNPwla_2gSTySP8/edit#gid=274515254"",""Terra!$C$2:$D$151""),2,0),0)"),"チケットを表示")</f>
        <v>チケットを表示</v>
      </c>
    </row>
    <row r="148">
      <c r="A148" s="119" t="s">
        <v>2758</v>
      </c>
      <c r="C148" s="123" t="s">
        <v>2759</v>
      </c>
      <c r="D148" s="123" t="s">
        <v>2760</v>
      </c>
      <c r="E148" s="46" t="str">
        <f>IFERROR(__xludf.DUMMYFUNCTION("IFERROR(VLOOKUP(C148,IMPORTRANGE(""https://docs.google.com/spreadsheets/d/1SQRLoxD_LXfQNfB7NOxI5jlxbkDlcNPwla_2gSTySP8/edit#gid=274515254"",""Terra!$C$2:$D$151""),2,0),0)"),"グループ化基準")</f>
        <v>グループ化基準</v>
      </c>
    </row>
    <row r="149">
      <c r="A149" s="119" t="s">
        <v>338</v>
      </c>
      <c r="C149" s="123" t="s">
        <v>339</v>
      </c>
      <c r="D149" s="123" t="s">
        <v>340</v>
      </c>
      <c r="E149" s="46" t="str">
        <f>IFERROR(__xludf.DUMMYFUNCTION("IFERROR(VLOOKUP(C149,IMPORTRANGE(""https://docs.google.com/spreadsheets/d/1SQRLoxD_LXfQNfB7NOxI5jlxbkDlcNPwla_2gSTySP8/edit#gid=274515254"",""Terra!$C$2:$D$151""),2,0),0)"),"ステータス")</f>
        <v>ステータス</v>
      </c>
    </row>
    <row r="150">
      <c r="A150" s="119" t="s">
        <v>341</v>
      </c>
      <c r="C150" s="123" t="s">
        <v>342</v>
      </c>
      <c r="D150" s="123" t="s">
        <v>343</v>
      </c>
      <c r="E150" s="46" t="str">
        <f>IFERROR(__xludf.DUMMYFUNCTION("IFERROR(VLOOKUP(C150,IMPORTRANGE(""https://docs.google.com/spreadsheets/d/1SQRLoxD_LXfQNfB7NOxI5jlxbkDlcNPwla_2gSTySP8/edit#gid=274515254"",""Terra!$C$2:$D$151""),2,0),0)"),"優先順位")</f>
        <v>優先順位</v>
      </c>
    </row>
    <row r="151">
      <c r="A151" s="119" t="s">
        <v>2761</v>
      </c>
      <c r="C151" s="123" t="s">
        <v>2762</v>
      </c>
      <c r="D151" s="123" t="s">
        <v>2763</v>
      </c>
      <c r="E151" s="46" t="str">
        <f>IFERROR(__xludf.DUMMYFUNCTION("IFERROR(VLOOKUP(C151,IMPORTRANGE(""https://docs.google.com/spreadsheets/d/1SQRLoxD_LXfQNfB7NOxI5jlxbkDlcNPwla_2gSTySP8/edit#gid=274515254"",""Terra!$C$2:$D$151""),2,0),0)"),"すべてクリア")</f>
        <v>すべてクリア</v>
      </c>
    </row>
    <row r="152">
      <c r="A152" s="119" t="s">
        <v>2764</v>
      </c>
      <c r="B152" s="124" t="s">
        <v>2765</v>
      </c>
      <c r="C152" s="118" t="s">
        <v>2766</v>
      </c>
      <c r="D152" s="118" t="s">
        <v>2767</v>
      </c>
      <c r="E152" s="46" t="str">
        <f>IFERROR(__xludf.DUMMYFUNCTION("IFERROR(VLOOKUP(C152,IMPORTRANGE(""https://docs.google.com/spreadsheets/d/1SQRLoxD_LXfQNfB7NOxI5jlxbkDlcNPwla_2gSTySP8/edit#gid=274515254"",""Terra!$C$2:$D$151""),2,0),0)"),"フライの切替え")</f>
        <v>フライの切替え</v>
      </c>
    </row>
    <row r="153">
      <c r="A153" s="93" t="s">
        <v>2768</v>
      </c>
      <c r="B153" s="124" t="s">
        <v>2769</v>
      </c>
      <c r="C153" s="118" t="s">
        <v>2770</v>
      </c>
      <c r="D153" s="118" t="s">
        <v>2771</v>
      </c>
      <c r="E153" s="46" t="str">
        <f>IFERROR(__xludf.DUMMYFUNCTION("IFERROR(VLOOKUP(C153,IMPORTRANGE(""https://docs.google.com/spreadsheets/d/1SQRLoxD_LXfQNfB7NOxI5jlxbkDlcNPwla_2gSTySP8/edit#gid=274515254"",""Terra!$C$2:$D$151""),2,0),0)"),"ズームイン")</f>
        <v>ズームイン</v>
      </c>
    </row>
    <row r="154">
      <c r="A154" s="93" t="s">
        <v>2772</v>
      </c>
      <c r="B154" s="124" t="s">
        <v>2773</v>
      </c>
      <c r="C154" s="118" t="s">
        <v>2774</v>
      </c>
      <c r="D154" s="118" t="s">
        <v>2775</v>
      </c>
      <c r="E154" s="46" t="str">
        <f>IFERROR(__xludf.DUMMYFUNCTION("IFERROR(VLOOKUP(C154,IMPORTRANGE(""https://docs.google.com/spreadsheets/d/1SQRLoxD_LXfQNfB7NOxI5jlxbkDlcNPwla_2gSTySP8/edit#gid=274515254"",""Terra!$C$2:$D$151""),2,0),0)"),"ズームアウト")</f>
        <v>ズームアウト</v>
      </c>
    </row>
    <row r="155">
      <c r="A155" s="93" t="s">
        <v>2776</v>
      </c>
      <c r="B155" s="124" t="s">
        <v>2777</v>
      </c>
      <c r="C155" s="118" t="s">
        <v>2778</v>
      </c>
      <c r="D155" s="118" t="s">
        <v>2779</v>
      </c>
      <c r="E155" s="46" t="str">
        <f>IFERROR(__xludf.DUMMYFUNCTION("IFERROR(VLOOKUP(C155,IMPORTRANGE(""https://docs.google.com/spreadsheets/d/1SQRLoxD_LXfQNfB7NOxI5jlxbkDlcNPwla_2gSTySP8/edit#gid=274515254"",""Terra!$C$2:$D$151""),2,0),0)"),"向きを北にリセット")</f>
        <v>向きを北にリセット</v>
      </c>
    </row>
    <row r="156">
      <c r="A156" s="93" t="s">
        <v>2780</v>
      </c>
      <c r="B156" s="124" t="s">
        <v>2781</v>
      </c>
      <c r="C156" s="118" t="s">
        <v>2782</v>
      </c>
      <c r="D156" s="26" t="s">
        <v>2783</v>
      </c>
      <c r="E156" s="46" t="str">
        <f>IFERROR(__xludf.DUMMYFUNCTION("IFERROR(VLOOKUP(C156,IMPORTRANGE(""https://docs.google.com/spreadsheets/d/1SQRLoxD_LXfQNfB7NOxI5jlxbkDlcNPwla_2gSTySP8/edit#gid=274515254"",""Terra!$C$2:$D$151""),2,0),0)"),"ラインストリングツール")</f>
        <v>ラインストリングツール</v>
      </c>
    </row>
    <row r="157">
      <c r="A157" s="93" t="s">
        <v>2784</v>
      </c>
      <c r="B157" s="71" t="s">
        <v>2785</v>
      </c>
      <c r="C157" s="118" t="s">
        <v>2786</v>
      </c>
      <c r="D157" s="9" t="s">
        <v>2787</v>
      </c>
      <c r="E157" s="46" t="str">
        <f>IFERROR(__xludf.DUMMYFUNCTION("IFERROR(VLOOKUP(C157,IMPORTRANGE(""https://docs.google.com/spreadsheets/d/1SQRLoxD_LXfQNfB7NOxI5jlxbkDlcNPwla_2gSTySP8/edit#gid=274515254"",""Terra!$C$2:$D$151""),2,0),0)"),"ポリゴンツール")</f>
        <v>ポリゴンツール</v>
      </c>
    </row>
    <row r="158">
      <c r="A158" s="93" t="s">
        <v>2788</v>
      </c>
      <c r="B158" s="124" t="s">
        <v>2789</v>
      </c>
      <c r="C158" s="118" t="s">
        <v>2790</v>
      </c>
      <c r="D158" s="118" t="s">
        <v>2791</v>
      </c>
      <c r="E158" s="46" t="str">
        <f>IFERROR(__xludf.DUMMYFUNCTION("IFERROR(VLOOKUP(C158,IMPORTRANGE(""https://docs.google.com/spreadsheets/d/1SQRLoxD_LXfQNfB7NOxI5jlxbkDlcNPwla_2gSTySP8/edit#gid=274515254"",""Terra!$C$2:$D$151""),2,0),0)"),"マーカーツール")</f>
        <v>マーカーツール</v>
      </c>
    </row>
    <row r="159">
      <c r="A159" s="93" t="s">
        <v>257</v>
      </c>
      <c r="B159" s="124" t="s">
        <v>2792</v>
      </c>
      <c r="C159" s="118" t="s">
        <v>259</v>
      </c>
      <c r="D159" s="26" t="s">
        <v>260</v>
      </c>
      <c r="E159" s="46" t="str">
        <f>IFERROR(__xludf.DUMMYFUNCTION("IFERROR(VLOOKUP(C159,IMPORTRANGE(""https://docs.google.com/spreadsheets/d/1SQRLoxD_LXfQNfB7NOxI5jlxbkDlcNPwla_2gSTySP8/edit#gid=274515254"",""Terra!$C$2:$D$151""),2,0),0)"),"削除")</f>
        <v>削除</v>
      </c>
    </row>
    <row r="160">
      <c r="A160" s="93" t="s">
        <v>2793</v>
      </c>
      <c r="B160" s="124" t="s">
        <v>2794</v>
      </c>
      <c r="C160" s="118" t="s">
        <v>2795</v>
      </c>
      <c r="D160" s="118" t="s">
        <v>2796</v>
      </c>
      <c r="E160" s="46" t="str">
        <f>IFERROR(__xludf.DUMMYFUNCTION("IFERROR(VLOOKUP(C160,IMPORTRANGE(""https://docs.google.com/spreadsheets/d/1SQRLoxD_LXfQNfB7NOxI5jlxbkDlcNPwla_2gSTySP8/edit#gid=274515254"",""Terra!$C$2:$D$151""),2,0),0)"),"合成")</f>
        <v>合成</v>
      </c>
    </row>
    <row r="161">
      <c r="A161" s="93" t="s">
        <v>2797</v>
      </c>
      <c r="B161" s="124" t="s">
        <v>2798</v>
      </c>
      <c r="C161" s="118" t="s">
        <v>2799</v>
      </c>
      <c r="D161" s="118" t="s">
        <v>2800</v>
      </c>
      <c r="E161" s="46" t="str">
        <f>IFERROR(__xludf.DUMMYFUNCTION("IFERROR(VLOOKUP(C161,IMPORTRANGE(""https://docs.google.com/spreadsheets/d/1SQRLoxD_LXfQNfB7NOxI5jlxbkDlcNPwla_2gSTySP8/edit#gid=274515254"",""Terra!$C$2:$D$151""),2,0),0)"),"合成解除")</f>
        <v>合成解除</v>
      </c>
    </row>
    <row r="162">
      <c r="A162" s="119" t="s">
        <v>2801</v>
      </c>
      <c r="B162" s="124" t="s">
        <v>2802</v>
      </c>
      <c r="C162" s="118" t="s">
        <v>2803</v>
      </c>
      <c r="D162" s="118" t="s">
        <v>2804</v>
      </c>
      <c r="E162" s="46" t="str">
        <f>IFERROR(__xludf.DUMMYFUNCTION("IFERROR(VLOOKUP(C162,IMPORTRANGE(""https://docs.google.com/spreadsheets/d/1SQRLoxD_LXfQNfB7NOxI5jlxbkDlcNPwla_2gSTySP8/edit#gid=274515254"",""Terra!$C$2:$D$151""),2,0),0)"),"地図比較")</f>
        <v>地図比較</v>
      </c>
    </row>
    <row r="163" ht="19.5" customHeight="1">
      <c r="A163" s="119" t="s">
        <v>2574</v>
      </c>
      <c r="B163" s="20" t="s">
        <v>2805</v>
      </c>
      <c r="C163" s="118" t="s">
        <v>2575</v>
      </c>
      <c r="D163" s="118" t="s">
        <v>2806</v>
      </c>
      <c r="E163" s="46" t="str">
        <f>IFERROR(__xludf.DUMMYFUNCTION("IFERROR(VLOOKUP(C163,IMPORTRANGE(""https://docs.google.com/spreadsheets/d/1SQRLoxD_LXfQNfB7NOxI5jlxbkDlcNPwla_2gSTySP8/edit#gid=274515254"",""Terra!$C$2:$D$151""),2,0),0)"),"プロジェクトを選択")</f>
        <v>プロジェクトを選択</v>
      </c>
    </row>
    <row r="164" ht="21.0" customHeight="1">
      <c r="A164" s="119" t="s">
        <v>2807</v>
      </c>
      <c r="C164" s="118" t="s">
        <v>2808</v>
      </c>
      <c r="D164" s="118" t="s">
        <v>2809</v>
      </c>
      <c r="E164" s="46" t="str">
        <f>IFERROR(__xludf.DUMMYFUNCTION("IFERROR(VLOOKUP(C164,IMPORTRANGE(""https://docs.google.com/spreadsheets/d/1SQRLoxD_LXfQNfB7NOxI5jlxbkDlcNPwla_2gSTySP8/edit#gid=274515254"",""Terra!$C$2:$D$151""),2,0),0)"),"戻る")</f>
        <v>戻る</v>
      </c>
    </row>
    <row r="165">
      <c r="A165" s="119" t="s">
        <v>2810</v>
      </c>
      <c r="B165" s="20" t="s">
        <v>2811</v>
      </c>
      <c r="C165" s="118" t="s">
        <v>2812</v>
      </c>
      <c r="D165" s="26" t="s">
        <v>2813</v>
      </c>
      <c r="E165" s="46" t="str">
        <f>IFERROR(__xludf.DUMMYFUNCTION("IFERROR(VLOOKUP(C165,IMPORTRANGE(""https://docs.google.com/spreadsheets/d/1SQRLoxD_LXfQNfB7NOxI5jlxbkDlcNPwla_2gSTySP8/edit#gid=274515254"",""Terra!$C$2:$D$151""),2,0),0)"),"衛星")</f>
        <v>衛星</v>
      </c>
    </row>
    <row r="166">
      <c r="A166" s="119" t="s">
        <v>2814</v>
      </c>
      <c r="B166" s="20" t="s">
        <v>2815</v>
      </c>
      <c r="C166" s="118" t="s">
        <v>2816</v>
      </c>
      <c r="D166" s="118" t="s">
        <v>2817</v>
      </c>
      <c r="E166" s="46" t="str">
        <f>IFERROR(__xludf.DUMMYFUNCTION("IFERROR(VLOOKUP(C166,IMPORTRANGE(""https://docs.google.com/spreadsheets/d/1SQRLoxD_LXfQNfB7NOxI5jlxbkDlcNPwla_2gSTySP8/edit#gid=274515254"",""Terra!$C$2:$D$151""),2,0),0)"),"道路")</f>
        <v>道路</v>
      </c>
    </row>
    <row r="167">
      <c r="A167" s="119" t="s">
        <v>2818</v>
      </c>
      <c r="B167" s="20" t="s">
        <v>2819</v>
      </c>
      <c r="C167" s="118" t="s">
        <v>2820</v>
      </c>
      <c r="D167" s="118" t="s">
        <v>2821</v>
      </c>
      <c r="E167" s="46" t="str">
        <f>IFERROR(__xludf.DUMMYFUNCTION("IFERROR(VLOOKUP(C167,IMPORTRANGE(""https://docs.google.com/spreadsheets/d/1SQRLoxD_LXfQNfB7NOxI5jlxbkDlcNPwla_2gSTySP8/edit#gid=274515254"",""Terra!$C$2:$D$151""),2,0),0)"),"名前を入力")</f>
        <v>名前を入力</v>
      </c>
    </row>
    <row r="168">
      <c r="A168" s="119" t="s">
        <v>2822</v>
      </c>
      <c r="C168" s="118" t="s">
        <v>2823</v>
      </c>
      <c r="D168" s="26" t="s">
        <v>2824</v>
      </c>
      <c r="E168" s="46" t="str">
        <f>IFERROR(__xludf.DUMMYFUNCTION("IFERROR(VLOOKUP(C168,IMPORTRANGE(""https://docs.google.com/spreadsheets/d/1SQRLoxD_LXfQNfB7NOxI5jlxbkDlcNPwla_2gSTySP8/edit#gid=274515254"",""Terra!$C$2:$D$151""),2,0),0)"),"特徴タイプグループ名")</f>
        <v>特徴タイプグループ名</v>
      </c>
    </row>
    <row r="169">
      <c r="A169" s="108" t="str">
        <f>IFERROR(__xludf.DUMMYFUNCTION("JOIN(""-"",""app"",SPLIT(LOWER( C169),"" ""))"),"app-search-ticket")</f>
        <v>app-search-ticket</v>
      </c>
      <c r="B169" s="103" t="s">
        <v>2825</v>
      </c>
      <c r="C169" s="125" t="s">
        <v>2826</v>
      </c>
      <c r="D169" s="125" t="s">
        <v>1127</v>
      </c>
      <c r="E169" s="93" t="s">
        <v>2827</v>
      </c>
    </row>
    <row r="170">
      <c r="A170" s="108" t="str">
        <f>IFERROR(__xludf.DUMMYFUNCTION("JOIN(""-"",""app"",SPLIT(LOWER( C170),"" ""))"),"app-none")</f>
        <v>app-none</v>
      </c>
      <c r="C170" s="125" t="s">
        <v>439</v>
      </c>
      <c r="D170" s="126" t="s">
        <v>440</v>
      </c>
      <c r="E170" s="93" t="s">
        <v>2828</v>
      </c>
    </row>
    <row r="171">
      <c r="A171" s="108" t="s">
        <v>948</v>
      </c>
      <c r="C171" s="106" t="s">
        <v>2829</v>
      </c>
      <c r="D171" s="127" t="s">
        <v>951</v>
      </c>
      <c r="E171" s="93" t="s">
        <v>2830</v>
      </c>
    </row>
    <row r="172">
      <c r="A172" s="108" t="str">
        <f>IFERROR(__xludf.DUMMYFUNCTION("JOIN(""-"",""app"",SPLIT(LOWER( C172),"" ""))"),"app-no-tickets")</f>
        <v>app-no-tickets</v>
      </c>
      <c r="C172" s="125" t="s">
        <v>2831</v>
      </c>
      <c r="D172" s="125" t="s">
        <v>2832</v>
      </c>
      <c r="E172" s="93" t="s">
        <v>2833</v>
      </c>
    </row>
    <row r="173">
      <c r="A173" s="108" t="str">
        <f>IFERROR(__xludf.DUMMYFUNCTION("JOIN(""-"",""app"",SPLIT(LOWER( C173),"" ""))"),"app-no-results-found")</f>
        <v>app-no-results-found</v>
      </c>
      <c r="C173" s="125" t="s">
        <v>2834</v>
      </c>
      <c r="D173" s="125" t="s">
        <v>2835</v>
      </c>
      <c r="E173" s="93" t="s">
        <v>2836</v>
      </c>
    </row>
    <row r="174">
      <c r="A174" s="108" t="str">
        <f>IFERROR(__xludf.DUMMYFUNCTION("JOIN(""-"",""app"",SPLIT(LOWER( C174),"" ""))"),"app-due-date")</f>
        <v>app-due-date</v>
      </c>
      <c r="B174" s="128" t="s">
        <v>2837</v>
      </c>
      <c r="C174" s="125" t="s">
        <v>443</v>
      </c>
      <c r="D174" s="125" t="s">
        <v>1478</v>
      </c>
      <c r="E174" s="93" t="s">
        <v>2838</v>
      </c>
    </row>
    <row r="175">
      <c r="A175" s="108" t="str">
        <f>IFERROR(__xludf.DUMMYFUNCTION("JOIN(""-"",""app"",SPLIT(LOWER( C175),"" ""))"),"app-none")</f>
        <v>app-none</v>
      </c>
      <c r="B175" s="128" t="s">
        <v>2839</v>
      </c>
      <c r="C175" s="106" t="s">
        <v>439</v>
      </c>
      <c r="D175" s="127" t="s">
        <v>440</v>
      </c>
      <c r="E175" s="93" t="s">
        <v>2828</v>
      </c>
    </row>
    <row r="176">
      <c r="A176" s="108" t="str">
        <f>IFERROR(__xludf.DUMMYFUNCTION("JOIN(""-"",""app"",SPLIT(LOWER( C176),"" ""))"),"app-no-tags")</f>
        <v>app-no-tags</v>
      </c>
      <c r="B176" s="128" t="s">
        <v>2840</v>
      </c>
      <c r="C176" s="106" t="s">
        <v>2841</v>
      </c>
      <c r="D176" s="127" t="s">
        <v>2842</v>
      </c>
      <c r="E176" s="93" t="s">
        <v>2843</v>
      </c>
    </row>
    <row r="177">
      <c r="A177" s="108" t="str">
        <f>IFERROR(__xludf.DUMMYFUNCTION("JOIN(""-"",""app"",SPLIT(LOWER( C177),"" ""))"),"app-type-here-to-add-description")</f>
        <v>app-type-here-to-add-description</v>
      </c>
      <c r="B177" s="103" t="s">
        <v>2844</v>
      </c>
      <c r="C177" s="106" t="s">
        <v>2845</v>
      </c>
      <c r="D177" s="127" t="s">
        <v>2846</v>
      </c>
      <c r="E177" s="93" t="s">
        <v>2847</v>
      </c>
    </row>
    <row r="178">
      <c r="A178" s="108" t="str">
        <f>IFERROR(__xludf.DUMMYFUNCTION("JOIN(""-"",""app"",SPLIT(LOWER( C178),"" ""))"),"app-drag-&amp;-drop-file-here")</f>
        <v>app-drag-&amp;-drop-file-here</v>
      </c>
      <c r="C178" s="106" t="s">
        <v>2848</v>
      </c>
      <c r="D178" s="106" t="s">
        <v>1616</v>
      </c>
      <c r="E178" s="93" t="s">
        <v>2849</v>
      </c>
    </row>
    <row r="179">
      <c r="A179" s="108" t="str">
        <f>IFERROR(__xludf.DUMMYFUNCTION("JOIN(""-"",""app"",SPLIT(LOWER( C179),"" ""))"),"app-drag-and-drop-to-add-attachments-to-preview,-bookmark-and-create-templates-for-later-use")</f>
        <v>app-drag-and-drop-to-add-attachments-to-preview,-bookmark-and-create-templates-for-later-use</v>
      </c>
      <c r="C179" s="106" t="s">
        <v>1188</v>
      </c>
      <c r="D179" s="106" t="s">
        <v>1189</v>
      </c>
      <c r="E179" s="93" t="s">
        <v>2850</v>
      </c>
    </row>
    <row r="180">
      <c r="A180" s="108" t="str">
        <f>IFERROR(__xludf.DUMMYFUNCTION("JOIN(""-"",""app"",SPLIT(LOWER( C180),"" ""))"),"app-browse")</f>
        <v>app-browse</v>
      </c>
      <c r="C180" s="106" t="s">
        <v>2598</v>
      </c>
      <c r="D180" s="106" t="s">
        <v>2599</v>
      </c>
      <c r="E180" s="93" t="s">
        <v>2600</v>
      </c>
    </row>
    <row r="181">
      <c r="A181" s="108" t="str">
        <f>IFERROR(__xludf.DUMMYFUNCTION("JOIN(""-"",""app"",SPLIT(LOWER( C181),"" ""))"),"app-heading")</f>
        <v>app-heading</v>
      </c>
      <c r="B181" s="128" t="s">
        <v>2851</v>
      </c>
      <c r="C181" s="106" t="s">
        <v>2852</v>
      </c>
      <c r="D181" s="106" t="s">
        <v>2853</v>
      </c>
      <c r="E181" s="93" t="s">
        <v>2854</v>
      </c>
    </row>
    <row r="182">
      <c r="A182" s="108" t="str">
        <f>IFERROR(__xludf.DUMMYFUNCTION("JOIN(""-"",""app"",SPLIT(LOWER( C182),"" ""))"),"app-bold")</f>
        <v>app-bold</v>
      </c>
      <c r="B182" s="128" t="s">
        <v>2855</v>
      </c>
      <c r="C182" s="106" t="s">
        <v>2856</v>
      </c>
      <c r="D182" s="106" t="s">
        <v>2857</v>
      </c>
      <c r="E182" s="93" t="s">
        <v>2858</v>
      </c>
    </row>
    <row r="183">
      <c r="A183" s="108" t="str">
        <f>IFERROR(__xludf.DUMMYFUNCTION("JOIN(""-"",""app"",SPLIT(LOWER( C183),"" ""))"),"app-italic")</f>
        <v>app-italic</v>
      </c>
      <c r="B183" s="128" t="s">
        <v>2859</v>
      </c>
      <c r="C183" s="106" t="s">
        <v>2860</v>
      </c>
      <c r="D183" s="106" t="s">
        <v>2861</v>
      </c>
      <c r="E183" s="93" t="s">
        <v>2862</v>
      </c>
    </row>
    <row r="184">
      <c r="A184" s="108" t="str">
        <f>IFERROR(__xludf.DUMMYFUNCTION("JOIN(""-"",""app"",SPLIT(LOWER( C184),"" ""))"),"app-highlight")</f>
        <v>app-highlight</v>
      </c>
      <c r="B184" s="128" t="s">
        <v>2863</v>
      </c>
      <c r="C184" s="106" t="s">
        <v>2864</v>
      </c>
      <c r="D184" s="106" t="s">
        <v>2865</v>
      </c>
      <c r="E184" s="93" t="s">
        <v>2866</v>
      </c>
    </row>
    <row r="185">
      <c r="A185" s="108" t="str">
        <f>IFERROR(__xludf.DUMMYFUNCTION("JOIN(""-"",""app"",SPLIT(LOWER( C185),"" ""))"),"app-yellow-marker")</f>
        <v>app-yellow-marker</v>
      </c>
      <c r="B185" s="128" t="s">
        <v>2867</v>
      </c>
      <c r="C185" s="106" t="s">
        <v>2868</v>
      </c>
      <c r="D185" s="106" t="s">
        <v>2869</v>
      </c>
      <c r="E185" s="93" t="s">
        <v>2870</v>
      </c>
    </row>
    <row r="186">
      <c r="A186" s="108" t="str">
        <f>IFERROR(__xludf.DUMMYFUNCTION("JOIN(""-"",""app"",SPLIT(LOWER( C186),"" ""))"),"app-green-marker")</f>
        <v>app-green-marker</v>
      </c>
      <c r="B186" s="128" t="s">
        <v>2871</v>
      </c>
      <c r="C186" s="106" t="s">
        <v>2872</v>
      </c>
      <c r="D186" s="106" t="s">
        <v>2873</v>
      </c>
      <c r="E186" s="93" t="s">
        <v>2874</v>
      </c>
    </row>
    <row r="187">
      <c r="A187" s="108" t="str">
        <f>IFERROR(__xludf.DUMMYFUNCTION("JOIN(""-"",""app"",SPLIT(LOWER( C187),"" ""))"),"app-pink-marker")</f>
        <v>app-pink-marker</v>
      </c>
      <c r="B187" s="128" t="s">
        <v>2875</v>
      </c>
      <c r="C187" s="106" t="s">
        <v>2876</v>
      </c>
      <c r="D187" s="106" t="s">
        <v>2877</v>
      </c>
      <c r="E187" s="93" t="s">
        <v>2878</v>
      </c>
    </row>
    <row r="188">
      <c r="A188" s="108" t="str">
        <f>IFERROR(__xludf.DUMMYFUNCTION("JOIN(""-"",""app"",SPLIT(LOWER( C188),"" ""))"),"app-blue-marker")</f>
        <v>app-blue-marker</v>
      </c>
      <c r="B188" s="128" t="s">
        <v>2879</v>
      </c>
      <c r="C188" s="106" t="s">
        <v>2880</v>
      </c>
      <c r="D188" s="106" t="s">
        <v>2881</v>
      </c>
      <c r="E188" s="93" t="s">
        <v>2882</v>
      </c>
    </row>
    <row r="189">
      <c r="A189" s="108" t="str">
        <f>IFERROR(__xludf.DUMMYFUNCTION("JOIN(""-"",""app"",SPLIT(LOWER( C189),"" ""))"),"app-red-pen")</f>
        <v>app-red-pen</v>
      </c>
      <c r="B189" s="128" t="s">
        <v>2883</v>
      </c>
      <c r="C189" s="106" t="s">
        <v>2884</v>
      </c>
      <c r="D189" s="106" t="s">
        <v>2885</v>
      </c>
      <c r="E189" s="93" t="s">
        <v>2886</v>
      </c>
    </row>
    <row r="190">
      <c r="A190" s="108" t="str">
        <f>IFERROR(__xludf.DUMMYFUNCTION("JOIN(""-"",""app"",SPLIT(LOWER( C190),"" ""))"),"app-green-pen")</f>
        <v>app-green-pen</v>
      </c>
      <c r="B190" s="128" t="s">
        <v>2887</v>
      </c>
      <c r="C190" s="106" t="s">
        <v>2888</v>
      </c>
      <c r="D190" s="106" t="s">
        <v>2889</v>
      </c>
      <c r="E190" s="93" t="s">
        <v>2890</v>
      </c>
    </row>
    <row r="191">
      <c r="A191" s="108" t="str">
        <f>IFERROR(__xludf.DUMMYFUNCTION("JOIN(""-"",""app"",SPLIT(LOWER( C191),"" ""))"),"app-remove-highlight")</f>
        <v>app-remove-highlight</v>
      </c>
      <c r="B191" s="128" t="s">
        <v>2891</v>
      </c>
      <c r="C191" s="106" t="s">
        <v>2892</v>
      </c>
      <c r="D191" s="106" t="s">
        <v>2893</v>
      </c>
      <c r="E191" s="93" t="s">
        <v>2894</v>
      </c>
    </row>
    <row r="192">
      <c r="A192" s="108" t="str">
        <f>IFERROR(__xludf.DUMMYFUNCTION("JOIN(""-"",""app"",SPLIT(LOWER( C192),"" ""))"),"app-block-quote")</f>
        <v>app-block-quote</v>
      </c>
      <c r="B192" s="128" t="s">
        <v>2895</v>
      </c>
      <c r="C192" s="106" t="s">
        <v>2896</v>
      </c>
      <c r="D192" s="106" t="s">
        <v>2897</v>
      </c>
      <c r="E192" s="93" t="s">
        <v>2898</v>
      </c>
    </row>
    <row r="193">
      <c r="A193" s="108" t="str">
        <f>IFERROR(__xludf.DUMMYFUNCTION("JOIN(""-"",""app"",SPLIT(LOWER( C193),"" ""))"),"app-link")</f>
        <v>app-link</v>
      </c>
      <c r="B193" s="128" t="s">
        <v>2899</v>
      </c>
      <c r="C193" s="106" t="s">
        <v>1047</v>
      </c>
      <c r="D193" s="106" t="s">
        <v>1048</v>
      </c>
      <c r="E193" s="93" t="s">
        <v>2900</v>
      </c>
    </row>
    <row r="194">
      <c r="A194" s="108" t="str">
        <f>IFERROR(__xludf.DUMMYFUNCTION("JOIN(""-"",""app"",SPLIT(LOWER( C194),"" ""))"),"app-numbered-list")</f>
        <v>app-numbered-list</v>
      </c>
      <c r="B194" s="128" t="s">
        <v>2901</v>
      </c>
      <c r="C194" s="106" t="s">
        <v>2902</v>
      </c>
      <c r="D194" s="106" t="s">
        <v>2903</v>
      </c>
      <c r="E194" s="93" t="s">
        <v>2904</v>
      </c>
    </row>
    <row r="195">
      <c r="A195" s="108" t="str">
        <f>IFERROR(__xludf.DUMMYFUNCTION("JOIN(""-"",""app"",SPLIT(LOWER( C195),"" ""))"),"app-bulleted-list")</f>
        <v>app-bulleted-list</v>
      </c>
      <c r="B195" s="128" t="s">
        <v>2905</v>
      </c>
      <c r="C195" s="106" t="s">
        <v>2906</v>
      </c>
      <c r="D195" s="106" t="s">
        <v>2907</v>
      </c>
      <c r="E195" s="93" t="s">
        <v>2908</v>
      </c>
    </row>
    <row r="196">
      <c r="A196" s="108" t="str">
        <f>IFERROR(__xludf.DUMMYFUNCTION("JOIN(""-"",""app"",SPLIT(LOWER( C196),"" ""))"),"app-to-do-list")</f>
        <v>app-to-do-list</v>
      </c>
      <c r="B196" s="128" t="s">
        <v>2909</v>
      </c>
      <c r="C196" s="106" t="s">
        <v>2910</v>
      </c>
      <c r="D196" s="106" t="s">
        <v>2911</v>
      </c>
      <c r="E196" s="93" t="s">
        <v>2912</v>
      </c>
    </row>
    <row r="197">
      <c r="A197" s="108" t="str">
        <f>IFERROR(__xludf.DUMMYFUNCTION("JOIN(""-"",""app"",SPLIT(LOWER( C197),"" ""))"),"app-insert-table")</f>
        <v>app-insert-table</v>
      </c>
      <c r="B197" s="128" t="s">
        <v>2913</v>
      </c>
      <c r="C197" s="106" t="s">
        <v>2914</v>
      </c>
      <c r="D197" s="106" t="s">
        <v>2915</v>
      </c>
      <c r="E197" s="93" t="s">
        <v>2916</v>
      </c>
    </row>
    <row r="198">
      <c r="A198" s="108" t="str">
        <f>IFERROR(__xludf.DUMMYFUNCTION("JOIN(""-"",""app"",SPLIT(LOWER( C198),"" ""))"),"app-undo")</f>
        <v>app-undo</v>
      </c>
      <c r="B198" s="128" t="s">
        <v>2917</v>
      </c>
      <c r="C198" s="106" t="s">
        <v>2918</v>
      </c>
      <c r="D198" s="106" t="s">
        <v>2919</v>
      </c>
      <c r="E198" s="93" t="s">
        <v>2920</v>
      </c>
    </row>
    <row r="199">
      <c r="A199" s="108" t="str">
        <f>IFERROR(__xludf.DUMMYFUNCTION("JOIN(""-"",""app"",SPLIT(LOWER( C199),"" ""))"),"app-redo")</f>
        <v>app-redo</v>
      </c>
      <c r="B199" s="128" t="s">
        <v>2921</v>
      </c>
      <c r="C199" s="106" t="s">
        <v>2922</v>
      </c>
      <c r="D199" s="106" t="s">
        <v>2923</v>
      </c>
      <c r="E199" s="93" t="s">
        <v>2924</v>
      </c>
    </row>
    <row r="200">
      <c r="A200" s="108" t="str">
        <f>IFERROR(__xludf.DUMMYFUNCTION("JOIN(""-"",""app"",SPLIT(LOWER( C200),"" ""))"),"app-drop-files,-paste,-browse-files-or-import-from:")</f>
        <v>app-drop-files,-paste,-browse-files-or-import-from:</v>
      </c>
      <c r="B200" s="103" t="s">
        <v>2925</v>
      </c>
      <c r="C200" s="106" t="s">
        <v>2926</v>
      </c>
      <c r="D200" s="106" t="s">
        <v>2927</v>
      </c>
      <c r="E200" s="93" t="s">
        <v>2928</v>
      </c>
    </row>
    <row r="201">
      <c r="A201" s="108" t="str">
        <f>IFERROR(__xludf.DUMMYFUNCTION("JOIN(""-"",""app"",SPLIT(LOWER( C201),"" ""))"),"app-my-device")</f>
        <v>app-my-device</v>
      </c>
      <c r="C201" s="106" t="s">
        <v>2929</v>
      </c>
      <c r="D201" s="106" t="s">
        <v>2930</v>
      </c>
      <c r="E201" s="93" t="s">
        <v>2931</v>
      </c>
    </row>
    <row r="202">
      <c r="A202" s="108" t="str">
        <f>IFERROR(__xludf.DUMMYFUNCTION("JOIN(""-"",""app"",SPLIT(LOWER( C202),"" ""))"),"app-camera")</f>
        <v>app-camera</v>
      </c>
      <c r="C202" s="106" t="s">
        <v>2932</v>
      </c>
      <c r="D202" s="106" t="s">
        <v>2933</v>
      </c>
      <c r="E202" s="93" t="s">
        <v>2934</v>
      </c>
    </row>
    <row r="203">
      <c r="A203" s="108" t="str">
        <f>IFERROR(__xludf.DUMMYFUNCTION("JOIN(""-"",""app"",SPLIT(LOWER( C203),"" ""))"),"app-import-from-link")</f>
        <v>app-import-from-link</v>
      </c>
      <c r="B203" s="103" t="s">
        <v>2935</v>
      </c>
      <c r="C203" s="106" t="s">
        <v>2936</v>
      </c>
      <c r="D203" s="106" t="s">
        <v>2937</v>
      </c>
      <c r="E203" s="93" t="s">
        <v>2938</v>
      </c>
    </row>
    <row r="204">
      <c r="A204" s="108" t="str">
        <f>IFERROR(__xludf.DUMMYFUNCTION("JOIN(""-"",""app"",SPLIT(LOWER( C204),"" ""))"),"app-done")</f>
        <v>app-done</v>
      </c>
      <c r="C204" s="106" t="s">
        <v>2939</v>
      </c>
      <c r="D204" s="106" t="s">
        <v>2940</v>
      </c>
      <c r="E204" s="93" t="s">
        <v>2941</v>
      </c>
    </row>
    <row r="205">
      <c r="A205" s="108" t="str">
        <f>IFERROR(__xludf.DUMMYFUNCTION("JOIN(""-"",""app"",SPLIT(LOWER( C205),"" ""))"),"app-enter-url-to-import-a-file")</f>
        <v>app-enter-url-to-import-a-file</v>
      </c>
      <c r="C205" s="106" t="s">
        <v>2942</v>
      </c>
      <c r="D205" s="106" t="s">
        <v>2943</v>
      </c>
      <c r="E205" s="93" t="s">
        <v>2944</v>
      </c>
    </row>
    <row r="206">
      <c r="A206" s="108" t="str">
        <f>IFERROR(__xludf.DUMMYFUNCTION("JOIN(""-"",""app"",SPLIT(LOWER( C206),"" ""))"),"app-import")</f>
        <v>app-import</v>
      </c>
      <c r="C206" s="106" t="s">
        <v>231</v>
      </c>
      <c r="D206" s="106" t="s">
        <v>232</v>
      </c>
      <c r="E206" s="46" t="str">
        <f>IFERROR(__xludf.DUMMYFUNCTION("IFERROR(VLOOKUP(C206,IMPORTRANGE(""https://docs.google.com/spreadsheets/d/1SQRLoxD_LXfQNfB7NOxI5jlxbkDlcNPwla_2gSTySP8/edit#gid=274515254"",""Terra!$C$2:$D$151""),2,0),0)"),"インポート")</f>
        <v>インポート</v>
      </c>
    </row>
    <row r="207">
      <c r="A207" s="108" t="str">
        <f>IFERROR(__xludf.DUMMYFUNCTION("JOIN(""-"",""app"",SPLIT(LOWER( C207),"" ""))"),"app-cancel")</f>
        <v>app-cancel</v>
      </c>
      <c r="B207" s="103" t="s">
        <v>2945</v>
      </c>
      <c r="C207" s="106" t="s">
        <v>269</v>
      </c>
      <c r="D207" s="106" t="s">
        <v>270</v>
      </c>
      <c r="E207" s="93" t="s">
        <v>2946</v>
      </c>
    </row>
    <row r="208">
      <c r="A208" s="108" t="str">
        <f>IFERROR(__xludf.DUMMYFUNCTION("JOIN(""-"",""app"",SPLIT(LOWER( C208),"" ""))"),"app-1-file-selected")</f>
        <v>app-1-file-selected</v>
      </c>
      <c r="C208" s="106" t="s">
        <v>2947</v>
      </c>
      <c r="D208" s="106" t="s">
        <v>2948</v>
      </c>
      <c r="E208" s="93" t="s">
        <v>2949</v>
      </c>
    </row>
    <row r="209">
      <c r="A209" s="108" t="str">
        <f>IFERROR(__xludf.DUMMYFUNCTION("JOIN(""-"",""app"",SPLIT(LOWER( C209),"" ""))"),"app-add-more")</f>
        <v>app-add-more</v>
      </c>
      <c r="C209" s="106" t="s">
        <v>2950</v>
      </c>
      <c r="D209" s="106" t="s">
        <v>2951</v>
      </c>
      <c r="E209" s="93" t="s">
        <v>2952</v>
      </c>
    </row>
    <row r="210">
      <c r="A210" s="108" t="str">
        <f>IFERROR(__xludf.DUMMYFUNCTION("JOIN(""-"",""app"",SPLIT(LOWER( C210),"" ""))"),"app-close-modal")</f>
        <v>app-close-modal</v>
      </c>
      <c r="C210" s="106" t="s">
        <v>2953</v>
      </c>
      <c r="D210" s="106" t="s">
        <v>1469</v>
      </c>
      <c r="E210" s="93" t="s">
        <v>2954</v>
      </c>
    </row>
    <row r="211">
      <c r="A211" s="108" t="str">
        <f>IFERROR(__xludf.DUMMYFUNCTION("JOIN(""-"",""app"",SPLIT(LOWER( C211),"" ""))"),"app-remove-file")</f>
        <v>app-remove-file</v>
      </c>
      <c r="C211" s="106" t="s">
        <v>2955</v>
      </c>
      <c r="D211" s="106" t="s">
        <v>2956</v>
      </c>
      <c r="E211" s="93" t="s">
        <v>2957</v>
      </c>
    </row>
    <row r="212">
      <c r="A212" s="108" t="str">
        <f>IFERROR(__xludf.DUMMYFUNCTION("JOIN(""-"",""app"",SPLIT(LOWER( C212),"" ""))"),"app-upload-1-file")</f>
        <v>app-upload-1-file</v>
      </c>
      <c r="C212" s="106" t="s">
        <v>2958</v>
      </c>
      <c r="D212" s="106" t="s">
        <v>2959</v>
      </c>
      <c r="E212" s="93" t="s">
        <v>2960</v>
      </c>
    </row>
    <row r="213">
      <c r="A213" s="108" t="str">
        <f>IFERROR(__xludf.DUMMYFUNCTION("JOIN(""-"",""app"",SPLIT(LOWER( C213),"" ""))"),"app-uploading-1-file")</f>
        <v>app-uploading-1-file</v>
      </c>
      <c r="B213" s="103" t="s">
        <v>2961</v>
      </c>
      <c r="C213" s="106" t="s">
        <v>2962</v>
      </c>
      <c r="D213" s="106" t="s">
        <v>2963</v>
      </c>
      <c r="E213" s="93" t="s">
        <v>2964</v>
      </c>
    </row>
    <row r="214">
      <c r="A214" s="108" t="str">
        <f>IFERROR(__xludf.DUMMYFUNCTION("JOIN(""-"",""app"",SPLIT(LOWER( C214),"" ""))"),"app-uploading")</f>
        <v>app-uploading</v>
      </c>
      <c r="C214" s="106" t="s">
        <v>2965</v>
      </c>
      <c r="D214" s="106" t="s">
        <v>1522</v>
      </c>
      <c r="E214" s="93" t="s">
        <v>2966</v>
      </c>
    </row>
    <row r="215">
      <c r="A215" s="108" t="str">
        <f>IFERROR(__xludf.DUMMYFUNCTION("JOIN(""-"",""app"",SPLIT(LOWER( C215),"" ""))"),"app-files-uploaded")</f>
        <v>app-files-uploaded</v>
      </c>
      <c r="B215" s="128" t="s">
        <v>2967</v>
      </c>
      <c r="C215" s="106" t="s">
        <v>1194</v>
      </c>
      <c r="D215" s="106" t="s">
        <v>1195</v>
      </c>
      <c r="E215" s="93" t="s">
        <v>2968</v>
      </c>
    </row>
    <row r="216">
      <c r="A216" s="108" t="str">
        <f>IFERROR(__xludf.DUMMYFUNCTION("JOIN(""-"",""app"",SPLIT(LOWER( C216),"" ""))"),"app-import-from-google-drive")</f>
        <v>app-import-from-google-drive</v>
      </c>
      <c r="B216" s="103" t="s">
        <v>2969</v>
      </c>
      <c r="C216" s="106" t="s">
        <v>2970</v>
      </c>
      <c r="D216" s="106" t="s">
        <v>2971</v>
      </c>
      <c r="E216" s="93" t="s">
        <v>2972</v>
      </c>
    </row>
    <row r="217">
      <c r="A217" s="108" t="str">
        <f>IFERROR(__xludf.DUMMYFUNCTION("JOIN(""-"",""app"",SPLIT(LOWER( C217),"" ""))"),"app-done")</f>
        <v>app-done</v>
      </c>
      <c r="C217" s="106" t="s">
        <v>2939</v>
      </c>
      <c r="D217" s="106" t="s">
        <v>2940</v>
      </c>
      <c r="E217" s="93" t="s">
        <v>2941</v>
      </c>
    </row>
    <row r="218">
      <c r="A218" s="108" t="str">
        <f>IFERROR(__xludf.DUMMYFUNCTION("JOIN(""-"",""app"",SPLIT(LOWER( C218),"" ""))"),"app-loading")</f>
        <v>app-loading</v>
      </c>
      <c r="C218" s="106" t="s">
        <v>1521</v>
      </c>
      <c r="D218" s="106" t="s">
        <v>1522</v>
      </c>
      <c r="E218" s="93" t="s">
        <v>2973</v>
      </c>
    </row>
    <row r="219">
      <c r="A219" s="108" t="str">
        <f>IFERROR(__xludf.DUMMYFUNCTION("JOIN(""-"",""app"",SPLIT(LOWER( C219),"" ""))"),"app-close-modal")</f>
        <v>app-close-modal</v>
      </c>
      <c r="B219" s="103" t="s">
        <v>2974</v>
      </c>
      <c r="C219" s="106" t="s">
        <v>2953</v>
      </c>
      <c r="D219" s="106" t="s">
        <v>1469</v>
      </c>
      <c r="E219" s="93" t="s">
        <v>2954</v>
      </c>
    </row>
    <row r="220">
      <c r="A220" s="108" t="str">
        <f>IFERROR(__xludf.DUMMYFUNCTION("JOIN(""-"",""app"",SPLIT(LOWER( C220),"" ""))"),"app-please-authenticate-with-google-drive-to-select-files")</f>
        <v>app-please-authenticate-with-google-drive-to-select-files</v>
      </c>
      <c r="C220" s="106" t="s">
        <v>2975</v>
      </c>
      <c r="D220" s="106" t="s">
        <v>2976</v>
      </c>
      <c r="E220" s="93" t="s">
        <v>2977</v>
      </c>
    </row>
    <row r="221">
      <c r="A221" s="108" t="str">
        <f>IFERROR(__xludf.DUMMYFUNCTION("JOIN(""-"",""app"",SPLIT(LOWER( C221),"" ""))"),"app-connect-to-google-drive")</f>
        <v>app-connect-to-google-drive</v>
      </c>
      <c r="C221" s="106" t="s">
        <v>2978</v>
      </c>
      <c r="D221" s="106" t="s">
        <v>2979</v>
      </c>
      <c r="E221" s="93" t="s">
        <v>2980</v>
      </c>
    </row>
    <row r="222">
      <c r="A222" s="108" t="str">
        <f>IFERROR(__xludf.DUMMYFUNCTION("JOIN(""-"",""app"",SPLIT(LOWER( C222),"" ""))"),"app-filter")</f>
        <v>app-filter</v>
      </c>
      <c r="B222" s="103" t="s">
        <v>2981</v>
      </c>
      <c r="C222" s="106" t="s">
        <v>2982</v>
      </c>
      <c r="D222" s="106" t="s">
        <v>2983</v>
      </c>
      <c r="E222" s="93" t="s">
        <v>2984</v>
      </c>
    </row>
    <row r="223">
      <c r="A223" s="108" t="str">
        <f>IFERROR(__xludf.DUMMYFUNCTION("JOIN(""-"",""app"",SPLIT(LOWER( C223),"" ""))"),"app-log-out")</f>
        <v>app-log-out</v>
      </c>
      <c r="C223" s="106" t="s">
        <v>2985</v>
      </c>
      <c r="D223" s="106" t="s">
        <v>2318</v>
      </c>
      <c r="E223" s="93" t="s">
        <v>2986</v>
      </c>
    </row>
    <row r="224">
      <c r="A224" s="108" t="str">
        <f>IFERROR(__xludf.DUMMYFUNCTION("JOIN(""-"",""app"",SPLIT(LOWER( C224),"" ""))"),"app-select")</f>
        <v>app-select</v>
      </c>
      <c r="B224" s="103" t="s">
        <v>2987</v>
      </c>
      <c r="C224" s="106" t="s">
        <v>971</v>
      </c>
      <c r="D224" s="106" t="s">
        <v>972</v>
      </c>
      <c r="E224" s="93" t="s">
        <v>2988</v>
      </c>
    </row>
    <row r="225">
      <c r="A225" s="129" t="s">
        <v>268</v>
      </c>
      <c r="C225" s="106" t="s">
        <v>269</v>
      </c>
      <c r="D225" s="106" t="s">
        <v>270</v>
      </c>
      <c r="E225" s="93" t="s">
        <v>2946</v>
      </c>
    </row>
    <row r="226">
      <c r="A226" s="129" t="s">
        <v>268</v>
      </c>
      <c r="B226" s="103" t="s">
        <v>2989</v>
      </c>
      <c r="C226" s="106" t="s">
        <v>269</v>
      </c>
      <c r="D226" s="106" t="s">
        <v>270</v>
      </c>
      <c r="E226" s="93" t="s">
        <v>2946</v>
      </c>
    </row>
    <row r="227">
      <c r="A227" s="108" t="str">
        <f>IFERROR(__xludf.DUMMYFUNCTION("JOIN(""-"",""app"",SPLIT(LOWER( C227),"" ""))"),"app-1-file-selected")</f>
        <v>app-1-file-selected</v>
      </c>
      <c r="C227" s="106" t="s">
        <v>2947</v>
      </c>
      <c r="D227" s="106" t="s">
        <v>2948</v>
      </c>
      <c r="E227" s="93" t="s">
        <v>2949</v>
      </c>
    </row>
    <row r="228">
      <c r="A228" s="108" t="str">
        <f>IFERROR(__xludf.DUMMYFUNCTION("JOIN(""-"",""app"",SPLIT(LOWER( C228),"" ""))"),"app-add-more")</f>
        <v>app-add-more</v>
      </c>
      <c r="C228" s="106" t="s">
        <v>2950</v>
      </c>
      <c r="D228" s="106" t="s">
        <v>2951</v>
      </c>
      <c r="E228" s="93" t="s">
        <v>2952</v>
      </c>
    </row>
    <row r="229">
      <c r="A229" s="108" t="str">
        <f>IFERROR(__xludf.DUMMYFUNCTION("JOIN(""-"",""app"",SPLIT(LOWER( C229),"" ""))"),"app-close-modal")</f>
        <v>app-close-modal</v>
      </c>
      <c r="C229" s="106" t="s">
        <v>2953</v>
      </c>
      <c r="D229" s="106" t="s">
        <v>1469</v>
      </c>
      <c r="E229" s="93" t="s">
        <v>2954</v>
      </c>
    </row>
    <row r="230">
      <c r="A230" s="108" t="str">
        <f>IFERROR(__xludf.DUMMYFUNCTION("JOIN(""-"",""app"",SPLIT(LOWER( C230),"" ""))"),"app-remove-file")</f>
        <v>app-remove-file</v>
      </c>
      <c r="C230" s="106" t="s">
        <v>2955</v>
      </c>
      <c r="D230" s="106" t="s">
        <v>2956</v>
      </c>
      <c r="E230" s="93" t="s">
        <v>2957</v>
      </c>
    </row>
    <row r="231">
      <c r="A231" s="108" t="str">
        <f>IFERROR(__xludf.DUMMYFUNCTION("JOIN(""-"",""app"",SPLIT(LOWER( C231),"" ""))"),"app-upload-1-file")</f>
        <v>app-upload-1-file</v>
      </c>
      <c r="C231" s="106" t="s">
        <v>2958</v>
      </c>
      <c r="D231" s="106" t="s">
        <v>2959</v>
      </c>
      <c r="E231" s="93" t="s">
        <v>2990</v>
      </c>
    </row>
    <row r="232">
      <c r="A232" s="108" t="str">
        <f>IFERROR(__xludf.DUMMYFUNCTION("JOIN(""-"",""app"",SPLIT(LOWER( C232),"" ""))"),"app-uploading-1-file")</f>
        <v>app-uploading-1-file</v>
      </c>
      <c r="B232" s="103" t="s">
        <v>2991</v>
      </c>
      <c r="C232" s="106" t="s">
        <v>2962</v>
      </c>
      <c r="D232" s="106" t="s">
        <v>2963</v>
      </c>
      <c r="E232" s="93" t="s">
        <v>2964</v>
      </c>
    </row>
    <row r="233">
      <c r="A233" s="108" t="str">
        <f>IFERROR(__xludf.DUMMYFUNCTION("JOIN(""-"",""app"",SPLIT(LOWER( C233),"" ""))"),"app-uploading")</f>
        <v>app-uploading</v>
      </c>
      <c r="C233" s="106" t="s">
        <v>2965</v>
      </c>
      <c r="D233" s="106" t="s">
        <v>1522</v>
      </c>
      <c r="E233" s="93" t="s">
        <v>2966</v>
      </c>
    </row>
    <row r="234">
      <c r="A234" s="108" t="str">
        <f>IFERROR(__xludf.DUMMYFUNCTION("JOIN(""-"",""app"",SPLIT(LOWER( C234),"" ""))"),"app-import-from-onedrive")</f>
        <v>app-import-from-onedrive</v>
      </c>
      <c r="B234" s="103" t="s">
        <v>2992</v>
      </c>
      <c r="C234" s="106" t="s">
        <v>2993</v>
      </c>
      <c r="D234" s="106" t="s">
        <v>2994</v>
      </c>
      <c r="E234" s="93" t="s">
        <v>2995</v>
      </c>
    </row>
    <row r="235">
      <c r="A235" s="108" t="str">
        <f>IFERROR(__xludf.DUMMYFUNCTION("JOIN(""-"",""app"",SPLIT(LOWER( C235),"" ""))"),"app-done")</f>
        <v>app-done</v>
      </c>
      <c r="C235" s="106" t="s">
        <v>2939</v>
      </c>
      <c r="D235" s="106" t="s">
        <v>2940</v>
      </c>
      <c r="E235" s="93" t="s">
        <v>2941</v>
      </c>
    </row>
    <row r="236">
      <c r="A236" s="108" t="str">
        <f>IFERROR(__xludf.DUMMYFUNCTION("JOIN(""-"",""app"",SPLIT(LOWER( C236),"" ""))"),"app-loading")</f>
        <v>app-loading</v>
      </c>
      <c r="C236" s="106" t="s">
        <v>1521</v>
      </c>
      <c r="D236" s="106" t="s">
        <v>1522</v>
      </c>
      <c r="E236" s="93" t="s">
        <v>2973</v>
      </c>
    </row>
    <row r="237">
      <c r="A237" s="108" t="str">
        <f>IFERROR(__xludf.DUMMYFUNCTION("JOIN(""-"",""app"",SPLIT(LOWER( C237),"" ""))"),"app-close-modal")</f>
        <v>app-close-modal</v>
      </c>
      <c r="B237" s="103" t="s">
        <v>2996</v>
      </c>
      <c r="C237" s="106" t="s">
        <v>2953</v>
      </c>
      <c r="D237" s="106" t="s">
        <v>1469</v>
      </c>
      <c r="E237" s="93" t="s">
        <v>2954</v>
      </c>
    </row>
    <row r="238">
      <c r="A238" s="108" t="str">
        <f>IFERROR(__xludf.DUMMYFUNCTION("JOIN(""-"",""app"",SPLIT(LOWER( C238),"" ""))"),"app-please-authenticate-with-onedrive-to-select-files")</f>
        <v>app-please-authenticate-with-onedrive-to-select-files</v>
      </c>
      <c r="C238" s="106" t="s">
        <v>2997</v>
      </c>
      <c r="D238" s="106" t="s">
        <v>2998</v>
      </c>
      <c r="E238" s="93" t="s">
        <v>2999</v>
      </c>
    </row>
    <row r="239">
      <c r="A239" s="108" t="str">
        <f>IFERROR(__xludf.DUMMYFUNCTION("JOIN(""-"",""app"",SPLIT(LOWER( C239),"" ""))"),"app-connect-to-onedrive")</f>
        <v>app-connect-to-onedrive</v>
      </c>
      <c r="C239" s="106" t="s">
        <v>3000</v>
      </c>
      <c r="D239" s="106" t="s">
        <v>3001</v>
      </c>
      <c r="E239" s="93" t="s">
        <v>3002</v>
      </c>
    </row>
    <row r="240">
      <c r="A240" s="108" t="str">
        <f>IFERROR(__xludf.DUMMYFUNCTION("JOIN(""-"",""app"",SPLIT(LOWER( C240),"" ""))"),"app-import-from-dropbox")</f>
        <v>app-import-from-dropbox</v>
      </c>
      <c r="B240" s="103" t="s">
        <v>3003</v>
      </c>
      <c r="C240" s="106" t="s">
        <v>3004</v>
      </c>
      <c r="D240" s="106" t="s">
        <v>3005</v>
      </c>
      <c r="E240" s="93" t="s">
        <v>3006</v>
      </c>
    </row>
    <row r="241">
      <c r="A241" s="108" t="str">
        <f>IFERROR(__xludf.DUMMYFUNCTION("JOIN(""-"",""app"",SPLIT(LOWER( C241),"" ""))"),"app-done")</f>
        <v>app-done</v>
      </c>
      <c r="C241" s="106" t="s">
        <v>2939</v>
      </c>
      <c r="D241" s="106" t="s">
        <v>2940</v>
      </c>
      <c r="E241" s="93" t="s">
        <v>2941</v>
      </c>
    </row>
    <row r="242">
      <c r="A242" s="108" t="str">
        <f>IFERROR(__xludf.DUMMYFUNCTION("JOIN(""-"",""app"",SPLIT(LOWER( C242),"" ""))"),"app-loading")</f>
        <v>app-loading</v>
      </c>
      <c r="C242" s="106" t="s">
        <v>1521</v>
      </c>
      <c r="D242" s="106" t="s">
        <v>1522</v>
      </c>
      <c r="E242" s="93" t="s">
        <v>2973</v>
      </c>
    </row>
    <row r="243">
      <c r="A243" s="108" t="str">
        <f>IFERROR(__xludf.DUMMYFUNCTION("JOIN(""-"",""app"",SPLIT(LOWER( C243),"" ""))"),"app-close-modal")</f>
        <v>app-close-modal</v>
      </c>
      <c r="B243" s="103" t="s">
        <v>3007</v>
      </c>
      <c r="C243" s="106" t="s">
        <v>2953</v>
      </c>
      <c r="D243" s="106" t="s">
        <v>1469</v>
      </c>
      <c r="E243" s="93" t="s">
        <v>2954</v>
      </c>
    </row>
    <row r="244">
      <c r="A244" s="108" t="str">
        <f>IFERROR(__xludf.DUMMYFUNCTION("JOIN(""-"",""app"",SPLIT(LOWER( C244),"" ""))"),"app-please-authenticate-with-dropbox-to-select-files")</f>
        <v>app-please-authenticate-with-dropbox-to-select-files</v>
      </c>
      <c r="C244" s="106" t="s">
        <v>3008</v>
      </c>
      <c r="D244" s="106" t="s">
        <v>3009</v>
      </c>
      <c r="E244" s="93" t="s">
        <v>3010</v>
      </c>
    </row>
    <row r="245">
      <c r="A245" s="108" t="str">
        <f>IFERROR(__xludf.DUMMYFUNCTION("JOIN(""-"",""app"",SPLIT(LOWER( C245),"" ""))"),"app-connect-to-dropbox")</f>
        <v>app-connect-to-dropbox</v>
      </c>
      <c r="C245" s="106" t="s">
        <v>3011</v>
      </c>
      <c r="D245" s="106" t="s">
        <v>3012</v>
      </c>
      <c r="E245" s="93" t="s">
        <v>3013</v>
      </c>
    </row>
    <row r="246">
      <c r="A246" s="108" t="str">
        <f>IFERROR(__xludf.DUMMYFUNCTION("JOIN(""-"",""app"",SPLIT(LOWER( C246),"" ""))"),"app-done")</f>
        <v>app-done</v>
      </c>
      <c r="B246" s="103" t="s">
        <v>3014</v>
      </c>
      <c r="C246" s="106" t="s">
        <v>2939</v>
      </c>
      <c r="D246" s="106" t="s">
        <v>2940</v>
      </c>
      <c r="E246" s="93" t="s">
        <v>2941</v>
      </c>
    </row>
    <row r="247">
      <c r="A247" s="108" t="str">
        <f>IFERROR(__xludf.DUMMYFUNCTION("JOIN(""-"",""app"",SPLIT(LOWER( C247),"" ""))"),"app-import-from-camera")</f>
        <v>app-import-from-camera</v>
      </c>
      <c r="C247" s="106" t="s">
        <v>3015</v>
      </c>
      <c r="D247" s="106" t="s">
        <v>3016</v>
      </c>
      <c r="E247" s="93" t="s">
        <v>3017</v>
      </c>
    </row>
    <row r="248">
      <c r="A248" s="108" t="str">
        <f>IFERROR(__xludf.DUMMYFUNCTION("JOIN(""-"",""app"",SPLIT(LOWER( C248),"" ""))"),"app-close-modal")</f>
        <v>app-close-modal</v>
      </c>
      <c r="C248" s="106" t="s">
        <v>2953</v>
      </c>
      <c r="D248" s="106" t="s">
        <v>1469</v>
      </c>
      <c r="E248" s="93" t="s">
        <v>2954</v>
      </c>
    </row>
    <row r="249">
      <c r="A249" s="108" t="str">
        <f>IFERROR(__xludf.DUMMYFUNCTION("JOIN(""-"",""app"",SPLIT(LOWER( C249),"" ""))"),"app-please-allow-access-to-your-camera")</f>
        <v>app-please-allow-access-to-your-camera</v>
      </c>
      <c r="C249" s="106" t="s">
        <v>1120</v>
      </c>
      <c r="D249" s="106" t="s">
        <v>1121</v>
      </c>
      <c r="E249" s="93" t="s">
        <v>3018</v>
      </c>
    </row>
    <row r="250">
      <c r="A250" s="108" t="str">
        <f>IFERROR(__xludf.DUMMYFUNCTION("JOIN(""-"",""app"",SPLIT(LOWER( C250),"" ""))"),"app-in-order-to-take-pictures-or-record-video-with-your-camera,-please-allow-camera-access-for-this-site.")</f>
        <v>app-in-order-to-take-pictures-or-record-video-with-your-camera,-please-allow-camera-access-for-this-site.</v>
      </c>
      <c r="C250" s="106" t="s">
        <v>1122</v>
      </c>
      <c r="D250" s="106" t="s">
        <v>1123</v>
      </c>
      <c r="E250" s="93" t="s">
        <v>3019</v>
      </c>
    </row>
    <row r="251">
      <c r="A251" s="108" t="str">
        <f>IFERROR(__xludf.DUMMYFUNCTION("JOIN(""-"",""app"",SPLIT(LOWER( C251),"" ""))"),"app-take-a-picture")</f>
        <v>app-take-a-picture</v>
      </c>
      <c r="B251" s="128" t="s">
        <v>3020</v>
      </c>
      <c r="C251" s="106" t="s">
        <v>3021</v>
      </c>
      <c r="D251" s="106" t="s">
        <v>3022</v>
      </c>
      <c r="E251" s="93" t="s">
        <v>3023</v>
      </c>
    </row>
    <row r="252">
      <c r="A252" s="108" t="str">
        <f>IFERROR(__xludf.DUMMYFUNCTION("JOIN(""-"",""app"",SPLIT(LOWER( C252),"" ""))"),"app-begin-video-recording")</f>
        <v>app-begin-video-recording</v>
      </c>
      <c r="B252" s="128" t="s">
        <v>3024</v>
      </c>
      <c r="C252" s="106" t="s">
        <v>3025</v>
      </c>
      <c r="D252" s="106" t="s">
        <v>3026</v>
      </c>
      <c r="E252" s="93" t="s">
        <v>3027</v>
      </c>
    </row>
    <row r="253">
      <c r="A253" s="129" t="s">
        <v>268</v>
      </c>
      <c r="B253" s="103" t="s">
        <v>3028</v>
      </c>
      <c r="C253" s="106" t="s">
        <v>269</v>
      </c>
      <c r="D253" s="106" t="s">
        <v>270</v>
      </c>
      <c r="E253" s="93" t="s">
        <v>2946</v>
      </c>
    </row>
    <row r="254">
      <c r="A254" s="108" t="str">
        <f>IFERROR(__xludf.DUMMYFUNCTION("JOIN(""-"",""app"",SPLIT(LOWER( C254),"" ""))"),"app-1-file-selected")</f>
        <v>app-1-file-selected</v>
      </c>
      <c r="C254" s="106" t="s">
        <v>2947</v>
      </c>
      <c r="D254" s="106" t="s">
        <v>2948</v>
      </c>
      <c r="E254" s="93" t="s">
        <v>2949</v>
      </c>
    </row>
    <row r="255">
      <c r="A255" s="108" t="str">
        <f>IFERROR(__xludf.DUMMYFUNCTION("JOIN(""-"",""app"",SPLIT(LOWER( C255),"" ""))"),"app-add-more")</f>
        <v>app-add-more</v>
      </c>
      <c r="C255" s="106" t="s">
        <v>2950</v>
      </c>
      <c r="D255" s="106" t="s">
        <v>2951</v>
      </c>
      <c r="E255" s="93" t="s">
        <v>2952</v>
      </c>
    </row>
    <row r="256">
      <c r="A256" s="108" t="str">
        <f>IFERROR(__xludf.DUMMYFUNCTION("JOIN(""-"",""app"",SPLIT(LOWER( C256),"" ""))"),"app-close-modal")</f>
        <v>app-close-modal</v>
      </c>
      <c r="C256" s="106" t="s">
        <v>2953</v>
      </c>
      <c r="D256" s="106" t="s">
        <v>1469</v>
      </c>
      <c r="E256" s="93" t="s">
        <v>2954</v>
      </c>
    </row>
    <row r="257">
      <c r="A257" s="108" t="str">
        <f>IFERROR(__xludf.DUMMYFUNCTION("JOIN(""-"",""app"",SPLIT(LOWER( C257),"" ""))"),"app-remove-file")</f>
        <v>app-remove-file</v>
      </c>
      <c r="C257" s="106" t="s">
        <v>2955</v>
      </c>
      <c r="D257" s="106" t="s">
        <v>2956</v>
      </c>
      <c r="E257" s="93" t="s">
        <v>2957</v>
      </c>
    </row>
    <row r="258">
      <c r="A258" s="108" t="str">
        <f>IFERROR(__xludf.DUMMYFUNCTION("JOIN(""-"",""app"",SPLIT(LOWER( C258),"" ""))"),"app-upload-1-file")</f>
        <v>app-upload-1-file</v>
      </c>
      <c r="C258" s="106" t="s">
        <v>2958</v>
      </c>
      <c r="D258" s="106" t="s">
        <v>2959</v>
      </c>
      <c r="E258" s="93" t="s">
        <v>2990</v>
      </c>
    </row>
    <row r="259">
      <c r="A259" s="108" t="str">
        <f>IFERROR(__xludf.DUMMYFUNCTION("JOIN(""-"",""app"",SPLIT(LOWER( C259),"" ""))"),"app-uploading-1-file")</f>
        <v>app-uploading-1-file</v>
      </c>
      <c r="B259" s="103" t="s">
        <v>3029</v>
      </c>
      <c r="C259" s="106" t="s">
        <v>2962</v>
      </c>
      <c r="D259" s="106" t="s">
        <v>2963</v>
      </c>
      <c r="E259" s="93" t="s">
        <v>2964</v>
      </c>
    </row>
    <row r="260">
      <c r="A260" s="108" t="str">
        <f>IFERROR(__xludf.DUMMYFUNCTION("JOIN(""-"",""app"",SPLIT(LOWER( C260),"" ""))"),"app-uploading")</f>
        <v>app-uploading</v>
      </c>
      <c r="C260" s="106" t="s">
        <v>2965</v>
      </c>
      <c r="D260" s="106" t="s">
        <v>1522</v>
      </c>
      <c r="E260" s="93" t="s">
        <v>2966</v>
      </c>
    </row>
    <row r="261">
      <c r="A261" s="108" t="str">
        <f>IFERROR(__xludf.DUMMYFUNCTION("JOIN(""-"",""app"",SPLIT(LOWER( C261),"" ""))"),"app-upload-failed")</f>
        <v>app-upload-failed</v>
      </c>
      <c r="B261" s="103" t="s">
        <v>3030</v>
      </c>
      <c r="C261" s="106" t="s">
        <v>3031</v>
      </c>
      <c r="D261" s="106" t="s">
        <v>3032</v>
      </c>
      <c r="E261" s="93" t="s">
        <v>3033</v>
      </c>
    </row>
    <row r="262">
      <c r="A262" s="108" t="str">
        <f>IFERROR(__xludf.DUMMYFUNCTION("JOIN(""-"",""app"",SPLIT(LOWER( C262),"" ""))"),"app-retry")</f>
        <v>app-retry</v>
      </c>
      <c r="C262" s="106" t="s">
        <v>800</v>
      </c>
      <c r="D262" s="106" t="s">
        <v>801</v>
      </c>
      <c r="E262" s="93" t="s">
        <v>2924</v>
      </c>
    </row>
    <row r="263">
      <c r="A263" s="108" t="str">
        <f>IFERROR(__xludf.DUMMYFUNCTION("JOIN(""-"",""app"",SPLIT(LOWER( C263),"" ""))"),"app-failed-to-upload")</f>
        <v>app-failed-to-upload</v>
      </c>
      <c r="C263" s="106" t="s">
        <v>3034</v>
      </c>
      <c r="D263" s="106" t="s">
        <v>3035</v>
      </c>
      <c r="E263" s="93" t="s">
        <v>3033</v>
      </c>
    </row>
    <row r="264">
      <c r="A264" s="108" t="str">
        <f>IFERROR(__xludf.DUMMYFUNCTION("JOIN(""-"",""app"",SPLIT(LOWER( C264),"" ""))"),"app-done")</f>
        <v>app-done</v>
      </c>
      <c r="B264" s="103" t="s">
        <v>3036</v>
      </c>
      <c r="C264" s="106" t="s">
        <v>2939</v>
      </c>
      <c r="D264" s="106" t="s">
        <v>2940</v>
      </c>
      <c r="E264" s="93" t="s">
        <v>2941</v>
      </c>
    </row>
    <row r="265">
      <c r="A265" s="108" t="str">
        <f>IFERROR(__xludf.DUMMYFUNCTION("JOIN(""-"",""app"",SPLIT(LOWER( C265),"" ""))"),"app-import-from-screencast")</f>
        <v>app-import-from-screencast</v>
      </c>
      <c r="C265" s="106" t="s">
        <v>3037</v>
      </c>
      <c r="D265" s="106" t="s">
        <v>3038</v>
      </c>
      <c r="E265" s="93" t="s">
        <v>3039</v>
      </c>
    </row>
    <row r="266">
      <c r="A266" s="108" t="str">
        <f>IFERROR(__xludf.DUMMYFUNCTION("JOIN(""-"",""app"",SPLIT(LOWER( C266),"" ""))"),"app-close-modal")</f>
        <v>app-close-modal</v>
      </c>
      <c r="C266" s="106" t="s">
        <v>2953</v>
      </c>
      <c r="D266" s="106" t="s">
        <v>1469</v>
      </c>
      <c r="E266" s="93" t="s">
        <v>2954</v>
      </c>
    </row>
    <row r="267">
      <c r="A267" s="108" t="str">
        <f>IFERROR(__xludf.DUMMYFUNCTION("JOIN(""-"",""app"",SPLIT(LOWER( C267),"" ""))"),"app-stream-active")</f>
        <v>app-stream-active</v>
      </c>
      <c r="B267" s="128" t="s">
        <v>3040</v>
      </c>
      <c r="C267" s="106" t="s">
        <v>3041</v>
      </c>
      <c r="D267" s="106" t="s">
        <v>3042</v>
      </c>
      <c r="E267" s="93" t="s">
        <v>3043</v>
      </c>
    </row>
    <row r="268">
      <c r="A268" s="108" t="str">
        <f>IFERROR(__xludf.DUMMYFUNCTION("JOIN(""-"",""app"",SPLIT(LOWER( C268),"" ""))"),"app-begin-screen-capturing")</f>
        <v>app-begin-screen-capturing</v>
      </c>
      <c r="B268" s="128" t="s">
        <v>3044</v>
      </c>
      <c r="C268" s="106" t="s">
        <v>3045</v>
      </c>
      <c r="D268" s="106" t="s">
        <v>3046</v>
      </c>
      <c r="E268" s="93" t="s">
        <v>3047</v>
      </c>
    </row>
    <row r="269">
      <c r="A269" s="108" t="str">
        <f>IFERROR(__xludf.DUMMYFUNCTION("JOIN(""-"",""app"",SPLIT(LOWER( C269),"" ""))"),"app-recording")</f>
        <v>app-recording</v>
      </c>
      <c r="B269" s="128" t="s">
        <v>3048</v>
      </c>
      <c r="C269" s="106" t="s">
        <v>3049</v>
      </c>
      <c r="D269" s="106" t="s">
        <v>3050</v>
      </c>
      <c r="E269" s="93" t="s">
        <v>3051</v>
      </c>
    </row>
    <row r="270">
      <c r="A270" s="108" t="str">
        <f>IFERROR(__xludf.DUMMYFUNCTION("JOIN(""-"",""app"",SPLIT(LOWER( C270),"" ""))"),"app-no-task-list")</f>
        <v>app-no-task-list</v>
      </c>
      <c r="B270" s="103" t="s">
        <v>3052</v>
      </c>
      <c r="C270" s="106" t="s">
        <v>3053</v>
      </c>
      <c r="D270" s="106" t="s">
        <v>3054</v>
      </c>
      <c r="E270" s="93" t="s">
        <v>3055</v>
      </c>
    </row>
    <row r="271">
      <c r="A271" s="108" t="str">
        <f>IFERROR(__xludf.DUMMYFUNCTION("JOIN(""-"",""app"",SPLIT(LOWER( C271),"" ""))"),"app-create-a-task-list-to-keep-track-of-changes.-you-could-also-create-templates-for-later.")</f>
        <v>app-create-a-task-list-to-keep-track-of-changes.-you-could-also-create-templates-for-later.</v>
      </c>
      <c r="C271" s="106" t="s">
        <v>3056</v>
      </c>
      <c r="D271" s="106" t="s">
        <v>704</v>
      </c>
      <c r="E271" s="93" t="s">
        <v>3057</v>
      </c>
    </row>
    <row r="272">
      <c r="A272" s="108" t="str">
        <f>IFERROR(__xludf.DUMMYFUNCTION("JOIN(""-"",""app"",SPLIT(LOWER( C272),"" ""))"),"app-location")</f>
        <v>app-location</v>
      </c>
      <c r="B272" s="103" t="s">
        <v>3058</v>
      </c>
      <c r="C272" s="106" t="s">
        <v>3059</v>
      </c>
      <c r="D272" s="106" t="s">
        <v>3060</v>
      </c>
      <c r="E272" s="93" t="s">
        <v>3061</v>
      </c>
    </row>
    <row r="273">
      <c r="A273" s="108" t="str">
        <f>IFERROR(__xludf.DUMMYFUNCTION("JOIN(""-"",""app"",SPLIT(LOWER( C273),"" ""))"),"app-changed-due-date")</f>
        <v>app-changed-due-date</v>
      </c>
      <c r="C273" s="106" t="s">
        <v>3062</v>
      </c>
      <c r="D273" s="106" t="s">
        <v>3063</v>
      </c>
      <c r="E273" s="93" t="s">
        <v>3064</v>
      </c>
    </row>
    <row r="274">
      <c r="A274" s="108" t="str">
        <f>IFERROR(__xludf.DUMMYFUNCTION("JOIN(""-"",""app"",SPLIT(LOWER( C274),"" ""))"),"app-to")</f>
        <v>app-to</v>
      </c>
      <c r="C274" s="106" t="s">
        <v>179</v>
      </c>
      <c r="D274" s="106" t="s">
        <v>180</v>
      </c>
      <c r="E274" s="93" t="s">
        <v>3065</v>
      </c>
    </row>
    <row r="275">
      <c r="A275" s="108" t="str">
        <f>IFERROR(__xludf.DUMMYFUNCTION("JOIN(""-"",""app"",SPLIT(LOWER( C275),"" ""))"),"app-assigned-ticket-to")</f>
        <v>app-assigned-ticket-to</v>
      </c>
      <c r="C275" s="106" t="s">
        <v>169</v>
      </c>
      <c r="D275" s="106" t="s">
        <v>3066</v>
      </c>
      <c r="E275" s="93" t="s">
        <v>3067</v>
      </c>
    </row>
    <row r="276">
      <c r="A276" s="108" t="str">
        <f>IFERROR(__xludf.DUMMYFUNCTION("JOIN(""-"",""app"",SPLIT(LOWER( C276),"" ""))"),"app-added-attachment")</f>
        <v>app-added-attachment</v>
      </c>
      <c r="B276" s="103" t="s">
        <v>3068</v>
      </c>
      <c r="C276" s="106" t="s">
        <v>172</v>
      </c>
      <c r="D276" s="106" t="s">
        <v>173</v>
      </c>
      <c r="E276" s="93" t="s">
        <v>3069</v>
      </c>
    </row>
    <row r="277">
      <c r="A277" s="108" t="str">
        <f>IFERROR(__xludf.DUMMYFUNCTION("JOIN(""-"",""app"",SPLIT(LOWER( C277),"" ""))"),"app-attachment-added")</f>
        <v>app-attachment-added</v>
      </c>
      <c r="C277" s="106" t="s">
        <v>3070</v>
      </c>
      <c r="D277" s="106" t="s">
        <v>196</v>
      </c>
      <c r="E277" s="93" t="s">
        <v>3069</v>
      </c>
    </row>
    <row r="278">
      <c r="A278" s="108" t="str">
        <f>IFERROR(__xludf.DUMMYFUNCTION("JOIN(""-"",""app"",SPLIT(LOWER( C278),"" ""))"),"app-deleted-attachment")</f>
        <v>app-deleted-attachment</v>
      </c>
      <c r="B278" s="103" t="s">
        <v>3071</v>
      </c>
      <c r="C278" s="106" t="s">
        <v>3072</v>
      </c>
      <c r="D278" s="106" t="s">
        <v>3073</v>
      </c>
      <c r="E278" s="93" t="s">
        <v>3074</v>
      </c>
    </row>
    <row r="279">
      <c r="A279" s="108" t="str">
        <f>IFERROR(__xludf.DUMMYFUNCTION("JOIN(""-"",""app"",SPLIT(LOWER( C279),"" ""))"),"app-deleted-1-attachment")</f>
        <v>app-deleted-1-attachment</v>
      </c>
      <c r="C279" s="106" t="s">
        <v>3075</v>
      </c>
      <c r="D279" s="106" t="s">
        <v>3076</v>
      </c>
      <c r="E279" s="93" t="s">
        <v>3077</v>
      </c>
    </row>
    <row r="280">
      <c r="A280" s="108" t="str">
        <f>IFERROR(__xludf.DUMMYFUNCTION("JOIN(""-"",""app"",SPLIT(LOWER( C280),"" ""))"),"app-new-checklist")</f>
        <v>app-new-checklist</v>
      </c>
      <c r="B280" s="128" t="s">
        <v>3078</v>
      </c>
      <c r="C280" s="106" t="s">
        <v>3079</v>
      </c>
      <c r="D280" s="106" t="s">
        <v>3080</v>
      </c>
      <c r="E280" s="93" t="s">
        <v>3081</v>
      </c>
    </row>
    <row r="281">
      <c r="A281" s="108" t="str">
        <f>IFERROR(__xludf.DUMMYFUNCTION("JOIN(""-"",""app"",SPLIT(LOWER( C281),"" ""))"),"app-task-list")</f>
        <v>app-task-list</v>
      </c>
      <c r="B281" s="103" t="s">
        <v>3082</v>
      </c>
      <c r="C281" s="106" t="s">
        <v>3083</v>
      </c>
      <c r="D281" s="106" t="s">
        <v>3084</v>
      </c>
      <c r="E281" s="93" t="s">
        <v>3085</v>
      </c>
    </row>
    <row r="282">
      <c r="A282" s="108" t="str">
        <f>IFERROR(__xludf.DUMMYFUNCTION("JOIN(""-"",""app"",SPLIT(LOWER( C282),"" ""))"),"app-checklist")</f>
        <v>app-checklist</v>
      </c>
      <c r="C282" s="106" t="s">
        <v>1633</v>
      </c>
      <c r="D282" s="106" t="s">
        <v>1634</v>
      </c>
      <c r="E282" s="93" t="s">
        <v>3086</v>
      </c>
    </row>
    <row r="283">
      <c r="A283" s="108" t="str">
        <f>IFERROR(__xludf.DUMMYFUNCTION("JOIN(""-"",""app"",SPLIT(LOWER( C283),"" ""))"),"app-create-new-task")</f>
        <v>app-create-new-task</v>
      </c>
      <c r="C283" s="106" t="s">
        <v>1265</v>
      </c>
      <c r="D283" s="106" t="s">
        <v>1266</v>
      </c>
      <c r="E283" s="93" t="s">
        <v>3087</v>
      </c>
    </row>
    <row r="284">
      <c r="A284" s="129" t="s">
        <v>524</v>
      </c>
      <c r="C284" s="106" t="s">
        <v>146</v>
      </c>
      <c r="D284" s="106" t="s">
        <v>147</v>
      </c>
      <c r="E284" s="93" t="s">
        <v>3088</v>
      </c>
    </row>
    <row r="285">
      <c r="A285" s="108" t="str">
        <f>IFERROR(__xludf.DUMMYFUNCTION("JOIN(""-"",""app"",SPLIT(LOWER( C285),"" ""))"),"app-add-notes-here")</f>
        <v>app-add-notes-here</v>
      </c>
      <c r="B285" s="128" t="s">
        <v>3089</v>
      </c>
      <c r="C285" s="106" t="s">
        <v>287</v>
      </c>
      <c r="D285" s="106" t="s">
        <v>288</v>
      </c>
      <c r="E285" s="93" t="s">
        <v>3090</v>
      </c>
    </row>
    <row r="286">
      <c r="A286" s="129" t="s">
        <v>300</v>
      </c>
      <c r="B286" s="128" t="s">
        <v>301</v>
      </c>
      <c r="C286" s="106" t="s">
        <v>302</v>
      </c>
      <c r="D286" s="106" t="s">
        <v>303</v>
      </c>
      <c r="E286" s="93" t="s">
        <v>3091</v>
      </c>
    </row>
    <row r="287">
      <c r="A287" s="129" t="s">
        <v>304</v>
      </c>
      <c r="B287" s="128" t="s">
        <v>305</v>
      </c>
      <c r="C287" s="106" t="s">
        <v>306</v>
      </c>
      <c r="D287" s="106" t="s">
        <v>307</v>
      </c>
      <c r="E287" s="93" t="s">
        <v>3092</v>
      </c>
    </row>
    <row r="288">
      <c r="A288" s="108" t="str">
        <f>IFERROR(__xludf.DUMMYFUNCTION("JOIN(""-"",""app"",SPLIT(LOWER( C288),"" ""))"),"app-on-hold")</f>
        <v>app-on-hold</v>
      </c>
      <c r="B288" s="128" t="s">
        <v>309</v>
      </c>
      <c r="C288" s="106" t="s">
        <v>310</v>
      </c>
      <c r="D288" s="106" t="s">
        <v>311</v>
      </c>
      <c r="E288" s="93" t="s">
        <v>3093</v>
      </c>
    </row>
    <row r="289">
      <c r="A289" s="129" t="s">
        <v>185</v>
      </c>
      <c r="B289" s="128" t="s">
        <v>312</v>
      </c>
      <c r="C289" s="106" t="s">
        <v>186</v>
      </c>
      <c r="D289" s="106" t="s">
        <v>187</v>
      </c>
      <c r="E289" s="93" t="s">
        <v>3094</v>
      </c>
    </row>
    <row r="290">
      <c r="A290" s="108" t="str">
        <f>IFERROR(__xludf.DUMMYFUNCTION("JOIN(""-"",""app"",SPLIT(LOWER( C290),"" ""))"),"app-add-task")</f>
        <v>app-add-task</v>
      </c>
      <c r="B290" s="128" t="s">
        <v>3095</v>
      </c>
      <c r="C290" s="106" t="s">
        <v>3096</v>
      </c>
      <c r="D290" s="106" t="s">
        <v>3097</v>
      </c>
      <c r="E290" s="93" t="s">
        <v>3098</v>
      </c>
    </row>
    <row r="291">
      <c r="A291" s="108" t="str">
        <f>IFERROR(__xludf.DUMMYFUNCTION("JOIN(""-"",""app"",SPLIT(LOWER( C291),"" ""))"),"app-edit-name")</f>
        <v>app-edit-name</v>
      </c>
      <c r="B291" s="128" t="s">
        <v>3099</v>
      </c>
      <c r="C291" s="106" t="s">
        <v>251</v>
      </c>
      <c r="D291" s="106" t="s">
        <v>3100</v>
      </c>
      <c r="E291" s="93" t="s">
        <v>3101</v>
      </c>
    </row>
    <row r="292">
      <c r="A292" s="108" t="str">
        <f>IFERROR(__xludf.DUMMYFUNCTION("JOIN(""-"",""app"",SPLIT(LOWER( C292),"" ""))"),"app-duplicate-checklist")</f>
        <v>app-duplicate-checklist</v>
      </c>
      <c r="B292" s="128" t="s">
        <v>3102</v>
      </c>
      <c r="C292" s="106" t="s">
        <v>255</v>
      </c>
      <c r="D292" s="106" t="s">
        <v>256</v>
      </c>
      <c r="E292" s="93" t="s">
        <v>3103</v>
      </c>
    </row>
    <row r="293">
      <c r="A293" s="108" t="str">
        <f>IFERROR(__xludf.DUMMYFUNCTION("JOIN(""-"",""app"",SPLIT(LOWER( C293),"" ""))"),"app-checklist-duplicated")</f>
        <v>app-checklist-duplicated</v>
      </c>
      <c r="B293" s="128" t="s">
        <v>3104</v>
      </c>
      <c r="C293" s="106" t="s">
        <v>291</v>
      </c>
      <c r="D293" s="106" t="s">
        <v>292</v>
      </c>
      <c r="E293" s="93" t="s">
        <v>3105</v>
      </c>
    </row>
    <row r="294">
      <c r="A294" s="129" t="s">
        <v>1951</v>
      </c>
      <c r="B294" s="128" t="s">
        <v>3106</v>
      </c>
      <c r="C294" s="106" t="s">
        <v>259</v>
      </c>
      <c r="D294" s="106" t="s">
        <v>260</v>
      </c>
      <c r="E294" s="46" t="str">
        <f>IFERROR(__xludf.DUMMYFUNCTION("IFERROR(VLOOKUP(C294,IMPORTRANGE(""https://docs.google.com/spreadsheets/d/1SQRLoxD_LXfQNfB7NOxI5jlxbkDlcNPwla_2gSTySP8/edit#gid=274515254"",""Terra!$C$2:$D$151""),2,0),0)"),"削除")</f>
        <v>削除</v>
      </c>
    </row>
    <row r="295">
      <c r="A295" s="108" t="str">
        <f>IFERROR(__xludf.DUMMYFUNCTION("JOIN(""-"",""app"",SPLIT(LOWER( C295),"" ""))"),"app-checklist")</f>
        <v>app-checklist</v>
      </c>
      <c r="B295" s="103" t="s">
        <v>3107</v>
      </c>
      <c r="C295" s="106" t="s">
        <v>1633</v>
      </c>
      <c r="D295" s="106" t="s">
        <v>1634</v>
      </c>
      <c r="E295" s="93" t="s">
        <v>3086</v>
      </c>
    </row>
    <row r="296">
      <c r="A296" s="108" t="str">
        <f>IFERROR(__xludf.DUMMYFUNCTION("JOIN(""-"",""app"",SPLIT(LOWER( C296),"" ""))"),"app-are-you-sure-you-want-to-delete-checklist?")</f>
        <v>app-are-you-sure-you-want-to-delete-checklist?</v>
      </c>
      <c r="C296" s="106" t="s">
        <v>3108</v>
      </c>
      <c r="D296" s="106" t="s">
        <v>3109</v>
      </c>
      <c r="E296" s="93" t="s">
        <v>3110</v>
      </c>
    </row>
    <row r="297">
      <c r="A297" s="108" t="str">
        <f>IFERROR(__xludf.DUMMYFUNCTION("JOIN(""-"",""app"",SPLIT(LOWER( C297),"" ""))"),"app-assign-all-to")</f>
        <v>app-assign-all-to</v>
      </c>
      <c r="B297" s="128" t="s">
        <v>3111</v>
      </c>
      <c r="C297" s="106" t="s">
        <v>234</v>
      </c>
      <c r="D297" s="106" t="s">
        <v>3112</v>
      </c>
      <c r="E297" s="93" t="s">
        <v>3113</v>
      </c>
    </row>
    <row r="298">
      <c r="A298" s="108" t="str">
        <f>IFERROR(__xludf.DUMMYFUNCTION("JOIN(""-"",""app"",SPLIT(LOWER( C298),"" ""))"),"app-search-users")</f>
        <v>app-search-users</v>
      </c>
      <c r="B298" s="128" t="s">
        <v>3114</v>
      </c>
      <c r="C298" s="106" t="s">
        <v>3115</v>
      </c>
      <c r="D298" s="106" t="s">
        <v>3116</v>
      </c>
      <c r="E298" s="93" t="s">
        <v>3117</v>
      </c>
    </row>
    <row r="299">
      <c r="A299" s="108" t="str">
        <f>IFERROR(__xludf.DUMMYFUNCTION("JOIN(""-"",""app"",SPLIT(LOWER( C299),"" ""))"),"app-unassign-all")</f>
        <v>app-unassign-all</v>
      </c>
      <c r="B299" s="103" t="s">
        <v>3118</v>
      </c>
      <c r="C299" s="106" t="s">
        <v>237</v>
      </c>
      <c r="D299" s="106" t="s">
        <v>3119</v>
      </c>
      <c r="E299" s="93" t="s">
        <v>3120</v>
      </c>
    </row>
    <row r="300">
      <c r="A300" s="108" t="str">
        <f>IFERROR(__xludf.DUMMYFUNCTION("JOIN(""-"",""app"",SPLIT(LOWER( C300),"" ""))"),"app-check-all")</f>
        <v>app-check-all</v>
      </c>
      <c r="C300" s="106" t="s">
        <v>240</v>
      </c>
      <c r="D300" s="106" t="s">
        <v>3121</v>
      </c>
      <c r="E300" s="93" t="s">
        <v>3122</v>
      </c>
    </row>
    <row r="301">
      <c r="A301" s="68" t="str">
        <f>IFERROR(__xludf.DUMMYFUNCTION("JOIN(""-"",""app"",SPLIT(LOWER( C301),"" ""))"),"app-save-as-template")</f>
        <v>app-save-as-template</v>
      </c>
      <c r="B301" s="21" t="s">
        <v>3123</v>
      </c>
      <c r="C301" s="7" t="s">
        <v>243</v>
      </c>
      <c r="D301" s="7" t="s">
        <v>244</v>
      </c>
      <c r="E301" s="93" t="s">
        <v>3124</v>
      </c>
    </row>
    <row r="302">
      <c r="A302" s="68" t="str">
        <f>IFERROR(__xludf.DUMMYFUNCTION("JOIN(""-"",""app"",SPLIT(LOWER( C302),"" ""))"),"app-select-template")</f>
        <v>app-select-template</v>
      </c>
      <c r="B302" s="103" t="s">
        <v>3125</v>
      </c>
      <c r="C302" s="106" t="s">
        <v>279</v>
      </c>
      <c r="D302" s="106" t="s">
        <v>280</v>
      </c>
      <c r="E302" s="93" t="s">
        <v>3126</v>
      </c>
    </row>
    <row r="303">
      <c r="A303" s="68" t="str">
        <f>IFERROR(__xludf.DUMMYFUNCTION("JOIN(""-"",""app"",SPLIT(LOWER( C303),"" ""))"),"app-include")</f>
        <v>app-include</v>
      </c>
      <c r="C303" s="106" t="s">
        <v>282</v>
      </c>
      <c r="D303" s="106" t="s">
        <v>283</v>
      </c>
      <c r="E303" s="93" t="s">
        <v>3127</v>
      </c>
    </row>
    <row r="304">
      <c r="A304" s="68" t="str">
        <f>IFERROR(__xludf.DUMMYFUNCTION("JOIN(""-"",""app"",SPLIT(LOWER( C304),"" ""))"),"app-cancel")</f>
        <v>app-cancel</v>
      </c>
      <c r="C304" s="106" t="s">
        <v>269</v>
      </c>
      <c r="D304" s="106" t="s">
        <v>270</v>
      </c>
      <c r="E304" s="93" t="s">
        <v>2946</v>
      </c>
    </row>
    <row r="305">
      <c r="A305" s="68" t="str">
        <f>IFERROR(__xludf.DUMMYFUNCTION("JOIN(""-"",""app"",SPLIT(LOWER( C305),"" ""))"),"app-load-from-template")</f>
        <v>app-load-from-template</v>
      </c>
      <c r="B305" s="128" t="s">
        <v>3128</v>
      </c>
      <c r="C305" s="106" t="s">
        <v>1875</v>
      </c>
      <c r="D305" s="106" t="s">
        <v>1876</v>
      </c>
      <c r="E305" s="93" t="s">
        <v>3129</v>
      </c>
    </row>
    <row r="306">
      <c r="A306" s="68" t="str">
        <f>IFERROR(__xludf.DUMMYFUNCTION("JOIN(""-"",""app"",SPLIT(LOWER( C306),"" ""))"),"app-select-template")</f>
        <v>app-select-template</v>
      </c>
      <c r="B306" s="103" t="s">
        <v>3130</v>
      </c>
      <c r="C306" s="106" t="s">
        <v>279</v>
      </c>
      <c r="D306" s="106" t="s">
        <v>280</v>
      </c>
      <c r="E306" s="93" t="s">
        <v>3126</v>
      </c>
    </row>
    <row r="307">
      <c r="A307" s="68" t="str">
        <f>IFERROR(__xludf.DUMMYFUNCTION("JOIN(""-"",""app"",SPLIT(LOWER( C307),"" ""))"),"app-include")</f>
        <v>app-include</v>
      </c>
      <c r="C307" s="106" t="s">
        <v>282</v>
      </c>
      <c r="D307" s="106" t="s">
        <v>283</v>
      </c>
      <c r="E307" s="93" t="s">
        <v>3127</v>
      </c>
    </row>
    <row r="308">
      <c r="A308" s="68" t="str">
        <f>IFERROR(__xludf.DUMMYFUNCTION("JOIN(""-"",""app"",SPLIT(LOWER( C308),"" ""))"),"app-cancel")</f>
        <v>app-cancel</v>
      </c>
      <c r="C308" s="106" t="s">
        <v>269</v>
      </c>
      <c r="D308" s="106" t="s">
        <v>270</v>
      </c>
      <c r="E308" s="93" t="s">
        <v>2946</v>
      </c>
    </row>
    <row r="309">
      <c r="A309" s="68" t="str">
        <f>IFERROR(__xludf.DUMMYFUNCTION("JOIN(""-"",""app"",SPLIT(LOWER( C309),"" ""))"),"app-no-activity")</f>
        <v>app-no-activity</v>
      </c>
      <c r="B309" s="130" t="s">
        <v>3131</v>
      </c>
      <c r="C309" s="131" t="s">
        <v>3132</v>
      </c>
      <c r="D309" s="131" t="s">
        <v>3133</v>
      </c>
      <c r="E309" s="93" t="s">
        <v>3134</v>
      </c>
    </row>
    <row r="310">
      <c r="A310" s="68" t="str">
        <f>IFERROR(__xludf.DUMMYFUNCTION("JOIN(""-"",""app"",SPLIT(LOWER( C310),"" ""))"),"app-no-changes-made-to-this-ticket-since-its-creation")</f>
        <v>app-no-changes-made-to-this-ticket-since-its-creation</v>
      </c>
      <c r="C310" s="131" t="s">
        <v>3135</v>
      </c>
      <c r="D310" s="131" t="s">
        <v>3136</v>
      </c>
      <c r="E310" s="93" t="s">
        <v>3137</v>
      </c>
    </row>
    <row r="311">
      <c r="A311" s="68" t="str">
        <f>IFERROR(__xludf.DUMMYFUNCTION("JOIN(""-"",""app"",SPLIT(LOWER( C311),"" ""))"),"app-new-comments")</f>
        <v>app-new-comments</v>
      </c>
      <c r="C311" s="131" t="s">
        <v>3138</v>
      </c>
      <c r="D311" s="131" t="s">
        <v>3139</v>
      </c>
      <c r="E311" s="93" t="s">
        <v>3140</v>
      </c>
    </row>
    <row r="312">
      <c r="A312" s="108" t="str">
        <f>IFERROR(__xludf.DUMMYFUNCTION("JOIN(""-"",""app"",SPLIT(LOWER( C312),"" ""))"),"app-pinned")</f>
        <v>app-pinned</v>
      </c>
      <c r="B312" s="103" t="s">
        <v>3141</v>
      </c>
      <c r="C312" s="106" t="s">
        <v>166</v>
      </c>
      <c r="D312" s="106" t="s">
        <v>167</v>
      </c>
      <c r="E312" s="93" t="s">
        <v>3142</v>
      </c>
    </row>
    <row r="313">
      <c r="A313" s="108" t="str">
        <f>IFERROR(__xludf.DUMMYFUNCTION("JOIN(""-"",""app"",SPLIT(LOWER( C313),"" ""))"),"app-reply")</f>
        <v>app-reply</v>
      </c>
      <c r="C313" s="106" t="s">
        <v>198</v>
      </c>
      <c r="D313" s="106" t="s">
        <v>199</v>
      </c>
      <c r="E313" s="93" t="s">
        <v>3143</v>
      </c>
    </row>
    <row r="314">
      <c r="A314" s="108" t="str">
        <f>IFERROR(__xludf.DUMMYFUNCTION("JOIN(""-"",""app"",SPLIT(LOWER( C314),"" ""))"),"app-type-something-to-comment")</f>
        <v>app-type-something-to-comment</v>
      </c>
      <c r="C314" s="106" t="s">
        <v>1156</v>
      </c>
      <c r="D314" s="106" t="s">
        <v>1157</v>
      </c>
      <c r="E314" s="93" t="s">
        <v>3144</v>
      </c>
    </row>
    <row r="315">
      <c r="A315" s="108" t="str">
        <f>IFERROR(__xludf.DUMMYFUNCTION("JOIN(""-"",""app"",SPLIT(LOWER( C315),"" ""))"),"app-type-something-to-comment")</f>
        <v>app-type-something-to-comment</v>
      </c>
      <c r="B315" s="103" t="s">
        <v>3145</v>
      </c>
      <c r="C315" s="106" t="s">
        <v>1156</v>
      </c>
      <c r="D315" s="106" t="s">
        <v>1157</v>
      </c>
      <c r="E315" s="93" t="s">
        <v>3144</v>
      </c>
    </row>
    <row r="316">
      <c r="A316" s="108" t="str">
        <f>IFERROR(__xludf.DUMMYFUNCTION("JOIN(""-"",""app"",SPLIT(LOWER( C316),"" ""))"),"app-collapse")</f>
        <v>app-collapse</v>
      </c>
      <c r="C316" s="106" t="s">
        <v>200</v>
      </c>
      <c r="D316" s="106" t="s">
        <v>201</v>
      </c>
      <c r="E316" s="93" t="s">
        <v>3146</v>
      </c>
    </row>
    <row r="317">
      <c r="A317" s="108" t="str">
        <f>IFERROR(__xludf.DUMMYFUNCTION("JOIN(""-"",""app"",SPLIT(LOWER( C317),"" ""))"),"app-un-pin-comment")</f>
        <v>app-un-pin-comment</v>
      </c>
      <c r="B317" s="103" t="s">
        <v>3147</v>
      </c>
      <c r="C317" s="106" t="s">
        <v>204</v>
      </c>
      <c r="D317" s="106" t="s">
        <v>205</v>
      </c>
      <c r="E317" s="93" t="s">
        <v>3148</v>
      </c>
    </row>
    <row r="318">
      <c r="A318" s="108" t="str">
        <f>IFERROR(__xludf.DUMMYFUNCTION("JOIN(""-"",""app"",SPLIT(LOWER( C318),"" ""))"),"app-reply-to-this-comment")</f>
        <v>app-reply-to-this-comment</v>
      </c>
      <c r="C318" s="106" t="s">
        <v>207</v>
      </c>
      <c r="D318" s="106" t="s">
        <v>208</v>
      </c>
      <c r="E318" s="93" t="s">
        <v>3149</v>
      </c>
    </row>
    <row r="319">
      <c r="A319" s="108" t="str">
        <f>IFERROR(__xludf.DUMMYFUNCTION("JOIN(""-"",""app"",SPLIT(LOWER( C319),"" ""))"),"app-edit-this-comment")</f>
        <v>app-edit-this-comment</v>
      </c>
      <c r="C319" s="106" t="s">
        <v>210</v>
      </c>
      <c r="D319" s="106" t="s">
        <v>211</v>
      </c>
      <c r="E319" s="93" t="s">
        <v>3150</v>
      </c>
    </row>
    <row r="320">
      <c r="A320" s="108" t="str">
        <f>IFERROR(__xludf.DUMMYFUNCTION("JOIN(""-"",""app"",SPLIT(LOWER( C320),"" ""))"),"app-delete-this-comment")</f>
        <v>app-delete-this-comment</v>
      </c>
      <c r="C320" s="106" t="s">
        <v>213</v>
      </c>
      <c r="D320" s="106" t="s">
        <v>214</v>
      </c>
      <c r="E320" s="93" t="s">
        <v>3151</v>
      </c>
    </row>
    <row r="321">
      <c r="A321" s="108" t="str">
        <f>IFERROR(__xludf.DUMMYFUNCTION("JOIN(""-"",""app"",SPLIT(LOWER( C321),"" ""))"),"app-ctrl-+-enter-to-add-the-comment")</f>
        <v>app-ctrl-+-enter-to-add-the-comment</v>
      </c>
      <c r="B321" s="128" t="s">
        <v>3152</v>
      </c>
      <c r="C321" s="106" t="s">
        <v>3153</v>
      </c>
      <c r="D321" s="106" t="s">
        <v>3154</v>
      </c>
      <c r="E321" s="93" t="s">
        <v>3155</v>
      </c>
    </row>
    <row r="322">
      <c r="A322" s="129" t="s">
        <v>1872</v>
      </c>
      <c r="B322" s="128" t="s">
        <v>3156</v>
      </c>
      <c r="C322" s="106" t="s">
        <v>219</v>
      </c>
      <c r="D322" s="106" t="s">
        <v>220</v>
      </c>
      <c r="E322" s="46" t="str">
        <f>IFERROR(__xludf.DUMMYFUNCTION("IFERROR(VLOOKUP(C322,IMPORTRANGE(""https://docs.google.com/spreadsheets/d/1SQRLoxD_LXfQNfB7NOxI5jlxbkDlcNPwla_2gSTySP8/edit#gid=274515254"",""Terra!$C$2:$D$151""),2,0),0)"),"検索")</f>
        <v>検索</v>
      </c>
    </row>
    <row r="323">
      <c r="A323" s="108" t="str">
        <f>IFERROR(__xludf.DUMMYFUNCTION("JOIN(""-"",""app"",SPLIT(LOWER( C323),"" ""))"),"app-pin-to-this-conversation")</f>
        <v>app-pin-to-this-conversation</v>
      </c>
      <c r="B323" s="128" t="s">
        <v>3157</v>
      </c>
      <c r="C323" s="106" t="s">
        <v>787</v>
      </c>
      <c r="D323" s="106" t="s">
        <v>789</v>
      </c>
      <c r="E323" s="93" t="s">
        <v>3158</v>
      </c>
    </row>
    <row r="324">
      <c r="A324" s="108" t="str">
        <f>IFERROR(__xludf.DUMMYFUNCTION("JOIN(""-"",""app"",SPLIT(LOWER( C324),"" ""))"),"app-follow")</f>
        <v>app-follow</v>
      </c>
      <c r="B324" s="128" t="s">
        <v>3159</v>
      </c>
      <c r="C324" s="106" t="s">
        <v>3160</v>
      </c>
      <c r="D324" s="106" t="s">
        <v>3161</v>
      </c>
      <c r="E324" s="93" t="s">
        <v>3162</v>
      </c>
    </row>
    <row r="325">
      <c r="A325" s="108" t="str">
        <f>IFERROR(__xludf.DUMMYFUNCTION("JOIN(""-"",""app"",SPLIT(LOWER( C325),"" ""))"),"app-search/-create-tags")</f>
        <v>app-search/-create-tags</v>
      </c>
      <c r="B325" s="128" t="s">
        <v>3163</v>
      </c>
      <c r="C325" s="106" t="s">
        <v>1905</v>
      </c>
      <c r="D325" s="106" t="s">
        <v>1906</v>
      </c>
      <c r="E325" s="93" t="s">
        <v>3164</v>
      </c>
    </row>
    <row r="326">
      <c r="A326" s="108" t="str">
        <f>IFERROR(__xludf.DUMMYFUNCTION("JOIN(""-"",""app"",SPLIT(LOWER( C326),"" ""))"),"app-see-more")</f>
        <v>app-see-more</v>
      </c>
      <c r="B326" s="128" t="s">
        <v>3165</v>
      </c>
      <c r="C326" s="106" t="s">
        <v>884</v>
      </c>
      <c r="D326" s="106" t="s">
        <v>885</v>
      </c>
      <c r="E326" s="93" t="s">
        <v>3166</v>
      </c>
    </row>
    <row r="327">
      <c r="A327" s="108" t="str">
        <f>IFERROR(__xludf.DUMMYFUNCTION("JOIN(""-"",""app"",SPLIT(LOWER( C327),"" ""))"),"app-new-schedule")</f>
        <v>app-new-schedule</v>
      </c>
      <c r="B327" s="103" t="s">
        <v>3167</v>
      </c>
      <c r="C327" s="106" t="s">
        <v>1678</v>
      </c>
      <c r="D327" s="106" t="s">
        <v>1679</v>
      </c>
      <c r="E327" s="93" t="s">
        <v>3168</v>
      </c>
    </row>
    <row r="328">
      <c r="A328" s="108" t="str">
        <f>IFERROR(__xludf.DUMMYFUNCTION("JOIN(""-"",""app"",SPLIT(LOWER( C328),"" ""))"),"app-frequency")</f>
        <v>app-frequency</v>
      </c>
      <c r="C328" s="106" t="s">
        <v>1680</v>
      </c>
      <c r="D328" s="106" t="s">
        <v>1681</v>
      </c>
      <c r="E328" s="93" t="s">
        <v>3169</v>
      </c>
    </row>
    <row r="329">
      <c r="A329" s="108" t="s">
        <v>529</v>
      </c>
      <c r="C329" s="106" t="s">
        <v>531</v>
      </c>
      <c r="D329" s="106" t="s">
        <v>532</v>
      </c>
      <c r="E329" s="93" t="s">
        <v>3170</v>
      </c>
    </row>
    <row r="330">
      <c r="A330" s="108" t="str">
        <f>IFERROR(__xludf.DUMMYFUNCTION("JOIN(""-"",""app"",SPLIT(LOWER( C330),"" ""))"),"app-every")</f>
        <v>app-every</v>
      </c>
      <c r="C330" s="106" t="s">
        <v>1682</v>
      </c>
      <c r="D330" s="106" t="s">
        <v>585</v>
      </c>
      <c r="E330" s="93" t="s">
        <v>3171</v>
      </c>
    </row>
    <row r="331">
      <c r="A331" s="108" t="str">
        <f>IFERROR(__xludf.DUMMYFUNCTION("JOIN(""-"",""app"",SPLIT(LOWER( C331),"" ""))"),"app-week")</f>
        <v>app-week</v>
      </c>
      <c r="C331" s="106" t="s">
        <v>1683</v>
      </c>
      <c r="D331" s="106" t="s">
        <v>1684</v>
      </c>
      <c r="E331" s="93" t="s">
        <v>3172</v>
      </c>
    </row>
    <row r="332">
      <c r="A332" s="129" t="s">
        <v>268</v>
      </c>
      <c r="C332" s="106" t="s">
        <v>269</v>
      </c>
      <c r="D332" s="106" t="s">
        <v>270</v>
      </c>
      <c r="E332" s="93" t="s">
        <v>2946</v>
      </c>
    </row>
    <row r="333">
      <c r="A333" s="129" t="s">
        <v>524</v>
      </c>
      <c r="C333" s="106" t="s">
        <v>146</v>
      </c>
      <c r="D333" s="106" t="s">
        <v>147</v>
      </c>
      <c r="E333" s="93" t="s">
        <v>3088</v>
      </c>
    </row>
    <row r="334">
      <c r="A334" s="108" t="str">
        <f>IFERROR(__xludf.DUMMYFUNCTION("JOIN(""-"",""app"",SPLIT(LOWER( C334),"" ""))"),"app-mo")</f>
        <v>app-mo</v>
      </c>
      <c r="B334" s="103" t="s">
        <v>3173</v>
      </c>
      <c r="C334" s="106" t="s">
        <v>551</v>
      </c>
      <c r="D334" s="106" t="s">
        <v>552</v>
      </c>
      <c r="E334" s="93" t="s">
        <v>3174</v>
      </c>
    </row>
    <row r="335">
      <c r="A335" s="108" t="str">
        <f>IFERROR(__xludf.DUMMYFUNCTION("JOIN(""-"",""app"",SPLIT(LOWER( C335),"" ""))"),"app-tu")</f>
        <v>app-tu</v>
      </c>
      <c r="C335" s="106" t="s">
        <v>554</v>
      </c>
      <c r="D335" s="106" t="s">
        <v>555</v>
      </c>
      <c r="E335" s="93" t="s">
        <v>3175</v>
      </c>
    </row>
    <row r="336">
      <c r="A336" s="108" t="str">
        <f>IFERROR(__xludf.DUMMYFUNCTION("JOIN(""-"",""app"",SPLIT(LOWER( C336),"" ""))"),"app-wd")</f>
        <v>app-wd</v>
      </c>
      <c r="C336" s="106" t="s">
        <v>557</v>
      </c>
      <c r="D336" s="106" t="s">
        <v>558</v>
      </c>
      <c r="E336" s="93" t="s">
        <v>3176</v>
      </c>
    </row>
    <row r="337">
      <c r="A337" s="108" t="str">
        <f>IFERROR(__xludf.DUMMYFUNCTION("JOIN(""-"",""app"",SPLIT(LOWER( C337),"" ""))"),"app-th")</f>
        <v>app-th</v>
      </c>
      <c r="C337" s="106" t="s">
        <v>560</v>
      </c>
      <c r="D337" s="106" t="s">
        <v>561</v>
      </c>
      <c r="E337" s="93" t="s">
        <v>3177</v>
      </c>
    </row>
    <row r="338">
      <c r="A338" s="108" t="str">
        <f>IFERROR(__xludf.DUMMYFUNCTION("JOIN(""-"",""app"",SPLIT(LOWER( C338),"" ""))"),"app-fr")</f>
        <v>app-fr</v>
      </c>
      <c r="C338" s="106" t="s">
        <v>563</v>
      </c>
      <c r="D338" s="106" t="s">
        <v>564</v>
      </c>
      <c r="E338" s="93" t="s">
        <v>3178</v>
      </c>
    </row>
    <row r="339">
      <c r="A339" s="108" t="str">
        <f>IFERROR(__xludf.DUMMYFUNCTION("JOIN(""-"",""app"",SPLIT(LOWER( C339),"" ""))"),"app-sa")</f>
        <v>app-sa</v>
      </c>
      <c r="C339" s="106" t="s">
        <v>566</v>
      </c>
      <c r="D339" s="106" t="s">
        <v>567</v>
      </c>
      <c r="E339" s="93" t="s">
        <v>3179</v>
      </c>
    </row>
    <row r="340">
      <c r="A340" s="108" t="str">
        <f>IFERROR(__xludf.DUMMYFUNCTION("JOIN(""-"",""app"",SPLIT(LOWER( C340),"" ""))"),"app-su")</f>
        <v>app-su</v>
      </c>
      <c r="B340" s="103" t="s">
        <v>3180</v>
      </c>
      <c r="C340" s="106" t="s">
        <v>569</v>
      </c>
      <c r="D340" s="106" t="s">
        <v>570</v>
      </c>
      <c r="E340" s="93" t="s">
        <v>3181</v>
      </c>
    </row>
    <row r="341">
      <c r="A341" s="108" t="str">
        <f>IFERROR(__xludf.DUMMYFUNCTION("JOIN(""-"",""app"",SPLIT(LOWER( C341),"" ""))"),"app-repeat-forever")</f>
        <v>app-repeat-forever</v>
      </c>
      <c r="C341" s="106" t="s">
        <v>534</v>
      </c>
      <c r="D341" s="106" t="s">
        <v>535</v>
      </c>
      <c r="E341" s="93" t="s">
        <v>3182</v>
      </c>
    </row>
    <row r="342">
      <c r="A342" s="108" t="str">
        <f>IFERROR(__xludf.DUMMYFUNCTION("JOIN(""-"",""app"",SPLIT(LOWER( C342),"" ""))"),"app-repeat")</f>
        <v>app-repeat</v>
      </c>
      <c r="C342" s="106" t="s">
        <v>537</v>
      </c>
      <c r="D342" s="106" t="s">
        <v>538</v>
      </c>
      <c r="E342" s="93" t="s">
        <v>3183</v>
      </c>
    </row>
    <row r="343">
      <c r="A343" s="108" t="str">
        <f>IFERROR(__xludf.DUMMYFUNCTION("JOIN(""-"",""app"",SPLIT(LOWER( C343),"" ""))"),"app-times")</f>
        <v>app-times</v>
      </c>
      <c r="C343" s="106" t="s">
        <v>540</v>
      </c>
      <c r="D343" s="106" t="s">
        <v>541</v>
      </c>
      <c r="E343" s="93" t="s">
        <v>3184</v>
      </c>
    </row>
    <row r="344">
      <c r="A344" s="108" t="str">
        <f>IFERROR(__xludf.DUMMYFUNCTION("JOIN(""-"",""app"",SPLIT(LOWER( C344),"" ""))"),"app-repeat-until")</f>
        <v>app-repeat-until</v>
      </c>
      <c r="B344" s="103" t="s">
        <v>3185</v>
      </c>
      <c r="C344" s="106" t="s">
        <v>544</v>
      </c>
      <c r="D344" s="106" t="s">
        <v>545</v>
      </c>
      <c r="E344" s="93" t="s">
        <v>3186</v>
      </c>
    </row>
    <row r="345">
      <c r="A345" s="108" t="str">
        <f>IFERROR(__xludf.DUMMYFUNCTION("JOIN(""-"",""app"",SPLIT(LOWER( C345),"" ""))"),"app-skip-missed-ticket")</f>
        <v>app-skip-missed-ticket</v>
      </c>
      <c r="C345" s="106" t="s">
        <v>547</v>
      </c>
      <c r="D345" s="106" t="s">
        <v>548</v>
      </c>
      <c r="E345" s="93" t="s">
        <v>3187</v>
      </c>
    </row>
    <row r="346">
      <c r="A346" s="108" t="s">
        <v>571</v>
      </c>
      <c r="B346" s="103" t="s">
        <v>3188</v>
      </c>
      <c r="C346" s="106" t="s">
        <v>573</v>
      </c>
      <c r="D346" s="106" t="s">
        <v>574</v>
      </c>
      <c r="E346" s="93" t="s">
        <v>3189</v>
      </c>
    </row>
    <row r="347">
      <c r="A347" s="108" t="str">
        <f>IFERROR(__xludf.DUMMYFUNCTION("JOIN(""-"",""app"",SPLIT(LOWER( C347),"" ""))"),"app-day")</f>
        <v>app-day</v>
      </c>
      <c r="C347" s="106" t="s">
        <v>1690</v>
      </c>
      <c r="D347" s="106" t="s">
        <v>1691</v>
      </c>
      <c r="E347" s="93" t="s">
        <v>3181</v>
      </c>
    </row>
    <row r="348">
      <c r="A348" s="108" t="str">
        <f>IFERROR(__xludf.DUMMYFUNCTION("JOIN(""-"",""app"",SPLIT(LOWER( C348),"" ""))"),"app-monthly")</f>
        <v>app-monthly</v>
      </c>
      <c r="B348" s="103" t="s">
        <v>3190</v>
      </c>
      <c r="C348" s="106" t="s">
        <v>592</v>
      </c>
      <c r="D348" s="106" t="s">
        <v>593</v>
      </c>
      <c r="E348" s="93" t="s">
        <v>3191</v>
      </c>
    </row>
    <row r="349">
      <c r="A349" s="108" t="str">
        <f>IFERROR(__xludf.DUMMYFUNCTION("JOIN(""-"",""app"",SPLIT(LOWER( C349),"" ""))"),"app-month")</f>
        <v>app-month</v>
      </c>
      <c r="C349" s="106" t="s">
        <v>1693</v>
      </c>
      <c r="D349" s="106" t="s">
        <v>1694</v>
      </c>
      <c r="E349" s="93" t="s">
        <v>3174</v>
      </c>
    </row>
    <row r="350">
      <c r="A350" s="108" t="str">
        <f>IFERROR(__xludf.DUMMYFUNCTION("JOIN(""-"",""app"",SPLIT(LOWER( C350),"" ""))"),"app-on-the")</f>
        <v>app-on-the</v>
      </c>
      <c r="C350" s="106" t="s">
        <v>588</v>
      </c>
      <c r="D350" s="106" t="s">
        <v>589</v>
      </c>
      <c r="E350" s="93" t="s">
        <v>3192</v>
      </c>
    </row>
    <row r="351">
      <c r="A351" s="108" t="str">
        <f>IFERROR(__xludf.DUMMYFUNCTION("JOIN(""-"",""app"",SPLIT(LOWER( C351),"" ""))"),"app-1st")</f>
        <v>app-1st</v>
      </c>
      <c r="B351" s="103" t="s">
        <v>3193</v>
      </c>
      <c r="C351" s="106" t="s">
        <v>596</v>
      </c>
      <c r="D351" s="106" t="s">
        <v>597</v>
      </c>
      <c r="E351" s="93" t="s">
        <v>3194</v>
      </c>
    </row>
    <row r="352">
      <c r="A352" s="108" t="str">
        <f>IFERROR(__xludf.DUMMYFUNCTION("JOIN(""-"",""app"",SPLIT(LOWER( C352),"" ""))"),"app-2nd")</f>
        <v>app-2nd</v>
      </c>
      <c r="C352" s="106" t="s">
        <v>599</v>
      </c>
      <c r="D352" s="106" t="s">
        <v>600</v>
      </c>
      <c r="E352" s="93" t="s">
        <v>3195</v>
      </c>
    </row>
    <row r="353">
      <c r="A353" s="108" t="str">
        <f>IFERROR(__xludf.DUMMYFUNCTION("JOIN(""-"",""app"",SPLIT(LOWER( C353),"" ""))"),"app-3rd")</f>
        <v>app-3rd</v>
      </c>
      <c r="C353" s="106" t="s">
        <v>602</v>
      </c>
      <c r="D353" s="106" t="s">
        <v>603</v>
      </c>
      <c r="E353" s="93" t="s">
        <v>3196</v>
      </c>
    </row>
    <row r="354">
      <c r="A354" s="108" t="str">
        <f>IFERROR(__xludf.DUMMYFUNCTION("JOIN(""-"",""app"",SPLIT(LOWER( C354),"" ""))"),"app-4th")</f>
        <v>app-4th</v>
      </c>
      <c r="C354" s="106" t="s">
        <v>605</v>
      </c>
      <c r="D354" s="106" t="s">
        <v>606</v>
      </c>
      <c r="E354" s="93" t="s">
        <v>3197</v>
      </c>
    </row>
    <row r="355">
      <c r="A355" s="108" t="str">
        <f>IFERROR(__xludf.DUMMYFUNCTION("JOIN(""-"",""app"",SPLIT(LOWER( C355),"" ""))"),"app-last")</f>
        <v>app-last</v>
      </c>
      <c r="C355" s="106" t="s">
        <v>608</v>
      </c>
      <c r="D355" s="106" t="s">
        <v>609</v>
      </c>
      <c r="E355" s="93" t="s">
        <v>3198</v>
      </c>
    </row>
    <row r="356">
      <c r="A356" s="108" t="str">
        <f>IFERROR(__xludf.DUMMYFUNCTION("JOIN(""-"",""app"",SPLIT(LOWER( C356),"" ""))"),"app-monday")</f>
        <v>app-monday</v>
      </c>
      <c r="B356" s="103" t="s">
        <v>3199</v>
      </c>
      <c r="C356" s="106" t="s">
        <v>612</v>
      </c>
      <c r="D356" s="106" t="s">
        <v>613</v>
      </c>
      <c r="E356" s="93" t="s">
        <v>3200</v>
      </c>
    </row>
    <row r="357">
      <c r="A357" s="108" t="str">
        <f>IFERROR(__xludf.DUMMYFUNCTION("JOIN(""-"",""app"",SPLIT(LOWER( C357),"" ""))"),"app-tuesday")</f>
        <v>app-tuesday</v>
      </c>
      <c r="C357" s="106" t="s">
        <v>615</v>
      </c>
      <c r="D357" s="106" t="s">
        <v>616</v>
      </c>
      <c r="E357" s="93" t="s">
        <v>3201</v>
      </c>
    </row>
    <row r="358">
      <c r="A358" s="108" t="str">
        <f>IFERROR(__xludf.DUMMYFUNCTION("JOIN(""-"",""app"",SPLIT(LOWER( C358),"" ""))"),"app-wednesday")</f>
        <v>app-wednesday</v>
      </c>
      <c r="C358" s="106" t="s">
        <v>618</v>
      </c>
      <c r="D358" s="106" t="s">
        <v>619</v>
      </c>
      <c r="E358" s="93" t="s">
        <v>3202</v>
      </c>
    </row>
    <row r="359">
      <c r="A359" s="108" t="str">
        <f>IFERROR(__xludf.DUMMYFUNCTION("JOIN(""-"",""app"",SPLIT(LOWER( C359),"" ""))"),"app-thursday")</f>
        <v>app-thursday</v>
      </c>
      <c r="C359" s="106" t="s">
        <v>621</v>
      </c>
      <c r="D359" s="106" t="s">
        <v>622</v>
      </c>
      <c r="E359" s="93" t="s">
        <v>3203</v>
      </c>
    </row>
    <row r="360">
      <c r="A360" s="108" t="str">
        <f>IFERROR(__xludf.DUMMYFUNCTION("JOIN(""-"",""app"",SPLIT(LOWER( C360),"" ""))"),"app-friday")</f>
        <v>app-friday</v>
      </c>
      <c r="C360" s="106" t="s">
        <v>624</v>
      </c>
      <c r="D360" s="106" t="s">
        <v>625</v>
      </c>
      <c r="E360" s="93" t="s">
        <v>3204</v>
      </c>
    </row>
    <row r="361">
      <c r="A361" s="108" t="str">
        <f>IFERROR(__xludf.DUMMYFUNCTION("JOIN(""-"",""app"",SPLIT(LOWER( C361),"" ""))"),"app-saturday")</f>
        <v>app-saturday</v>
      </c>
      <c r="B361" s="103" t="s">
        <v>3205</v>
      </c>
      <c r="C361" s="106" t="s">
        <v>627</v>
      </c>
      <c r="D361" s="106" t="s">
        <v>628</v>
      </c>
      <c r="E361" s="93" t="s">
        <v>3206</v>
      </c>
    </row>
    <row r="362">
      <c r="A362" s="108" t="str">
        <f>IFERROR(__xludf.DUMMYFUNCTION("JOIN(""-"",""app"",SPLIT(LOWER( C362),"" ""))"),"app-sunday")</f>
        <v>app-sunday</v>
      </c>
      <c r="C362" s="106" t="s">
        <v>630</v>
      </c>
      <c r="D362" s="106" t="s">
        <v>631</v>
      </c>
      <c r="E362" s="93" t="s">
        <v>3207</v>
      </c>
    </row>
    <row r="363">
      <c r="A363" s="108" t="str">
        <f>IFERROR(__xludf.DUMMYFUNCTION("JOIN(""-"",""app"",SPLIT(LOWER( C363),"" ""))"),"app-when-checked,-if-a-ticket-is-missed-because-the-status-of-the-ticket-was-not-updated-before-due-date,-that-ticket-will-be-skipped.-this-means,-only-tickets-in-the-future-are-possible.")</f>
        <v>app-when-checked,-if-a-ticket-is-missed-because-the-status-of-the-ticket-was-not-updated-before-due-date,-that-ticket-will-be-skipped.-this-means,-only-tickets-in-the-future-are-possible.</v>
      </c>
      <c r="B363" s="103" t="s">
        <v>3208</v>
      </c>
      <c r="C363" s="106" t="s">
        <v>3209</v>
      </c>
      <c r="D363" s="106" t="s">
        <v>3210</v>
      </c>
      <c r="E363" s="93" t="s">
        <v>3211</v>
      </c>
    </row>
    <row r="364">
      <c r="A364" s="129" t="s">
        <v>1872</v>
      </c>
      <c r="B364" s="103" t="s">
        <v>3212</v>
      </c>
      <c r="C364" s="106" t="s">
        <v>219</v>
      </c>
      <c r="D364" s="106" t="s">
        <v>220</v>
      </c>
      <c r="E364" s="116" t="str">
        <f>IFERROR(__xludf.DUMMYFUNCTION("IFERROR(VLOOKUP(C364,IMPORTRANGE(""https://docs.google.com/spreadsheets/d/1SQRLoxD_LXfQNfB7NOxI5jlxbkDlcNPwla_2gSTySP8/edit#gid=274515254"",""Terra!$C$2:$D$151""),2,0),0)"),"検索")</f>
        <v>検索</v>
      </c>
    </row>
    <row r="365">
      <c r="A365" s="108" t="str">
        <f>IFERROR(__xludf.DUMMYFUNCTION("JOIN(""-"",""app"",SPLIT(LOWER( C365),"" ""))"),"app-none")</f>
        <v>app-none</v>
      </c>
      <c r="C365" s="106" t="s">
        <v>439</v>
      </c>
      <c r="D365" s="127" t="s">
        <v>440</v>
      </c>
      <c r="E365" s="93" t="s">
        <v>3213</v>
      </c>
    </row>
    <row r="366">
      <c r="A366" s="108" t="str">
        <f>IFERROR(__xludf.DUMMYFUNCTION("JOIN(""-"",""app"",SPLIT(LOWER( C366),"" ""))"),"app-files")</f>
        <v>app-files</v>
      </c>
      <c r="B366" s="103" t="s">
        <v>3214</v>
      </c>
      <c r="C366" s="106" t="s">
        <v>3215</v>
      </c>
      <c r="D366" s="106" t="s">
        <v>3216</v>
      </c>
      <c r="E366" s="93" t="s">
        <v>3217</v>
      </c>
    </row>
    <row r="367">
      <c r="A367" s="108" t="str">
        <f>IFERROR(__xludf.DUMMYFUNCTION("JOIN(""-"",""app"",SPLIT(LOWER( C367),"" ""))"),"app-folders")</f>
        <v>app-folders</v>
      </c>
      <c r="C367" s="106" t="s">
        <v>3218</v>
      </c>
      <c r="D367" s="106" t="s">
        <v>3219</v>
      </c>
      <c r="E367" s="93" t="s">
        <v>3220</v>
      </c>
    </row>
    <row r="368">
      <c r="A368" s="108" t="str">
        <f>IFERROR(__xludf.DUMMYFUNCTION("JOIN(""-"",""app"",SPLIT(LOWER( C368),"" ""))"),"app-none")</f>
        <v>app-none</v>
      </c>
      <c r="B368" s="128" t="s">
        <v>3221</v>
      </c>
      <c r="C368" s="106" t="s">
        <v>439</v>
      </c>
      <c r="D368" s="127" t="s">
        <v>440</v>
      </c>
      <c r="E368" s="93" t="s">
        <v>3213</v>
      </c>
    </row>
    <row r="369">
      <c r="A369" s="108" t="str">
        <f>IFERROR(__xludf.DUMMYFUNCTION("JOIN(""-"",""app"",SPLIT(LOWER( C369),"" ""))"),"app-forms")</f>
        <v>app-forms</v>
      </c>
      <c r="B369" s="128" t="s">
        <v>3222</v>
      </c>
      <c r="C369" s="106" t="s">
        <v>12</v>
      </c>
      <c r="D369" s="106" t="s">
        <v>13</v>
      </c>
      <c r="E369" s="93" t="s">
        <v>3223</v>
      </c>
    </row>
    <row r="370">
      <c r="A370" s="129" t="s">
        <v>1872</v>
      </c>
      <c r="B370" s="103" t="s">
        <v>3224</v>
      </c>
      <c r="C370" s="106" t="s">
        <v>219</v>
      </c>
      <c r="D370" s="106" t="s">
        <v>220</v>
      </c>
      <c r="E370" s="116" t="str">
        <f>IFERROR(__xludf.DUMMYFUNCTION("IFERROR(VLOOKUP(C370,IMPORTRANGE(""https://docs.google.com/spreadsheets/d/1SQRLoxD_LXfQNfB7NOxI5jlxbkDlcNPwla_2gSTySP8/edit#gid=274515254"",""Terra!$C$2:$D$151""),2,0),0)"),"検索")</f>
        <v>検索</v>
      </c>
    </row>
    <row r="371">
      <c r="A371" s="108" t="str">
        <f>IFERROR(__xludf.DUMMYFUNCTION("JOIN(""-"",""app"",SPLIT(LOWER( C371),"" ""))"),"app-shared-with-me")</f>
        <v>app-shared-with-me</v>
      </c>
      <c r="C371" s="106" t="s">
        <v>3225</v>
      </c>
      <c r="D371" s="106" t="s">
        <v>3226</v>
      </c>
      <c r="E371" s="93" t="s">
        <v>3227</v>
      </c>
    </row>
    <row r="372">
      <c r="A372" s="108" t="str">
        <f>IFERROR(__xludf.DUMMYFUNCTION("JOIN(""-"",""app"",SPLIT(LOWER( C372),"" ""))"),"app-my-submission")</f>
        <v>app-my-submission</v>
      </c>
      <c r="C372" s="106" t="s">
        <v>3228</v>
      </c>
      <c r="D372" s="106" t="s">
        <v>3229</v>
      </c>
      <c r="E372" s="93" t="s">
        <v>3230</v>
      </c>
    </row>
    <row r="373">
      <c r="A373" s="108" t="str">
        <f>IFERROR(__xludf.DUMMYFUNCTION("JOIN(""-"",""app"",SPLIT(LOWER( C373),"" ""))"),"app-other-submission")</f>
        <v>app-other-submission</v>
      </c>
      <c r="C373" s="106" t="s">
        <v>3231</v>
      </c>
      <c r="D373" s="106" t="s">
        <v>3232</v>
      </c>
      <c r="E373" s="93" t="s">
        <v>3233</v>
      </c>
    </row>
    <row r="374">
      <c r="A374" s="108" t="str">
        <f>IFERROR(__xludf.DUMMYFUNCTION("JOIN(""-"",""app"",SPLIT(LOWER( C374),"" ""))"),"app-no-forms")</f>
        <v>app-no-forms</v>
      </c>
      <c r="C374" s="106" t="s">
        <v>3234</v>
      </c>
      <c r="D374" s="106" t="s">
        <v>458</v>
      </c>
      <c r="E374" s="93" t="s">
        <v>3235</v>
      </c>
    </row>
    <row r="375">
      <c r="A375" s="108" t="str">
        <f>IFERROR(__xludf.DUMMYFUNCTION("JOIN(""-"",""app"",SPLIT(LOWER( C375),"" ""))"),"app-new-form")</f>
        <v>app-new-form</v>
      </c>
      <c r="C375" s="106" t="s">
        <v>465</v>
      </c>
      <c r="D375" s="106" t="s">
        <v>466</v>
      </c>
      <c r="E375" s="93" t="s">
        <v>3236</v>
      </c>
    </row>
    <row r="376">
      <c r="A376" s="108" t="str">
        <f>IFERROR(__xludf.DUMMYFUNCTION("JOIN(""-"",""app"",SPLIT(LOWER( C376),"" ""))"),"app-open")</f>
        <v>app-open</v>
      </c>
      <c r="B376" s="132" t="s">
        <v>445</v>
      </c>
      <c r="C376" s="133" t="s">
        <v>446</v>
      </c>
      <c r="D376" s="133" t="s">
        <v>447</v>
      </c>
      <c r="E376" s="93"/>
    </row>
    <row r="377">
      <c r="A377" s="108" t="str">
        <f>IFERROR(__xludf.DUMMYFUNCTION("JOIN(""-"",""app"",SPLIT(LOWER( C377),"" ""))"),"app-submitted")</f>
        <v>app-submitted</v>
      </c>
      <c r="C377" s="133" t="s">
        <v>448</v>
      </c>
      <c r="D377" s="133" t="s">
        <v>449</v>
      </c>
      <c r="E377" s="93"/>
    </row>
    <row r="378">
      <c r="A378" s="108" t="str">
        <f>IFERROR(__xludf.DUMMYFUNCTION("JOIN(""-"",""app"",SPLIT(LOWER( C378),"" ""))"),"app-published")</f>
        <v>app-published</v>
      </c>
      <c r="C378" s="133" t="s">
        <v>450</v>
      </c>
      <c r="D378" s="133" t="s">
        <v>451</v>
      </c>
      <c r="E378" s="93"/>
    </row>
    <row r="379">
      <c r="A379" s="108" t="str">
        <f>IFERROR(__xludf.DUMMYFUNCTION("JOIN(""-"",""app"",SPLIT(LOWER( C379),"" ""))"),"app-draft")</f>
        <v>app-draft</v>
      </c>
      <c r="C379" s="133" t="s">
        <v>452</v>
      </c>
      <c r="D379" s="133" t="s">
        <v>453</v>
      </c>
      <c r="E379" s="93"/>
    </row>
    <row r="380">
      <c r="A380" s="108" t="str">
        <f>IFERROR(__xludf.DUMMYFUNCTION("JOIN(""-"",""app"",SPLIT(LOWER( C380),"" ""))"),"app-uh-oh,-looks-like-you-haven't-submitted-any-forms.-all-the-forms-that-you-submit-will-be-displayed-here")</f>
        <v>app-uh-oh,-looks-like-you-haven't-submitted-any-forms.-all-the-forms-that-you-submit-will-be-displayed-here</v>
      </c>
      <c r="B380" s="132" t="s">
        <v>3237</v>
      </c>
      <c r="C380" s="133" t="s">
        <v>3238</v>
      </c>
      <c r="D380" s="133" t="s">
        <v>3239</v>
      </c>
      <c r="E380" s="93"/>
    </row>
    <row r="381">
      <c r="A381" s="108" t="str">
        <f>IFERROR(__xludf.DUMMYFUNCTION("JOIN(""-"",""app"",SPLIT(LOWER( C381),"" ""))"),"app-looks-like-you-haven't-published-any-forms-yet")</f>
        <v>app-looks-like-you-haven't-published-any-forms-yet</v>
      </c>
      <c r="B381" s="132" t="s">
        <v>460</v>
      </c>
      <c r="C381" s="133" t="s">
        <v>461</v>
      </c>
      <c r="D381" s="133" t="s">
        <v>462</v>
      </c>
      <c r="E381" s="93"/>
    </row>
    <row r="382">
      <c r="A382" s="108" t="str">
        <f>IFERROR(__xludf.DUMMYFUNCTION("JOIN(""-"",""app"",SPLIT(LOWER( C382),"" ""))"),"app-there-are-no-drafts-to-display-yet")</f>
        <v>app-there-are-no-drafts-to-display-yet</v>
      </c>
      <c r="B382" s="132" t="s">
        <v>3240</v>
      </c>
      <c r="C382" s="133" t="s">
        <v>738</v>
      </c>
      <c r="D382" s="133" t="s">
        <v>3241</v>
      </c>
      <c r="E382" s="93"/>
    </row>
    <row r="383">
      <c r="A383" s="108" t="str">
        <f>IFERROR(__xludf.DUMMYFUNCTION("JOIN(""-"",""app"",SPLIT(LOWER( C383),"" ""))"),"app-untitled-form")</f>
        <v>app-untitled-form</v>
      </c>
      <c r="B383" s="103" t="s">
        <v>3242</v>
      </c>
      <c r="C383" s="106" t="s">
        <v>1515</v>
      </c>
      <c r="D383" s="106" t="s">
        <v>3243</v>
      </c>
      <c r="E383" s="93" t="s">
        <v>3244</v>
      </c>
    </row>
    <row r="384">
      <c r="A384" s="108" t="str">
        <f>IFERROR(__xludf.DUMMYFUNCTION("JOIN(""-"",""app"",SPLIT(LOWER( C384),"" ""))"),"app-all-changes-saved")</f>
        <v>app-all-changes-saved</v>
      </c>
      <c r="C384" s="106" t="s">
        <v>1517</v>
      </c>
      <c r="D384" s="106" t="s">
        <v>1518</v>
      </c>
      <c r="E384" s="93" t="s">
        <v>3245</v>
      </c>
    </row>
    <row r="385">
      <c r="A385" s="108" t="str">
        <f>IFERROR(__xludf.DUMMYFUNCTION("JOIN(""-"",""app"",SPLIT(LOWER( C385),"" ""))"),"app-form")</f>
        <v>app-form</v>
      </c>
      <c r="C385" s="106" t="s">
        <v>3246</v>
      </c>
      <c r="D385" s="106" t="s">
        <v>3247</v>
      </c>
      <c r="E385" s="93" t="s">
        <v>3235</v>
      </c>
    </row>
    <row r="386">
      <c r="A386" s="108" t="str">
        <f>IFERROR(__xludf.DUMMYFUNCTION("JOIN(""-"",""app"",SPLIT(LOWER( C386),"" ""))"),"app-submissions")</f>
        <v>app-submissions</v>
      </c>
      <c r="C386" s="106" t="s">
        <v>841</v>
      </c>
      <c r="D386" s="106" t="s">
        <v>842</v>
      </c>
      <c r="E386" s="93" t="s">
        <v>3248</v>
      </c>
    </row>
    <row r="387">
      <c r="A387" s="108" t="str">
        <f>IFERROR(__xludf.DUMMYFUNCTION("JOIN(""-"",""app"",SPLIT(LOWER( C387),"" ""))"),"app-publish")</f>
        <v>app-publish</v>
      </c>
      <c r="C387" s="106" t="s">
        <v>1713</v>
      </c>
      <c r="D387" s="106" t="s">
        <v>1714</v>
      </c>
      <c r="E387" s="93" t="s">
        <v>3249</v>
      </c>
    </row>
    <row r="388">
      <c r="A388" s="108" t="str">
        <f>IFERROR(__xludf.DUMMYFUNCTION("JOIN(""-"",""app"",SPLIT(LOWER( C388),"" ""))"),"app-asset-location")</f>
        <v>app-asset-location</v>
      </c>
      <c r="C388" s="106" t="s">
        <v>3250</v>
      </c>
      <c r="D388" s="106" t="s">
        <v>3251</v>
      </c>
      <c r="E388" s="93" t="s">
        <v>3252</v>
      </c>
    </row>
    <row r="389">
      <c r="A389" s="108" t="str">
        <f>IFERROR(__xludf.DUMMYFUNCTION("JOIN(""-"",""app"",SPLIT(LOWER( C389),"" ""))"),"app-section")</f>
        <v>app-section</v>
      </c>
      <c r="B389" s="134" t="s">
        <v>3253</v>
      </c>
      <c r="C389" s="133" t="s">
        <v>3254</v>
      </c>
      <c r="D389" s="133" t="s">
        <v>3255</v>
      </c>
      <c r="E389" s="93"/>
    </row>
    <row r="390">
      <c r="A390" s="108" t="str">
        <f>IFERROR(__xludf.DUMMYFUNCTION("JOIN(""-"",""app"",SPLIT(LOWER( C390),"" ""))"),"app-copy-link")</f>
        <v>app-copy-link</v>
      </c>
      <c r="B390" s="128" t="s">
        <v>3256</v>
      </c>
      <c r="C390" s="106" t="s">
        <v>481</v>
      </c>
      <c r="D390" s="106" t="s">
        <v>482</v>
      </c>
      <c r="E390" s="93" t="s">
        <v>3257</v>
      </c>
    </row>
    <row r="391">
      <c r="A391" s="108" t="str">
        <f>IFERROR(__xludf.DUMMYFUNCTION("JOIN(""-"",""app"",SPLIT(LOWER( C391),"" ""))"),"app-link")</f>
        <v>app-link</v>
      </c>
      <c r="B391" s="103" t="s">
        <v>3258</v>
      </c>
      <c r="C391" s="106" t="s">
        <v>1047</v>
      </c>
      <c r="D391" s="106" t="s">
        <v>1048</v>
      </c>
      <c r="E391" s="93" t="s">
        <v>2900</v>
      </c>
    </row>
    <row r="392">
      <c r="A392" s="108" t="str">
        <f>IFERROR(__xludf.DUMMYFUNCTION("JOIN(""-"",""app"",SPLIT(LOWER( C392),"" ""))"),"app-copy-link")</f>
        <v>app-copy-link</v>
      </c>
      <c r="C392" s="106" t="s">
        <v>481</v>
      </c>
      <c r="D392" s="106" t="s">
        <v>482</v>
      </c>
      <c r="E392" s="93" t="s">
        <v>3257</v>
      </c>
    </row>
    <row r="393">
      <c r="A393" s="108" t="str">
        <f>IFERROR(__xludf.DUMMYFUNCTION("JOIN(""-"",""app"",SPLIT(LOWER( C393),"" ""))"),"app-link-copied!")</f>
        <v>app-link-copied!</v>
      </c>
      <c r="C393" s="106" t="s">
        <v>3259</v>
      </c>
      <c r="D393" s="106" t="s">
        <v>3260</v>
      </c>
      <c r="E393" s="93" t="s">
        <v>3261</v>
      </c>
    </row>
    <row r="394">
      <c r="A394" s="108" t="str">
        <f>IFERROR(__xludf.DUMMYFUNCTION("JOIN(""-"",""app"",SPLIT(LOWER( C394),"" ""))"),"app-schedule")</f>
        <v>app-schedule</v>
      </c>
      <c r="B394" s="128" t="s">
        <v>3262</v>
      </c>
      <c r="C394" s="106" t="s">
        <v>527</v>
      </c>
      <c r="D394" s="106" t="s">
        <v>528</v>
      </c>
      <c r="E394" s="93" t="s">
        <v>3263</v>
      </c>
    </row>
    <row r="395">
      <c r="A395" s="108" t="str">
        <f>IFERROR(__xludf.DUMMYFUNCTION("JOIN(""-"",""app"",SPLIT(LOWER( C395),"" ""))"),"app-share")</f>
        <v>app-share</v>
      </c>
      <c r="B395" s="132" t="s">
        <v>500</v>
      </c>
      <c r="C395" s="135" t="s">
        <v>501</v>
      </c>
      <c r="D395" s="135" t="s">
        <v>502</v>
      </c>
      <c r="E395" s="116"/>
    </row>
    <row r="396">
      <c r="A396" s="108" t="str">
        <f>IFERROR(__xludf.DUMMYFUNCTION("JOIN(""-"",""app"",SPLIT(LOWER( C396),"" ""))"),"app-delete")</f>
        <v>app-delete</v>
      </c>
      <c r="B396" s="132" t="s">
        <v>3264</v>
      </c>
      <c r="C396" s="135" t="s">
        <v>259</v>
      </c>
      <c r="D396" s="135" t="s">
        <v>260</v>
      </c>
      <c r="E396" s="116"/>
    </row>
    <row r="397">
      <c r="A397" s="108" t="str">
        <f>IFERROR(__xludf.DUMMYFUNCTION("JOIN(""-"",""app"",SPLIT(LOWER( C397),"" ""))"),"app-are-you-sure-you-want-to-delete-the-form?")</f>
        <v>app-are-you-sure-you-want-to-delete-the-form?</v>
      </c>
      <c r="B397" s="132" t="s">
        <v>3265</v>
      </c>
      <c r="C397" s="135" t="s">
        <v>691</v>
      </c>
      <c r="D397" s="135" t="s">
        <v>692</v>
      </c>
      <c r="E397" s="116"/>
    </row>
    <row r="398">
      <c r="A398" s="108" t="str">
        <f>IFERROR(__xludf.DUMMYFUNCTION("JOIN(""-"",""app"",SPLIT(LOWER( C398),"" ""))"),"app-start-building!")</f>
        <v>app-start-building!</v>
      </c>
      <c r="B398" s="132" t="s">
        <v>3266</v>
      </c>
      <c r="C398" s="135" t="s">
        <v>3267</v>
      </c>
      <c r="D398" s="135" t="s">
        <v>3268</v>
      </c>
      <c r="E398" s="116"/>
    </row>
    <row r="399">
      <c r="A399" s="108" t="str">
        <f>IFERROR(__xludf.DUMMYFUNCTION("JOIN(""-"",""app"",SPLIT(LOWER( C399),"" ""))"),"app-saved-successfully")</f>
        <v>app-saved-successfully</v>
      </c>
      <c r="B399" s="132" t="s">
        <v>3269</v>
      </c>
      <c r="C399" s="135" t="s">
        <v>3270</v>
      </c>
      <c r="D399" s="135" t="s">
        <v>3271</v>
      </c>
      <c r="E399" s="116"/>
    </row>
    <row r="400">
      <c r="A400" s="108" t="str">
        <f>IFERROR(__xludf.DUMMYFUNCTION("JOIN(""-"",""app"",SPLIT(LOWER( C400),"" ""))"),"app-submitted-successfully")</f>
        <v>app-submitted-successfully</v>
      </c>
      <c r="B400" s="132" t="s">
        <v>3272</v>
      </c>
      <c r="C400" s="135" t="s">
        <v>683</v>
      </c>
      <c r="D400" s="135" t="s">
        <v>684</v>
      </c>
      <c r="E400" s="116"/>
    </row>
    <row r="401">
      <c r="A401" s="108" t="str">
        <f>IFERROR(__xludf.DUMMYFUNCTION("JOIN(""-"",""app"",SPLIT(LOWER( C401),"" ""))"),"app-responses")</f>
        <v>app-responses</v>
      </c>
      <c r="B401" s="136" t="s">
        <v>470</v>
      </c>
      <c r="C401" s="135" t="s">
        <v>3273</v>
      </c>
      <c r="D401" s="135" t="s">
        <v>3274</v>
      </c>
      <c r="E401" s="116"/>
    </row>
    <row r="402">
      <c r="A402" s="108" t="str">
        <f>IFERROR(__xludf.DUMMYFUNCTION("JOIN(""-"",""app"",SPLIT(LOWER( C402),"" ""))"),"app-showing")</f>
        <v>app-showing</v>
      </c>
      <c r="C402" s="135" t="s">
        <v>471</v>
      </c>
      <c r="D402" s="135" t="s">
        <v>472</v>
      </c>
      <c r="E402" s="116"/>
    </row>
    <row r="403">
      <c r="A403" s="108" t="str">
        <f>IFERROR(__xludf.DUMMYFUNCTION("JOIN(""-"",""app"",SPLIT(LOWER( C403),"" ""))"),"app-export-csv")</f>
        <v>app-export-csv</v>
      </c>
      <c r="C403" s="135" t="s">
        <v>474</v>
      </c>
      <c r="D403" s="135" t="s">
        <v>475</v>
      </c>
      <c r="E403" s="116"/>
    </row>
    <row r="404">
      <c r="A404" s="108" t="str">
        <f>IFERROR(__xludf.DUMMYFUNCTION("JOIN(""-"",""app"",SPLIT(LOWER( C404),"" ""))"),"app-export-as-pdf")</f>
        <v>app-export-as-pdf</v>
      </c>
      <c r="C404" s="135" t="s">
        <v>477</v>
      </c>
      <c r="D404" s="135" t="s">
        <v>478</v>
      </c>
      <c r="E404" s="116"/>
    </row>
    <row r="405">
      <c r="A405" s="108" t="str">
        <f>IFERROR(__xludf.DUMMYFUNCTION("JOIN(""-"",""app"",SPLIT(LOWER( C405),"" ""))"),"app-attachments-and-tables-fields-will-not-be-included")</f>
        <v>app-attachments-and-tables-fields-will-not-be-included</v>
      </c>
      <c r="B405" s="132" t="s">
        <v>3275</v>
      </c>
      <c r="C405" s="135" t="s">
        <v>3276</v>
      </c>
      <c r="D405" s="135" t="s">
        <v>3277</v>
      </c>
      <c r="E405" s="116"/>
    </row>
    <row r="406">
      <c r="A406" s="108" t="str">
        <f>IFERROR(__xludf.DUMMYFUNCTION("JOIN(""-"",""app"",SPLIT(LOWER( C406),"" ""))"),"app-filters-are-not-available-for-this-form")</f>
        <v>app-filters-are-not-available-for-this-form</v>
      </c>
      <c r="B406" s="132" t="s">
        <v>3278</v>
      </c>
      <c r="C406" s="135" t="s">
        <v>3279</v>
      </c>
      <c r="D406" s="135" t="s">
        <v>3280</v>
      </c>
      <c r="E406" s="116"/>
    </row>
    <row r="407">
      <c r="A407" s="108" t="str">
        <f>IFERROR(__xludf.DUMMYFUNCTION("JOIN(""-"",""app"",SPLIT(LOWER( C407),"" ""))"),"app-1-selected")</f>
        <v>app-1-selected</v>
      </c>
      <c r="B407" s="132" t="s">
        <v>3281</v>
      </c>
      <c r="C407" s="135" t="s">
        <v>3282</v>
      </c>
      <c r="D407" s="135" t="s">
        <v>3283</v>
      </c>
      <c r="E407" s="116"/>
    </row>
    <row r="408">
      <c r="A408" s="108" t="str">
        <f>IFERROR(__xludf.DUMMYFUNCTION("JOIN(""-"",""app"",SPLIT(LOWER( C408),"" ""))"),"app-form-yet-to-be-submitted")</f>
        <v>app-form-yet-to-be-submitted</v>
      </c>
      <c r="B408" s="136" t="s">
        <v>3284</v>
      </c>
      <c r="C408" s="135" t="s">
        <v>3285</v>
      </c>
      <c r="D408" s="135" t="s">
        <v>3286</v>
      </c>
      <c r="E408" s="116"/>
    </row>
    <row r="409">
      <c r="A409" s="108" t="str">
        <f>IFERROR(__xludf.DUMMYFUNCTION("JOIN(""-"",""app"",SPLIT(LOWER( C409),"" ""))"),"app-submitted-form-by-any-users-can-be-viewed-here,-there-are-not-submissions-yet")</f>
        <v>app-submitted-form-by-any-users-can-be-viewed-here,-there-are-not-submissions-yet</v>
      </c>
      <c r="B409" s="132" t="s">
        <v>3287</v>
      </c>
      <c r="C409" s="135" t="s">
        <v>3288</v>
      </c>
      <c r="D409" s="135" t="s">
        <v>3289</v>
      </c>
      <c r="E409" s="116"/>
    </row>
    <row r="410">
      <c r="A410" s="108" t="str">
        <f>IFERROR(__xludf.DUMMYFUNCTION("JOIN(""-"",""app"",SPLIT(LOWER( C410),"" ""))"),"app-try-submitting-the-form-first")</f>
        <v>app-try-submitting-the-form-first</v>
      </c>
      <c r="C410" s="135" t="s">
        <v>3290</v>
      </c>
      <c r="D410" s="135" t="s">
        <v>3291</v>
      </c>
      <c r="E410" s="116"/>
    </row>
    <row r="411">
      <c r="A411" s="108" t="str">
        <f>IFERROR(__xludf.DUMMYFUNCTION("JOIN(""-"",""app"",SPLIT(LOWER( C411),"" ""))"),"app-instances")</f>
        <v>app-instances</v>
      </c>
      <c r="B411" s="132" t="s">
        <v>3292</v>
      </c>
      <c r="C411" s="135" t="s">
        <v>3293</v>
      </c>
      <c r="D411" s="135" t="s">
        <v>3294</v>
      </c>
      <c r="E411" s="116"/>
    </row>
    <row r="412">
      <c r="A412" s="108" t="str">
        <f>IFERROR(__xludf.DUMMYFUNCTION("JOIN(""-"",""app"",SPLIT(LOWER( C412),"" ""))"),"app-assigned-to")</f>
        <v>app-assigned-to</v>
      </c>
      <c r="C412" s="135" t="s">
        <v>3295</v>
      </c>
      <c r="D412" s="135" t="s">
        <v>3296</v>
      </c>
      <c r="E412" s="116"/>
    </row>
    <row r="413">
      <c r="A413" s="108" t="str">
        <f>IFERROR(__xludf.DUMMYFUNCTION("JOIN(""-"",""app"",SPLIT(LOWER( C413),"" ""))"),"app-due-date")</f>
        <v>app-due-date</v>
      </c>
      <c r="C413" s="135" t="s">
        <v>443</v>
      </c>
      <c r="D413" s="135" t="s">
        <v>444</v>
      </c>
      <c r="E413" s="116"/>
    </row>
    <row r="414">
      <c r="A414" s="108" t="str">
        <f>IFERROR(__xludf.DUMMYFUNCTION("JOIN(""-"",""app"",SPLIT(LOWER( C414),"" ""))"),"app-status")</f>
        <v>app-status</v>
      </c>
      <c r="C414" s="135" t="s">
        <v>339</v>
      </c>
      <c r="D414" s="135" t="s">
        <v>340</v>
      </c>
      <c r="E414" s="116"/>
    </row>
    <row r="415">
      <c r="A415" s="108" t="str">
        <f>IFERROR(__xludf.DUMMYFUNCTION("JOIN(""-"",""app"",SPLIT(LOWER( C415),"" ""))"),"app-preview-form")</f>
        <v>app-preview-form</v>
      </c>
      <c r="B415" s="132" t="s">
        <v>3297</v>
      </c>
      <c r="C415" s="135" t="s">
        <v>1718</v>
      </c>
      <c r="D415" s="135" t="s">
        <v>1719</v>
      </c>
      <c r="E415" s="116"/>
    </row>
    <row r="416">
      <c r="A416" s="108" t="str">
        <f>IFERROR(__xludf.DUMMYFUNCTION("JOIN(""-"",""app"",SPLIT(LOWER( C416),"" ""))"),"app-schedule")</f>
        <v>app-schedule</v>
      </c>
      <c r="C416" s="135" t="s">
        <v>527</v>
      </c>
      <c r="D416" s="135" t="s">
        <v>528</v>
      </c>
      <c r="E416" s="116"/>
    </row>
    <row r="417">
      <c r="A417" s="108" t="str">
        <f>IFERROR(__xludf.DUMMYFUNCTION("JOIN(""-"",""app"",SPLIT(LOWER( C417),"" ""))"),"app-rename")</f>
        <v>app-rename</v>
      </c>
      <c r="B417" s="132" t="s">
        <v>3298</v>
      </c>
      <c r="C417" s="135" t="s">
        <v>1721</v>
      </c>
      <c r="D417" s="135" t="s">
        <v>1722</v>
      </c>
      <c r="E417" s="116"/>
    </row>
    <row r="418">
      <c r="A418" s="108" t="str">
        <f>IFERROR(__xludf.DUMMYFUNCTION("JOIN(""-"",""app"",SPLIT(LOWER( C418),"" ""))"),"app-share")</f>
        <v>app-share</v>
      </c>
      <c r="C418" s="135" t="s">
        <v>501</v>
      </c>
      <c r="D418" s="135" t="s">
        <v>502</v>
      </c>
      <c r="E418" s="116"/>
    </row>
    <row r="419">
      <c r="A419" s="108" t="str">
        <f>IFERROR(__xludf.DUMMYFUNCTION("JOIN(""-"",""app"",SPLIT(LOWER( C419),"" ""))"),"app-copy-link")</f>
        <v>app-copy-link</v>
      </c>
      <c r="B419" s="132" t="s">
        <v>3299</v>
      </c>
      <c r="C419" s="135" t="s">
        <v>481</v>
      </c>
      <c r="D419" s="135" t="s">
        <v>482</v>
      </c>
      <c r="E419" s="116"/>
    </row>
    <row r="420">
      <c r="A420" s="108" t="str">
        <f>IFERROR(__xludf.DUMMYFUNCTION("JOIN(""-"",""app"",SPLIT(LOWER( C420),"" ""))"),"app-delete")</f>
        <v>app-delete</v>
      </c>
      <c r="C420" s="135" t="s">
        <v>259</v>
      </c>
      <c r="D420" s="135" t="s">
        <v>260</v>
      </c>
      <c r="E420" s="116"/>
    </row>
    <row r="421">
      <c r="A421" s="108" t="str">
        <f>IFERROR(__xludf.DUMMYFUNCTION("JOIN(""-"",""app"",SPLIT(LOWER( C421),"" ""))"),"app-you-can-upload-a-file-here")</f>
        <v>app-you-can-upload-a-file-here</v>
      </c>
      <c r="B421" s="132" t="s">
        <v>3300</v>
      </c>
      <c r="C421" s="135" t="s">
        <v>3301</v>
      </c>
      <c r="D421" s="135" t="s">
        <v>3302</v>
      </c>
      <c r="E421" s="116"/>
    </row>
    <row r="422">
      <c r="A422" s="108" t="str">
        <f>IFERROR(__xludf.DUMMYFUNCTION("JOIN(""-"",""app"",SPLIT(LOWER( C422),"" ""))"),"app-save")</f>
        <v>app-save</v>
      </c>
      <c r="B422" s="136" t="s">
        <v>3303</v>
      </c>
      <c r="C422" s="135" t="s">
        <v>146</v>
      </c>
      <c r="D422" s="135" t="s">
        <v>147</v>
      </c>
      <c r="E422" s="116"/>
    </row>
    <row r="423">
      <c r="A423" s="108" t="str">
        <f>IFERROR(__xludf.DUMMYFUNCTION("JOIN(""-"",""app"",SPLIT(LOWER( C423),"" ""))"),"app-does-not-meet-minimum-lenght-of-1")</f>
        <v>app-does-not-meet-minimum-lenght-of-1</v>
      </c>
      <c r="B423" s="132" t="s">
        <v>3304</v>
      </c>
      <c r="C423" s="135" t="s">
        <v>3305</v>
      </c>
      <c r="D423" s="135" t="s">
        <v>3306</v>
      </c>
      <c r="E423" s="116"/>
    </row>
    <row r="424">
      <c r="A424" s="108" t="str">
        <f>IFERROR(__xludf.DUMMYFUNCTION("JOIN(""-"",""app"",SPLIT(LOWER( C424),"" ""))"),"app-enter-text-here")</f>
        <v>app-enter-text-here</v>
      </c>
      <c r="B424" s="132" t="s">
        <v>3307</v>
      </c>
      <c r="C424" s="135" t="s">
        <v>3308</v>
      </c>
      <c r="D424" s="135" t="s">
        <v>3309</v>
      </c>
      <c r="E424" s="116"/>
    </row>
    <row r="425">
      <c r="A425" s="108" t="str">
        <f>IFERROR(__xludf.DUMMYFUNCTION("JOIN(""-"",""app"",SPLIT(LOWER( C425),"" ""))"),"app-please-enter-a-valid-text")</f>
        <v>app-please-enter-a-valid-text</v>
      </c>
      <c r="C425" s="135" t="s">
        <v>3310</v>
      </c>
      <c r="D425" s="135" t="s">
        <v>3311</v>
      </c>
      <c r="E425" s="116"/>
    </row>
    <row r="426">
      <c r="A426" s="108" t="str">
        <f>IFERROR(__xludf.DUMMYFUNCTION("JOIN(""-"",""app"",SPLIT(LOWER( C426),"" ""))"),"app-enter-number-here")</f>
        <v>app-enter-number-here</v>
      </c>
      <c r="B426" s="132" t="s">
        <v>3312</v>
      </c>
      <c r="C426" s="135" t="s">
        <v>3313</v>
      </c>
      <c r="D426" s="135" t="s">
        <v>3314</v>
      </c>
      <c r="E426" s="116"/>
    </row>
    <row r="427">
      <c r="A427" s="108" t="str">
        <f>IFERROR(__xludf.DUMMYFUNCTION("JOIN(""-"",""app"",SPLIT(LOWER( C427),"" ""))"),"app-is-not-of-a-type(s)-number")</f>
        <v>app-is-not-of-a-type(s)-number</v>
      </c>
      <c r="C427" s="135" t="s">
        <v>3315</v>
      </c>
      <c r="D427" s="135" t="s">
        <v>3316</v>
      </c>
      <c r="E427" s="116"/>
    </row>
    <row r="428">
      <c r="A428" s="108" t="str">
        <f>IFERROR(__xludf.DUMMYFUNCTION("JOIN(""-"",""app"",SPLIT(LOWER( C428),"" ""))"),"app-edit-details")</f>
        <v>app-edit-details</v>
      </c>
      <c r="B428" s="106"/>
      <c r="C428" s="121" t="s">
        <v>3317</v>
      </c>
      <c r="D428" s="121" t="s">
        <v>3318</v>
      </c>
      <c r="E428" s="116" t="str">
        <f>IFERROR(__xludf.DUMMYFUNCTION("IFERROR(VLOOKUP(C428,IMPORTRANGE(""https://docs.google.com/spreadsheets/d/1SQRLoxD_LXfQNfB7NOxI5jlxbkDlcNPwla_2gSTySP8/edit#gid=274515254"",""Terra!$C$2:$D$151""),2,0),0)"),"詳細の編集")</f>
        <v>詳細の編集</v>
      </c>
    </row>
    <row r="429">
      <c r="A429" s="137" t="str">
        <f>IFERROR(__xludf.DUMMYFUNCTION("JOIN(""-"",""app"",SPLIT(LOWER( C429),"" ""))"),"app-update-details")</f>
        <v>app-update-details</v>
      </c>
      <c r="B429" s="106"/>
      <c r="C429" s="121" t="s">
        <v>3319</v>
      </c>
      <c r="D429" s="121" t="s">
        <v>3320</v>
      </c>
      <c r="E429" s="116" t="str">
        <f>IFERROR(__xludf.DUMMYFUNCTION("IFERROR(VLOOKUP(C429,IMPORTRANGE(""https://docs.google.com/spreadsheets/d/1SQRLoxD_LXfQNfB7NOxI5jlxbkDlcNPwla_2gSTySP8/edit#gid=274515254"",""Terra!$C$2:$D$151""),2,0),0)"),"詳細を更新")</f>
        <v>詳細を更新</v>
      </c>
    </row>
    <row r="430">
      <c r="A430" s="137" t="str">
        <f>IFERROR(__xludf.DUMMYFUNCTION("JOIN(""-"",""app"",SPLIT(LOWER( C430),"" ""))"),"app-height")</f>
        <v>app-height</v>
      </c>
      <c r="B430" s="106"/>
      <c r="C430" s="121" t="s">
        <v>3321</v>
      </c>
      <c r="D430" s="121" t="s">
        <v>3322</v>
      </c>
      <c r="E430" s="116" t="str">
        <f>IFERROR(__xludf.DUMMYFUNCTION("IFERROR(VLOOKUP(C430,IMPORTRANGE(""https://docs.google.com/spreadsheets/d/1SQRLoxD_LXfQNfB7NOxI5jlxbkDlcNPwla_2gSTySP8/edit#gid=274515254"",""Terra!$C$2:$D$151""),2,0),0)"),"高度")</f>
        <v>高度</v>
      </c>
    </row>
    <row r="431">
      <c r="A431" s="137" t="str">
        <f>IFERROR(__xludf.DUMMYFUNCTION("JOIN(""-"",""app"",SPLIT(LOWER( C431),"" ""))"),"app-create-group")</f>
        <v>app-create-group</v>
      </c>
      <c r="B431" s="106"/>
      <c r="C431" s="121" t="s">
        <v>3323</v>
      </c>
      <c r="D431" s="121" t="s">
        <v>3324</v>
      </c>
      <c r="E431" s="116" t="str">
        <f>IFERROR(__xludf.DUMMYFUNCTION("IFERROR(VLOOKUP(C431,IMPORTRANGE(""https://docs.google.com/spreadsheets/d/1SQRLoxD_LXfQNfB7NOxI5jlxbkDlcNPwla_2gSTySP8/edit#gid=274515254"",""Terra!$C$2:$D$151""),2,0),0)"),"グループを作成")</f>
        <v>グループを作成</v>
      </c>
    </row>
    <row r="432">
      <c r="A432" s="137" t="str">
        <f>IFERROR(__xludf.DUMMYFUNCTION("JOIN(""-"",""app"",SPLIT(LOWER( C432),"" ""))"),"app-marker")</f>
        <v>app-marker</v>
      </c>
      <c r="B432" s="106"/>
      <c r="C432" s="121" t="s">
        <v>3325</v>
      </c>
      <c r="D432" s="121" t="s">
        <v>3326</v>
      </c>
      <c r="E432" s="116" t="str">
        <f>IFERROR(__xludf.DUMMYFUNCTION("IFERROR(VLOOKUP(C432,IMPORTRANGE(""https://docs.google.com/spreadsheets/d/1SQRLoxD_LXfQNfB7NOxI5jlxbkDlcNPwla_2gSTySP8/edit#gid=274515254"",""Terra!$C$2:$D$151""),2,0),0)"),"マーカー")</f>
        <v>マーカー</v>
      </c>
    </row>
    <row r="433">
      <c r="A433" s="137" t="str">
        <f>IFERROR(__xludf.DUMMYFUNCTION("JOIN(""-"",""app"",SPLIT(LOWER( C433),"" ""))"),"app-create-container-for")</f>
        <v>app-create-container-for</v>
      </c>
      <c r="B433" s="106"/>
      <c r="C433" s="121" t="s">
        <v>2216</v>
      </c>
      <c r="D433" s="121" t="s">
        <v>2217</v>
      </c>
      <c r="E433" s="116" t="str">
        <f>IFERROR(__xludf.DUMMYFUNCTION("IFERROR(VLOOKUP(C433,IMPORTRANGE(""https://docs.google.com/spreadsheets/d/1SQRLoxD_LXfQNfB7NOxI5jlxbkDlcNPwla_2gSTySP8/edit#gid=274515254"",""Terra!$C$2:$D$151""),2,0),0)"),"コンテナ作成対象")</f>
        <v>コンテナ作成対象</v>
      </c>
    </row>
    <row r="434">
      <c r="A434" s="137" t="str">
        <f>IFERROR(__xludf.DUMMYFUNCTION("JOIN(""-"",""app"",SPLIT(LOWER( C434),"" ""))"),"app-create-tasks-from-template")</f>
        <v>app-create-tasks-from-template</v>
      </c>
      <c r="B434" s="132" t="s">
        <v>403</v>
      </c>
      <c r="C434" s="135" t="s">
        <v>404</v>
      </c>
      <c r="D434" s="135" t="s">
        <v>405</v>
      </c>
      <c r="E434" s="138"/>
    </row>
    <row r="435">
      <c r="A435" s="137" t="str">
        <f>IFERROR(__xludf.DUMMYFUNCTION("JOIN(""-"",""app"",SPLIT(LOWER( C435),"" ""))"),"app-create-forms-from-template")</f>
        <v>app-create-forms-from-template</v>
      </c>
      <c r="B435" s="132" t="s">
        <v>3327</v>
      </c>
      <c r="C435" s="135" t="s">
        <v>3328</v>
      </c>
      <c r="D435" s="135" t="s">
        <v>3329</v>
      </c>
      <c r="E435" s="138"/>
    </row>
    <row r="436">
      <c r="A436" s="137" t="str">
        <f>IFERROR(__xludf.DUMMYFUNCTION("JOIN(""-"",""app"",SPLIT(LOWER( C436),"" ""))"),"app-tasks-bulk-actions")</f>
        <v>app-tasks-bulk-actions</v>
      </c>
      <c r="B436" s="132" t="s">
        <v>407</v>
      </c>
      <c r="C436" s="135" t="s">
        <v>408</v>
      </c>
      <c r="D436" s="135" t="s">
        <v>409</v>
      </c>
      <c r="E436" s="138"/>
    </row>
    <row r="437">
      <c r="A437" s="137" t="str">
        <f>IFERROR(__xludf.DUMMYFUNCTION("JOIN(""-"",""app"",SPLIT(LOWER( C437),"" ""))"),"app-no-tickets-(tasks)-selected!")</f>
        <v>app-no-tickets-(tasks)-selected!</v>
      </c>
      <c r="B437" s="132" t="s">
        <v>411</v>
      </c>
      <c r="C437" s="135" t="s">
        <v>412</v>
      </c>
      <c r="D437" s="135" t="s">
        <v>413</v>
      </c>
      <c r="E437" s="138"/>
    </row>
    <row r="438">
      <c r="A438" s="137" t="str">
        <f>IFERROR(__xludf.DUMMYFUNCTION("JOIN(""-"",""app"",SPLIT(LOWER( C438),"" ""))"),"app-forms-bulk-actions")</f>
        <v>app-forms-bulk-actions</v>
      </c>
      <c r="B438" s="132" t="s">
        <v>3330</v>
      </c>
      <c r="C438" s="135" t="s">
        <v>3331</v>
      </c>
      <c r="D438" s="135" t="s">
        <v>3332</v>
      </c>
      <c r="E438" s="138"/>
    </row>
    <row r="439">
      <c r="A439" s="137" t="str">
        <f>IFERROR(__xludf.DUMMYFUNCTION("JOIN(""-"",""app"",SPLIT(LOWER( C439),"" ""))"),"app-no-forms-selected!")</f>
        <v>app-no-forms-selected!</v>
      </c>
      <c r="B439" s="132" t="s">
        <v>415</v>
      </c>
      <c r="C439" s="135" t="s">
        <v>416</v>
      </c>
      <c r="D439" s="135" t="s">
        <v>417</v>
      </c>
      <c r="E439" s="138"/>
    </row>
    <row r="440">
      <c r="A440" s="137" t="str">
        <f>IFERROR(__xludf.DUMMYFUNCTION("JOIN(""-"",""app"",SPLIT(LOWER( C440),"" ""))"),"app-share")</f>
        <v>app-share</v>
      </c>
      <c r="B440" s="132" t="s">
        <v>686</v>
      </c>
      <c r="C440" s="135" t="s">
        <v>501</v>
      </c>
      <c r="D440" s="135" t="s">
        <v>502</v>
      </c>
      <c r="E440" s="138"/>
    </row>
    <row r="441">
      <c r="A441" s="137" t="str">
        <f>IFERROR(__xludf.DUMMYFUNCTION("JOIN(""-"",""app"",SPLIT(LOWER( C441),"" ""))"),"app-schedule")</f>
        <v>app-schedule</v>
      </c>
      <c r="B441" s="132" t="s">
        <v>688</v>
      </c>
      <c r="C441" s="135" t="s">
        <v>527</v>
      </c>
      <c r="D441" s="135" t="s">
        <v>528</v>
      </c>
      <c r="E441" s="138"/>
    </row>
    <row r="442">
      <c r="A442" s="137" t="str">
        <f>IFERROR(__xludf.DUMMYFUNCTION("JOIN(""-"",""app"",SPLIT(LOWER( C442),"" ""))"),"app-unable-to-connect-to-servers")</f>
        <v>app-unable-to-connect-to-servers</v>
      </c>
      <c r="B442" s="136" t="s">
        <v>794</v>
      </c>
      <c r="C442" s="135" t="s">
        <v>795</v>
      </c>
      <c r="D442" s="135" t="s">
        <v>796</v>
      </c>
      <c r="E442" s="138"/>
    </row>
    <row r="443">
      <c r="A443" s="137" t="str">
        <f>IFERROR(__xludf.DUMMYFUNCTION("JOIN(""-"",""app"",SPLIT(LOWER( C443),"" ""))"),"app-please-check-if-you-are-online-and-retry")</f>
        <v>app-please-check-if-you-are-online-and-retry</v>
      </c>
      <c r="C443" s="135" t="s">
        <v>798</v>
      </c>
      <c r="D443" s="135" t="s">
        <v>799</v>
      </c>
      <c r="E443" s="138"/>
    </row>
    <row r="444">
      <c r="A444" s="137" t="str">
        <f>IFERROR(__xludf.DUMMYFUNCTION("JOIN(""-"",""app"",SPLIT(LOWER( C444),"" ""))"),"app-retry")</f>
        <v>app-retry</v>
      </c>
      <c r="C444" s="135" t="s">
        <v>800</v>
      </c>
      <c r="D444" s="135" t="s">
        <v>801</v>
      </c>
      <c r="E444" s="138"/>
    </row>
    <row r="445">
      <c r="A445" s="137" t="str">
        <f>IFERROR(__xludf.DUMMYFUNCTION("JOIN(""-"",""app"",SPLIT(LOWER( C445),"" ""))"),"app-are-you-sure-you-want-to-delete-...?")</f>
        <v>app-are-you-sure-you-want-to-delete-...?</v>
      </c>
      <c r="B445" s="132" t="s">
        <v>3333</v>
      </c>
      <c r="C445" s="135" t="s">
        <v>3334</v>
      </c>
      <c r="D445" s="135" t="s">
        <v>151</v>
      </c>
      <c r="E445" s="138"/>
    </row>
    <row r="446">
      <c r="A446" s="46"/>
      <c r="B446" s="7"/>
      <c r="C446" s="66"/>
      <c r="D446" s="66"/>
    </row>
    <row r="447">
      <c r="A447" s="46"/>
      <c r="B447" s="7"/>
      <c r="C447" s="66"/>
      <c r="D447" s="66"/>
    </row>
    <row r="448">
      <c r="A448" s="46"/>
      <c r="B448" s="7"/>
      <c r="C448" s="66"/>
      <c r="D448" s="66"/>
    </row>
    <row r="449">
      <c r="A449" s="46"/>
      <c r="B449" s="7"/>
      <c r="C449" s="66"/>
      <c r="D449" s="66"/>
    </row>
    <row r="450">
      <c r="A450" s="46"/>
      <c r="B450" s="7"/>
      <c r="C450" s="66"/>
      <c r="D450" s="66"/>
    </row>
    <row r="451">
      <c r="A451" s="46"/>
      <c r="B451" s="7"/>
      <c r="C451" s="66"/>
      <c r="D451" s="66"/>
    </row>
    <row r="452">
      <c r="A452" s="46"/>
      <c r="B452" s="7"/>
      <c r="C452" s="66"/>
      <c r="D452" s="66"/>
    </row>
    <row r="453">
      <c r="A453" s="46"/>
      <c r="B453" s="7"/>
      <c r="C453" s="66"/>
      <c r="D453" s="66"/>
    </row>
    <row r="454">
      <c r="A454" s="46"/>
      <c r="B454" s="7"/>
      <c r="C454" s="66"/>
      <c r="D454" s="66"/>
    </row>
    <row r="455">
      <c r="A455" s="46"/>
      <c r="B455" s="7"/>
      <c r="C455" s="66"/>
      <c r="D455" s="66"/>
    </row>
    <row r="456">
      <c r="A456" s="46"/>
      <c r="B456" s="7"/>
      <c r="C456" s="66"/>
      <c r="D456" s="66"/>
    </row>
    <row r="457">
      <c r="A457" s="46"/>
      <c r="B457" s="7"/>
      <c r="C457" s="66"/>
      <c r="D457" s="66"/>
    </row>
    <row r="458">
      <c r="A458" s="46"/>
      <c r="B458" s="7"/>
      <c r="C458" s="66"/>
      <c r="D458" s="66"/>
    </row>
    <row r="459">
      <c r="A459" s="46"/>
      <c r="B459" s="7"/>
      <c r="C459" s="66"/>
      <c r="D459" s="66"/>
    </row>
    <row r="460">
      <c r="A460" s="46"/>
      <c r="B460" s="7"/>
      <c r="C460" s="66"/>
      <c r="D460" s="66"/>
    </row>
    <row r="461">
      <c r="A461" s="46"/>
      <c r="B461" s="7"/>
      <c r="C461" s="66"/>
      <c r="D461" s="66"/>
    </row>
    <row r="462">
      <c r="A462" s="46"/>
      <c r="B462" s="7"/>
      <c r="C462" s="66"/>
      <c r="D462" s="66"/>
    </row>
    <row r="463">
      <c r="A463" s="46"/>
      <c r="B463" s="7"/>
      <c r="C463" s="66"/>
      <c r="D463" s="66"/>
    </row>
    <row r="464">
      <c r="A464" s="46"/>
      <c r="B464" s="7"/>
      <c r="C464" s="66"/>
      <c r="D464" s="66"/>
    </row>
    <row r="465">
      <c r="A465" s="46"/>
      <c r="B465" s="7"/>
      <c r="C465" s="66"/>
      <c r="D465" s="66"/>
    </row>
    <row r="466">
      <c r="A466" s="46"/>
      <c r="B466" s="7"/>
      <c r="C466" s="66"/>
      <c r="D466" s="66"/>
    </row>
    <row r="467">
      <c r="A467" s="46"/>
      <c r="B467" s="7"/>
      <c r="C467" s="66"/>
      <c r="D467" s="66"/>
    </row>
    <row r="468">
      <c r="A468" s="46"/>
      <c r="B468" s="7"/>
      <c r="C468" s="66"/>
      <c r="D468" s="66"/>
    </row>
    <row r="469">
      <c r="A469" s="46"/>
      <c r="B469" s="7"/>
      <c r="C469" s="66"/>
      <c r="D469" s="66"/>
    </row>
    <row r="470">
      <c r="A470" s="46"/>
      <c r="B470" s="7"/>
      <c r="C470" s="66"/>
      <c r="D470" s="66"/>
    </row>
    <row r="471">
      <c r="A471" s="46"/>
      <c r="B471" s="7"/>
      <c r="C471" s="66"/>
      <c r="D471" s="66"/>
    </row>
    <row r="472">
      <c r="A472" s="46"/>
      <c r="B472" s="7"/>
      <c r="C472" s="66"/>
      <c r="D472" s="66"/>
    </row>
    <row r="473">
      <c r="A473" s="46"/>
      <c r="B473" s="7"/>
      <c r="C473" s="66"/>
      <c r="D473" s="66"/>
    </row>
    <row r="474">
      <c r="A474" s="46"/>
      <c r="B474" s="7"/>
      <c r="C474" s="66"/>
      <c r="D474" s="66"/>
    </row>
    <row r="475">
      <c r="A475" s="46"/>
      <c r="B475" s="7"/>
      <c r="C475" s="66"/>
      <c r="D475" s="66"/>
    </row>
    <row r="476">
      <c r="A476" s="46"/>
      <c r="B476" s="7"/>
      <c r="C476" s="66"/>
      <c r="D476" s="66"/>
    </row>
    <row r="477">
      <c r="A477" s="46"/>
      <c r="B477" s="7"/>
      <c r="C477" s="66"/>
      <c r="D477" s="66"/>
    </row>
    <row r="478">
      <c r="A478" s="46"/>
      <c r="B478" s="7"/>
      <c r="C478" s="66"/>
      <c r="D478" s="66"/>
    </row>
    <row r="479">
      <c r="A479" s="46"/>
      <c r="B479" s="7"/>
      <c r="C479" s="66"/>
      <c r="D479" s="66"/>
    </row>
    <row r="480">
      <c r="A480" s="46"/>
      <c r="B480" s="7"/>
      <c r="C480" s="66"/>
      <c r="D480" s="66"/>
    </row>
    <row r="481">
      <c r="A481" s="46"/>
      <c r="B481" s="7"/>
      <c r="C481" s="66"/>
      <c r="D481" s="66"/>
    </row>
    <row r="482">
      <c r="A482" s="46"/>
      <c r="B482" s="7"/>
      <c r="C482" s="66"/>
      <c r="D482" s="66"/>
    </row>
    <row r="483">
      <c r="A483" s="46"/>
      <c r="B483" s="7"/>
      <c r="C483" s="66"/>
      <c r="D483" s="66"/>
    </row>
    <row r="484">
      <c r="A484" s="46"/>
      <c r="B484" s="7"/>
      <c r="C484" s="66"/>
      <c r="D484" s="66"/>
    </row>
    <row r="485">
      <c r="A485" s="46"/>
      <c r="B485" s="7"/>
      <c r="C485" s="66"/>
      <c r="D485" s="66"/>
    </row>
    <row r="486">
      <c r="A486" s="46"/>
      <c r="B486" s="7"/>
      <c r="C486" s="66"/>
      <c r="D486" s="66"/>
    </row>
    <row r="487">
      <c r="A487" s="46"/>
      <c r="B487" s="7"/>
      <c r="C487" s="66"/>
      <c r="D487" s="66"/>
    </row>
    <row r="488">
      <c r="A488" s="46"/>
      <c r="B488" s="7"/>
      <c r="C488" s="66"/>
      <c r="D488" s="66"/>
    </row>
    <row r="489">
      <c r="A489" s="46"/>
      <c r="B489" s="7"/>
      <c r="C489" s="66"/>
      <c r="D489" s="66"/>
    </row>
    <row r="490">
      <c r="A490" s="46"/>
      <c r="B490" s="7"/>
      <c r="C490" s="66"/>
      <c r="D490" s="66"/>
    </row>
    <row r="491">
      <c r="A491" s="46"/>
      <c r="B491" s="7"/>
      <c r="C491" s="66"/>
      <c r="D491" s="66"/>
    </row>
    <row r="492">
      <c r="A492" s="46"/>
      <c r="B492" s="7"/>
      <c r="C492" s="66"/>
      <c r="D492" s="66"/>
    </row>
    <row r="493">
      <c r="A493" s="46"/>
      <c r="B493" s="7"/>
      <c r="C493" s="66"/>
      <c r="D493" s="66"/>
    </row>
    <row r="494">
      <c r="A494" s="46"/>
      <c r="B494" s="7"/>
      <c r="C494" s="66"/>
      <c r="D494" s="66"/>
    </row>
    <row r="495">
      <c r="A495" s="46"/>
      <c r="B495" s="7"/>
      <c r="C495" s="66"/>
      <c r="D495" s="66"/>
    </row>
    <row r="496">
      <c r="A496" s="46"/>
      <c r="B496" s="7"/>
      <c r="C496" s="66"/>
      <c r="D496" s="66"/>
    </row>
    <row r="497">
      <c r="A497" s="46"/>
      <c r="B497" s="7"/>
      <c r="C497" s="66"/>
      <c r="D497" s="66"/>
    </row>
    <row r="498">
      <c r="A498" s="46"/>
      <c r="B498" s="7"/>
      <c r="C498" s="66"/>
      <c r="D498" s="66"/>
    </row>
    <row r="499">
      <c r="A499" s="46"/>
      <c r="B499" s="7"/>
      <c r="C499" s="66"/>
      <c r="D499" s="66"/>
    </row>
    <row r="500">
      <c r="A500" s="46"/>
      <c r="B500" s="7"/>
      <c r="C500" s="66"/>
      <c r="D500" s="66"/>
    </row>
    <row r="501">
      <c r="A501" s="46"/>
      <c r="B501" s="7"/>
      <c r="C501" s="66"/>
      <c r="D501" s="66"/>
    </row>
    <row r="502">
      <c r="A502" s="46"/>
      <c r="B502" s="7"/>
      <c r="C502" s="66"/>
      <c r="D502" s="66"/>
    </row>
    <row r="503">
      <c r="A503" s="46"/>
      <c r="B503" s="7"/>
      <c r="C503" s="66"/>
      <c r="D503" s="66"/>
    </row>
    <row r="504">
      <c r="A504" s="46"/>
      <c r="B504" s="7"/>
      <c r="C504" s="66"/>
      <c r="D504" s="66"/>
    </row>
    <row r="505">
      <c r="A505" s="46"/>
      <c r="B505" s="7"/>
      <c r="C505" s="66"/>
      <c r="D505" s="66"/>
    </row>
    <row r="506">
      <c r="A506" s="46"/>
      <c r="B506" s="7"/>
      <c r="C506" s="66"/>
      <c r="D506" s="66"/>
    </row>
    <row r="507">
      <c r="A507" s="46"/>
      <c r="B507" s="7"/>
      <c r="C507" s="66"/>
      <c r="D507" s="66"/>
    </row>
    <row r="508">
      <c r="A508" s="46"/>
      <c r="B508" s="7"/>
      <c r="C508" s="66"/>
      <c r="D508" s="66"/>
    </row>
    <row r="509">
      <c r="A509" s="46"/>
      <c r="B509" s="7"/>
      <c r="C509" s="66"/>
      <c r="D509" s="66"/>
    </row>
    <row r="510">
      <c r="A510" s="46"/>
      <c r="B510" s="7"/>
      <c r="C510" s="66"/>
      <c r="D510" s="66"/>
    </row>
    <row r="511">
      <c r="A511" s="46"/>
      <c r="B511" s="7"/>
      <c r="C511" s="66"/>
      <c r="D511" s="66"/>
    </row>
    <row r="512">
      <c r="A512" s="46"/>
      <c r="B512" s="7"/>
      <c r="C512" s="66"/>
      <c r="D512" s="66"/>
    </row>
    <row r="513">
      <c r="A513" s="46"/>
      <c r="B513" s="7"/>
      <c r="C513" s="66"/>
      <c r="D513" s="66"/>
    </row>
    <row r="514">
      <c r="A514" s="46"/>
      <c r="B514" s="7"/>
      <c r="C514" s="66"/>
      <c r="D514" s="66"/>
    </row>
    <row r="515">
      <c r="A515" s="46"/>
      <c r="B515" s="7"/>
      <c r="C515" s="66"/>
      <c r="D515" s="66"/>
    </row>
    <row r="516">
      <c r="A516" s="46"/>
      <c r="B516" s="7"/>
      <c r="C516" s="66"/>
      <c r="D516" s="66"/>
    </row>
    <row r="517">
      <c r="A517" s="46"/>
      <c r="B517" s="7"/>
      <c r="C517" s="66"/>
      <c r="D517" s="66"/>
    </row>
    <row r="518">
      <c r="A518" s="46"/>
      <c r="B518" s="7"/>
      <c r="C518" s="66"/>
      <c r="D518" s="66"/>
    </row>
    <row r="519">
      <c r="A519" s="46"/>
      <c r="B519" s="7"/>
      <c r="C519" s="66"/>
      <c r="D519" s="66"/>
    </row>
    <row r="520">
      <c r="A520" s="46"/>
      <c r="B520" s="7"/>
      <c r="C520" s="66"/>
      <c r="D520" s="66"/>
    </row>
    <row r="521">
      <c r="A521" s="46"/>
      <c r="B521" s="7"/>
      <c r="C521" s="66"/>
      <c r="D521" s="66"/>
    </row>
    <row r="522">
      <c r="A522" s="46"/>
      <c r="B522" s="7"/>
      <c r="C522" s="66"/>
      <c r="D522" s="66"/>
    </row>
    <row r="523">
      <c r="A523" s="46"/>
      <c r="B523" s="7"/>
      <c r="C523" s="66"/>
      <c r="D523" s="66"/>
    </row>
    <row r="524">
      <c r="A524" s="46"/>
      <c r="B524" s="7"/>
      <c r="C524" s="66"/>
      <c r="D524" s="66"/>
    </row>
    <row r="525">
      <c r="A525" s="46"/>
      <c r="B525" s="7"/>
      <c r="C525" s="66"/>
      <c r="D525" s="66"/>
    </row>
    <row r="526">
      <c r="A526" s="46"/>
      <c r="B526" s="7"/>
      <c r="C526" s="66"/>
      <c r="D526" s="66"/>
    </row>
    <row r="527">
      <c r="A527" s="46"/>
      <c r="B527" s="7"/>
      <c r="C527" s="66"/>
      <c r="D527" s="66"/>
    </row>
    <row r="528">
      <c r="A528" s="46"/>
      <c r="B528" s="7"/>
      <c r="C528" s="66"/>
      <c r="D528" s="66"/>
    </row>
    <row r="529">
      <c r="A529" s="46"/>
      <c r="B529" s="7"/>
      <c r="C529" s="66"/>
      <c r="D529" s="66"/>
    </row>
    <row r="530">
      <c r="A530" s="46"/>
      <c r="B530" s="7"/>
      <c r="C530" s="66"/>
      <c r="D530" s="66"/>
    </row>
    <row r="531">
      <c r="A531" s="46"/>
      <c r="B531" s="7"/>
      <c r="C531" s="66"/>
      <c r="D531" s="66"/>
    </row>
    <row r="532">
      <c r="A532" s="46"/>
      <c r="B532" s="7"/>
      <c r="C532" s="66"/>
      <c r="D532" s="66"/>
    </row>
    <row r="533">
      <c r="A533" s="46"/>
      <c r="B533" s="7"/>
      <c r="C533" s="66"/>
      <c r="D533" s="66"/>
    </row>
    <row r="534">
      <c r="A534" s="46"/>
      <c r="B534" s="7"/>
      <c r="C534" s="66"/>
      <c r="D534" s="66"/>
    </row>
    <row r="535">
      <c r="A535" s="46"/>
      <c r="B535" s="7"/>
      <c r="C535" s="66"/>
      <c r="D535" s="66"/>
    </row>
    <row r="536">
      <c r="A536" s="46"/>
      <c r="B536" s="7"/>
      <c r="C536" s="66"/>
      <c r="D536" s="66"/>
    </row>
    <row r="537">
      <c r="A537" s="46"/>
      <c r="B537" s="7"/>
      <c r="C537" s="66"/>
      <c r="D537" s="66"/>
    </row>
    <row r="538">
      <c r="A538" s="46"/>
      <c r="B538" s="7"/>
      <c r="C538" s="66"/>
      <c r="D538" s="66"/>
    </row>
    <row r="539">
      <c r="A539" s="46"/>
      <c r="B539" s="7"/>
      <c r="C539" s="66"/>
      <c r="D539" s="66"/>
    </row>
    <row r="540">
      <c r="A540" s="46"/>
      <c r="B540" s="7"/>
      <c r="C540" s="66"/>
      <c r="D540" s="66"/>
    </row>
    <row r="541">
      <c r="A541" s="46"/>
      <c r="B541" s="7"/>
      <c r="C541" s="66"/>
      <c r="D541" s="66"/>
    </row>
    <row r="542">
      <c r="A542" s="46"/>
      <c r="B542" s="7"/>
      <c r="C542" s="66"/>
      <c r="D542" s="66"/>
    </row>
    <row r="543">
      <c r="A543" s="46"/>
      <c r="B543" s="7"/>
      <c r="C543" s="66"/>
      <c r="D543" s="66"/>
    </row>
    <row r="544">
      <c r="A544" s="46"/>
      <c r="B544" s="7"/>
      <c r="C544" s="66"/>
      <c r="D544" s="66"/>
    </row>
    <row r="545">
      <c r="A545" s="46"/>
      <c r="B545" s="7"/>
      <c r="C545" s="66"/>
      <c r="D545" s="66"/>
    </row>
    <row r="546">
      <c r="A546" s="46"/>
      <c r="B546" s="7"/>
      <c r="C546" s="66"/>
      <c r="D546" s="66"/>
    </row>
    <row r="547">
      <c r="A547" s="46"/>
      <c r="B547" s="7"/>
      <c r="C547" s="66"/>
      <c r="D547" s="66"/>
    </row>
    <row r="548">
      <c r="A548" s="46"/>
      <c r="B548" s="7"/>
      <c r="C548" s="66"/>
      <c r="D548" s="66"/>
    </row>
    <row r="549">
      <c r="A549" s="46"/>
      <c r="B549" s="7"/>
      <c r="C549" s="66"/>
      <c r="D549" s="66"/>
    </row>
    <row r="550">
      <c r="A550" s="46"/>
      <c r="B550" s="7"/>
      <c r="C550" s="66"/>
      <c r="D550" s="66"/>
    </row>
    <row r="551">
      <c r="A551" s="46"/>
      <c r="B551" s="7"/>
      <c r="C551" s="66"/>
      <c r="D551" s="66"/>
    </row>
    <row r="552">
      <c r="A552" s="46"/>
      <c r="B552" s="7"/>
      <c r="C552" s="66"/>
      <c r="D552" s="66"/>
    </row>
    <row r="553">
      <c r="A553" s="46"/>
      <c r="B553" s="7"/>
      <c r="C553" s="66"/>
      <c r="D553" s="66"/>
    </row>
    <row r="554">
      <c r="A554" s="46"/>
      <c r="B554" s="7"/>
      <c r="C554" s="66"/>
      <c r="D554" s="66"/>
    </row>
    <row r="555">
      <c r="A555" s="46"/>
      <c r="B555" s="7"/>
      <c r="C555" s="66"/>
      <c r="D555" s="66"/>
    </row>
    <row r="556">
      <c r="A556" s="46"/>
      <c r="B556" s="7"/>
      <c r="C556" s="66"/>
      <c r="D556" s="66"/>
    </row>
    <row r="557">
      <c r="A557" s="46"/>
      <c r="B557" s="7"/>
      <c r="C557" s="66"/>
      <c r="D557" s="66"/>
    </row>
    <row r="558">
      <c r="A558" s="46"/>
      <c r="B558" s="7"/>
      <c r="C558" s="66"/>
      <c r="D558" s="66"/>
    </row>
    <row r="559">
      <c r="A559" s="46"/>
      <c r="B559" s="7"/>
      <c r="C559" s="66"/>
      <c r="D559" s="66"/>
    </row>
    <row r="560">
      <c r="A560" s="46"/>
      <c r="B560" s="7"/>
      <c r="C560" s="66"/>
      <c r="D560" s="66"/>
    </row>
    <row r="561">
      <c r="A561" s="46"/>
      <c r="B561" s="7"/>
      <c r="C561" s="66"/>
      <c r="D561" s="66"/>
    </row>
    <row r="562">
      <c r="A562" s="46"/>
      <c r="B562" s="7"/>
      <c r="C562" s="66"/>
      <c r="D562" s="66"/>
    </row>
    <row r="563">
      <c r="A563" s="46"/>
      <c r="B563" s="7"/>
      <c r="C563" s="66"/>
      <c r="D563" s="66"/>
    </row>
    <row r="564">
      <c r="A564" s="46"/>
      <c r="B564" s="7"/>
      <c r="C564" s="66"/>
      <c r="D564" s="66"/>
    </row>
    <row r="565">
      <c r="A565" s="46"/>
      <c r="B565" s="7"/>
      <c r="C565" s="66"/>
      <c r="D565" s="66"/>
    </row>
    <row r="566">
      <c r="A566" s="46"/>
      <c r="B566" s="7"/>
      <c r="C566" s="66"/>
      <c r="D566" s="66"/>
    </row>
    <row r="567">
      <c r="A567" s="46"/>
      <c r="B567" s="7"/>
      <c r="C567" s="66"/>
      <c r="D567" s="66"/>
    </row>
    <row r="568">
      <c r="A568" s="46"/>
      <c r="B568" s="7"/>
      <c r="C568" s="66"/>
      <c r="D568" s="66"/>
    </row>
    <row r="569">
      <c r="A569" s="46"/>
      <c r="B569" s="7"/>
      <c r="C569" s="66"/>
      <c r="D569" s="66"/>
    </row>
    <row r="570">
      <c r="A570" s="46"/>
      <c r="B570" s="7"/>
      <c r="C570" s="66"/>
      <c r="D570" s="66"/>
    </row>
    <row r="571">
      <c r="A571" s="46"/>
      <c r="B571" s="7"/>
      <c r="C571" s="66"/>
      <c r="D571" s="66"/>
    </row>
    <row r="572">
      <c r="A572" s="46"/>
      <c r="B572" s="7"/>
      <c r="C572" s="66"/>
      <c r="D572" s="66"/>
    </row>
    <row r="573">
      <c r="A573" s="46"/>
      <c r="B573" s="7"/>
      <c r="C573" s="66"/>
      <c r="D573" s="66"/>
    </row>
    <row r="574">
      <c r="A574" s="46"/>
      <c r="B574" s="7"/>
      <c r="C574" s="66"/>
      <c r="D574" s="66"/>
    </row>
    <row r="575">
      <c r="A575" s="46"/>
      <c r="B575" s="7"/>
      <c r="C575" s="66"/>
      <c r="D575" s="66"/>
    </row>
    <row r="576">
      <c r="A576" s="46"/>
      <c r="B576" s="7"/>
      <c r="C576" s="66"/>
      <c r="D576" s="66"/>
    </row>
    <row r="577">
      <c r="A577" s="46"/>
      <c r="B577" s="7"/>
      <c r="C577" s="66"/>
      <c r="D577" s="66"/>
    </row>
    <row r="578">
      <c r="A578" s="46"/>
      <c r="B578" s="7"/>
      <c r="C578" s="66"/>
      <c r="D578" s="66"/>
    </row>
    <row r="579">
      <c r="A579" s="46"/>
      <c r="B579" s="7"/>
      <c r="C579" s="66"/>
      <c r="D579" s="66"/>
    </row>
    <row r="580">
      <c r="A580" s="46"/>
      <c r="B580" s="7"/>
      <c r="C580" s="66"/>
      <c r="D580" s="66"/>
    </row>
    <row r="581">
      <c r="A581" s="46"/>
      <c r="B581" s="7"/>
      <c r="C581" s="66"/>
      <c r="D581" s="66"/>
    </row>
    <row r="582">
      <c r="A582" s="46"/>
      <c r="B582" s="7"/>
      <c r="C582" s="66"/>
      <c r="D582" s="66"/>
    </row>
    <row r="583">
      <c r="A583" s="46"/>
      <c r="B583" s="7"/>
      <c r="C583" s="66"/>
      <c r="D583" s="66"/>
    </row>
    <row r="584">
      <c r="A584" s="46"/>
      <c r="B584" s="7"/>
      <c r="C584" s="66"/>
      <c r="D584" s="66"/>
    </row>
    <row r="585">
      <c r="A585" s="46"/>
      <c r="B585" s="7"/>
      <c r="C585" s="66"/>
      <c r="D585" s="66"/>
    </row>
    <row r="586">
      <c r="A586" s="46"/>
      <c r="B586" s="7"/>
      <c r="C586" s="66"/>
      <c r="D586" s="66"/>
    </row>
    <row r="587">
      <c r="A587" s="46"/>
      <c r="B587" s="7"/>
      <c r="C587" s="66"/>
      <c r="D587" s="66"/>
    </row>
    <row r="588">
      <c r="A588" s="46"/>
      <c r="B588" s="7"/>
      <c r="C588" s="66"/>
      <c r="D588" s="66"/>
    </row>
    <row r="589">
      <c r="A589" s="46"/>
      <c r="B589" s="7"/>
      <c r="C589" s="66"/>
      <c r="D589" s="66"/>
    </row>
    <row r="590">
      <c r="A590" s="46"/>
      <c r="B590" s="7"/>
      <c r="C590" s="66"/>
      <c r="D590" s="66"/>
    </row>
    <row r="591">
      <c r="A591" s="46"/>
      <c r="B591" s="7"/>
      <c r="C591" s="66"/>
      <c r="D591" s="66"/>
    </row>
    <row r="592">
      <c r="A592" s="46"/>
      <c r="B592" s="7"/>
      <c r="C592" s="66"/>
      <c r="D592" s="66"/>
    </row>
    <row r="593">
      <c r="A593" s="46"/>
      <c r="B593" s="7"/>
      <c r="C593" s="66"/>
      <c r="D593" s="66"/>
    </row>
    <row r="594">
      <c r="A594" s="46"/>
      <c r="B594" s="7"/>
      <c r="C594" s="66"/>
      <c r="D594" s="66"/>
    </row>
    <row r="595">
      <c r="A595" s="46"/>
      <c r="B595" s="7"/>
      <c r="C595" s="66"/>
      <c r="D595" s="66"/>
    </row>
    <row r="596">
      <c r="A596" s="46"/>
      <c r="B596" s="7"/>
      <c r="C596" s="66"/>
      <c r="D596" s="66"/>
    </row>
    <row r="597">
      <c r="A597" s="46"/>
      <c r="B597" s="7"/>
      <c r="C597" s="66"/>
      <c r="D597" s="66"/>
    </row>
    <row r="598">
      <c r="A598" s="46"/>
      <c r="B598" s="7"/>
      <c r="C598" s="66"/>
      <c r="D598" s="66"/>
    </row>
    <row r="599">
      <c r="A599" s="46"/>
      <c r="B599" s="7"/>
      <c r="C599" s="66"/>
      <c r="D599" s="66"/>
    </row>
    <row r="600">
      <c r="A600" s="46"/>
      <c r="B600" s="7"/>
      <c r="C600" s="66"/>
      <c r="D600" s="66"/>
    </row>
    <row r="601">
      <c r="A601" s="46"/>
      <c r="B601" s="7"/>
      <c r="C601" s="66"/>
      <c r="D601" s="66"/>
    </row>
    <row r="602">
      <c r="A602" s="46"/>
      <c r="B602" s="7"/>
      <c r="C602" s="66"/>
      <c r="D602" s="66"/>
    </row>
    <row r="603">
      <c r="A603" s="46"/>
      <c r="B603" s="7"/>
      <c r="C603" s="66"/>
      <c r="D603" s="66"/>
    </row>
    <row r="604">
      <c r="A604" s="46"/>
      <c r="B604" s="7"/>
      <c r="C604" s="66"/>
      <c r="D604" s="66"/>
    </row>
    <row r="605">
      <c r="A605" s="46"/>
      <c r="B605" s="7"/>
      <c r="C605" s="66"/>
      <c r="D605" s="66"/>
    </row>
    <row r="606">
      <c r="A606" s="46"/>
      <c r="B606" s="7"/>
      <c r="C606" s="66"/>
      <c r="D606" s="66"/>
    </row>
    <row r="607">
      <c r="A607" s="46"/>
      <c r="B607" s="7"/>
      <c r="C607" s="66"/>
      <c r="D607" s="66"/>
    </row>
    <row r="608">
      <c r="A608" s="46"/>
      <c r="B608" s="7"/>
      <c r="C608" s="66"/>
      <c r="D608" s="66"/>
    </row>
    <row r="609">
      <c r="A609" s="46"/>
      <c r="B609" s="7"/>
      <c r="C609" s="66"/>
      <c r="D609" s="66"/>
    </row>
    <row r="610">
      <c r="A610" s="46"/>
      <c r="B610" s="7"/>
      <c r="C610" s="66"/>
      <c r="D610" s="66"/>
    </row>
    <row r="611">
      <c r="A611" s="46"/>
      <c r="B611" s="7"/>
      <c r="C611" s="66"/>
      <c r="D611" s="66"/>
    </row>
    <row r="612">
      <c r="A612" s="46"/>
      <c r="B612" s="7"/>
      <c r="C612" s="66"/>
      <c r="D612" s="66"/>
    </row>
    <row r="613">
      <c r="A613" s="46"/>
      <c r="B613" s="7"/>
      <c r="C613" s="66"/>
      <c r="D613" s="66"/>
    </row>
    <row r="614">
      <c r="A614" s="46"/>
      <c r="B614" s="7"/>
      <c r="C614" s="66"/>
      <c r="D614" s="66"/>
    </row>
    <row r="615">
      <c r="A615" s="46"/>
      <c r="B615" s="7"/>
      <c r="C615" s="66"/>
      <c r="D615" s="66"/>
    </row>
    <row r="616">
      <c r="A616" s="46"/>
      <c r="B616" s="7"/>
      <c r="C616" s="66"/>
      <c r="D616" s="66"/>
    </row>
    <row r="617">
      <c r="A617" s="46"/>
      <c r="B617" s="7"/>
      <c r="C617" s="66"/>
      <c r="D617" s="66"/>
    </row>
    <row r="618">
      <c r="A618" s="46"/>
      <c r="B618" s="7"/>
      <c r="C618" s="66"/>
      <c r="D618" s="66"/>
    </row>
    <row r="619">
      <c r="A619" s="46"/>
      <c r="B619" s="7"/>
      <c r="C619" s="66"/>
      <c r="D619" s="66"/>
    </row>
    <row r="620">
      <c r="A620" s="46"/>
      <c r="B620" s="7"/>
      <c r="C620" s="66"/>
      <c r="D620" s="66"/>
    </row>
    <row r="621">
      <c r="A621" s="46"/>
      <c r="B621" s="7"/>
      <c r="C621" s="66"/>
      <c r="D621" s="66"/>
    </row>
    <row r="622">
      <c r="A622" s="46"/>
      <c r="B622" s="7"/>
      <c r="C622" s="66"/>
      <c r="D622" s="66"/>
    </row>
    <row r="623">
      <c r="A623" s="46"/>
      <c r="B623" s="7"/>
      <c r="C623" s="66"/>
      <c r="D623" s="66"/>
    </row>
    <row r="624">
      <c r="A624" s="46"/>
      <c r="B624" s="7"/>
      <c r="C624" s="66"/>
      <c r="D624" s="66"/>
    </row>
    <row r="625">
      <c r="A625" s="46"/>
      <c r="B625" s="7"/>
      <c r="C625" s="66"/>
      <c r="D625" s="66"/>
    </row>
    <row r="626">
      <c r="A626" s="46"/>
      <c r="B626" s="7"/>
      <c r="C626" s="66"/>
      <c r="D626" s="66"/>
    </row>
    <row r="627">
      <c r="A627" s="46"/>
      <c r="B627" s="7"/>
      <c r="C627" s="66"/>
      <c r="D627" s="66"/>
    </row>
    <row r="628">
      <c r="A628" s="46"/>
      <c r="B628" s="7"/>
      <c r="C628" s="66"/>
      <c r="D628" s="66"/>
    </row>
    <row r="629">
      <c r="A629" s="46"/>
      <c r="B629" s="7"/>
      <c r="C629" s="66"/>
      <c r="D629" s="66"/>
    </row>
    <row r="630">
      <c r="A630" s="46"/>
      <c r="B630" s="7"/>
      <c r="C630" s="66"/>
      <c r="D630" s="66"/>
    </row>
    <row r="631">
      <c r="A631" s="46"/>
      <c r="B631" s="7"/>
      <c r="C631" s="66"/>
      <c r="D631" s="66"/>
    </row>
    <row r="632">
      <c r="A632" s="46"/>
      <c r="B632" s="7"/>
      <c r="C632" s="66"/>
      <c r="D632" s="66"/>
    </row>
    <row r="633">
      <c r="A633" s="46"/>
      <c r="B633" s="7"/>
      <c r="C633" s="66"/>
      <c r="D633" s="66"/>
    </row>
    <row r="634">
      <c r="A634" s="46"/>
      <c r="B634" s="7"/>
      <c r="C634" s="66"/>
      <c r="D634" s="66"/>
    </row>
    <row r="635">
      <c r="A635" s="46"/>
      <c r="B635" s="7"/>
      <c r="C635" s="66"/>
      <c r="D635" s="66"/>
    </row>
    <row r="636">
      <c r="A636" s="46"/>
      <c r="B636" s="7"/>
      <c r="C636" s="66"/>
      <c r="D636" s="66"/>
    </row>
    <row r="637">
      <c r="A637" s="46"/>
      <c r="B637" s="7"/>
      <c r="C637" s="66"/>
      <c r="D637" s="66"/>
    </row>
    <row r="638">
      <c r="A638" s="46"/>
      <c r="B638" s="7"/>
      <c r="C638" s="66"/>
      <c r="D638" s="66"/>
    </row>
    <row r="639">
      <c r="A639" s="46"/>
      <c r="B639" s="7"/>
      <c r="C639" s="66"/>
      <c r="D639" s="66"/>
    </row>
    <row r="640">
      <c r="A640" s="46"/>
      <c r="B640" s="7"/>
      <c r="C640" s="66"/>
      <c r="D640" s="66"/>
    </row>
    <row r="641">
      <c r="A641" s="46"/>
      <c r="B641" s="7"/>
      <c r="C641" s="66"/>
      <c r="D641" s="66"/>
    </row>
    <row r="642">
      <c r="A642" s="46"/>
      <c r="B642" s="7"/>
      <c r="C642" s="66"/>
      <c r="D642" s="66"/>
    </row>
    <row r="643">
      <c r="A643" s="46"/>
      <c r="B643" s="7"/>
      <c r="C643" s="66"/>
      <c r="D643" s="66"/>
    </row>
    <row r="644">
      <c r="A644" s="46"/>
      <c r="B644" s="7"/>
      <c r="C644" s="66"/>
      <c r="D644" s="66"/>
    </row>
    <row r="645">
      <c r="A645" s="46"/>
      <c r="B645" s="7"/>
      <c r="C645" s="66"/>
      <c r="D645" s="66"/>
    </row>
    <row r="646">
      <c r="A646" s="46"/>
      <c r="B646" s="7"/>
      <c r="C646" s="66"/>
      <c r="D646" s="66"/>
    </row>
    <row r="647">
      <c r="A647" s="46"/>
      <c r="B647" s="7"/>
      <c r="C647" s="66"/>
      <c r="D647" s="66"/>
    </row>
    <row r="648">
      <c r="A648" s="46"/>
      <c r="B648" s="7"/>
      <c r="C648" s="66"/>
      <c r="D648" s="66"/>
    </row>
    <row r="649">
      <c r="A649" s="46"/>
      <c r="B649" s="7"/>
      <c r="C649" s="66"/>
      <c r="D649" s="66"/>
    </row>
    <row r="650">
      <c r="A650" s="46"/>
      <c r="B650" s="7"/>
      <c r="C650" s="66"/>
      <c r="D650" s="66"/>
    </row>
    <row r="651">
      <c r="A651" s="46"/>
      <c r="B651" s="7"/>
      <c r="C651" s="66"/>
      <c r="D651" s="66"/>
    </row>
    <row r="652">
      <c r="A652" s="46"/>
      <c r="B652" s="7"/>
      <c r="C652" s="66"/>
      <c r="D652" s="66"/>
    </row>
    <row r="653">
      <c r="A653" s="46"/>
      <c r="B653" s="7"/>
      <c r="C653" s="66"/>
      <c r="D653" s="66"/>
    </row>
    <row r="654">
      <c r="A654" s="46"/>
      <c r="B654" s="7"/>
      <c r="C654" s="66"/>
      <c r="D654" s="66"/>
    </row>
    <row r="655">
      <c r="A655" s="46"/>
      <c r="B655" s="7"/>
      <c r="C655" s="66"/>
      <c r="D655" s="66"/>
    </row>
    <row r="656">
      <c r="A656" s="46"/>
      <c r="B656" s="7"/>
      <c r="C656" s="66"/>
      <c r="D656" s="66"/>
    </row>
    <row r="657">
      <c r="A657" s="46"/>
      <c r="B657" s="7"/>
      <c r="C657" s="66"/>
      <c r="D657" s="66"/>
    </row>
    <row r="658">
      <c r="A658" s="46"/>
      <c r="B658" s="7"/>
      <c r="C658" s="66"/>
      <c r="D658" s="66"/>
    </row>
    <row r="659">
      <c r="A659" s="46"/>
      <c r="B659" s="7"/>
      <c r="C659" s="66"/>
      <c r="D659" s="66"/>
    </row>
    <row r="660">
      <c r="A660" s="46"/>
      <c r="B660" s="7"/>
      <c r="C660" s="66"/>
      <c r="D660" s="66"/>
    </row>
    <row r="661">
      <c r="A661" s="46"/>
      <c r="B661" s="7"/>
      <c r="C661" s="66"/>
      <c r="D661" s="66"/>
    </row>
    <row r="662">
      <c r="A662" s="46"/>
      <c r="B662" s="7"/>
      <c r="C662" s="66"/>
      <c r="D662" s="66"/>
    </row>
    <row r="663">
      <c r="A663" s="46"/>
      <c r="B663" s="7"/>
      <c r="C663" s="66"/>
      <c r="D663" s="66"/>
    </row>
    <row r="664">
      <c r="A664" s="46"/>
      <c r="B664" s="7"/>
      <c r="C664" s="66"/>
      <c r="D664" s="66"/>
    </row>
    <row r="665">
      <c r="A665" s="46"/>
      <c r="B665" s="7"/>
      <c r="C665" s="66"/>
      <c r="D665" s="66"/>
    </row>
    <row r="666">
      <c r="A666" s="46"/>
      <c r="B666" s="7"/>
      <c r="C666" s="66"/>
      <c r="D666" s="66"/>
    </row>
    <row r="667">
      <c r="A667" s="46"/>
      <c r="B667" s="7"/>
      <c r="C667" s="66"/>
      <c r="D667" s="66"/>
    </row>
    <row r="668">
      <c r="A668" s="46"/>
      <c r="B668" s="7"/>
      <c r="C668" s="66"/>
      <c r="D668" s="66"/>
    </row>
    <row r="669">
      <c r="A669" s="46"/>
      <c r="B669" s="7"/>
      <c r="C669" s="66"/>
      <c r="D669" s="66"/>
    </row>
    <row r="670">
      <c r="A670" s="46"/>
      <c r="B670" s="7"/>
      <c r="C670" s="66"/>
      <c r="D670" s="66"/>
    </row>
    <row r="671">
      <c r="A671" s="46"/>
      <c r="B671" s="7"/>
      <c r="C671" s="66"/>
      <c r="D671" s="66"/>
    </row>
    <row r="672">
      <c r="A672" s="46"/>
      <c r="B672" s="7"/>
      <c r="C672" s="66"/>
      <c r="D672" s="66"/>
    </row>
    <row r="673">
      <c r="A673" s="46"/>
      <c r="B673" s="7"/>
      <c r="C673" s="66"/>
      <c r="D673" s="66"/>
    </row>
    <row r="674">
      <c r="A674" s="46"/>
      <c r="B674" s="7"/>
      <c r="C674" s="66"/>
      <c r="D674" s="66"/>
    </row>
    <row r="675">
      <c r="A675" s="46"/>
      <c r="B675" s="7"/>
      <c r="C675" s="66"/>
      <c r="D675" s="66"/>
    </row>
    <row r="676">
      <c r="A676" s="46"/>
      <c r="B676" s="7"/>
      <c r="C676" s="66"/>
      <c r="D676" s="66"/>
    </row>
    <row r="677">
      <c r="A677" s="46"/>
      <c r="B677" s="7"/>
      <c r="C677" s="66"/>
      <c r="D677" s="66"/>
    </row>
    <row r="678">
      <c r="A678" s="46"/>
      <c r="B678" s="7"/>
      <c r="C678" s="66"/>
      <c r="D678" s="66"/>
    </row>
    <row r="679">
      <c r="A679" s="46"/>
      <c r="B679" s="7"/>
      <c r="C679" s="66"/>
      <c r="D679" s="66"/>
    </row>
    <row r="680">
      <c r="A680" s="46"/>
      <c r="B680" s="7"/>
      <c r="C680" s="66"/>
      <c r="D680" s="66"/>
    </row>
    <row r="681">
      <c r="A681" s="46"/>
      <c r="B681" s="7"/>
      <c r="C681" s="66"/>
      <c r="D681" s="66"/>
    </row>
    <row r="682">
      <c r="A682" s="46"/>
      <c r="B682" s="7"/>
      <c r="C682" s="66"/>
      <c r="D682" s="66"/>
    </row>
    <row r="683">
      <c r="A683" s="46"/>
      <c r="B683" s="7"/>
      <c r="C683" s="66"/>
      <c r="D683" s="66"/>
    </row>
    <row r="684">
      <c r="A684" s="46"/>
      <c r="B684" s="7"/>
      <c r="C684" s="66"/>
      <c r="D684" s="66"/>
    </row>
    <row r="685">
      <c r="A685" s="46"/>
      <c r="B685" s="7"/>
      <c r="C685" s="66"/>
      <c r="D685" s="66"/>
    </row>
    <row r="686">
      <c r="A686" s="46"/>
      <c r="B686" s="7"/>
      <c r="C686" s="66"/>
      <c r="D686" s="66"/>
    </row>
    <row r="687">
      <c r="A687" s="46"/>
      <c r="B687" s="7"/>
      <c r="C687" s="66"/>
      <c r="D687" s="66"/>
    </row>
    <row r="688">
      <c r="A688" s="46"/>
      <c r="B688" s="7"/>
      <c r="C688" s="66"/>
      <c r="D688" s="66"/>
    </row>
    <row r="689">
      <c r="A689" s="46"/>
      <c r="B689" s="7"/>
      <c r="C689" s="66"/>
      <c r="D689" s="66"/>
    </row>
    <row r="690">
      <c r="A690" s="46"/>
      <c r="B690" s="7"/>
      <c r="C690" s="66"/>
      <c r="D690" s="66"/>
    </row>
    <row r="691">
      <c r="A691" s="46"/>
      <c r="B691" s="7"/>
      <c r="C691" s="66"/>
      <c r="D691" s="66"/>
    </row>
    <row r="692">
      <c r="A692" s="46"/>
      <c r="B692" s="7"/>
      <c r="C692" s="66"/>
      <c r="D692" s="66"/>
    </row>
    <row r="693">
      <c r="A693" s="46"/>
      <c r="B693" s="7"/>
      <c r="C693" s="66"/>
      <c r="D693" s="66"/>
    </row>
    <row r="694">
      <c r="A694" s="46"/>
      <c r="B694" s="7"/>
      <c r="C694" s="66"/>
      <c r="D694" s="66"/>
    </row>
    <row r="695">
      <c r="A695" s="46"/>
      <c r="B695" s="7"/>
      <c r="C695" s="66"/>
      <c r="D695" s="66"/>
    </row>
    <row r="696">
      <c r="A696" s="46"/>
      <c r="B696" s="7"/>
      <c r="C696" s="66"/>
      <c r="D696" s="66"/>
    </row>
    <row r="697">
      <c r="A697" s="46"/>
      <c r="B697" s="7"/>
      <c r="C697" s="66"/>
      <c r="D697" s="66"/>
    </row>
    <row r="698">
      <c r="A698" s="46"/>
      <c r="B698" s="7"/>
      <c r="C698" s="66"/>
      <c r="D698" s="66"/>
    </row>
    <row r="699">
      <c r="A699" s="46"/>
      <c r="B699" s="7"/>
      <c r="C699" s="66"/>
      <c r="D699" s="66"/>
    </row>
    <row r="700">
      <c r="A700" s="46"/>
      <c r="B700" s="7"/>
      <c r="C700" s="66"/>
      <c r="D700" s="66"/>
    </row>
    <row r="701">
      <c r="A701" s="46"/>
      <c r="B701" s="7"/>
      <c r="C701" s="66"/>
      <c r="D701" s="66"/>
    </row>
    <row r="702">
      <c r="A702" s="46"/>
      <c r="B702" s="7"/>
      <c r="C702" s="66"/>
      <c r="D702" s="66"/>
    </row>
    <row r="703">
      <c r="A703" s="46"/>
      <c r="B703" s="7"/>
      <c r="C703" s="66"/>
      <c r="D703" s="66"/>
    </row>
    <row r="704">
      <c r="A704" s="46"/>
      <c r="B704" s="7"/>
      <c r="C704" s="66"/>
      <c r="D704" s="66"/>
    </row>
    <row r="705">
      <c r="A705" s="46"/>
      <c r="B705" s="7"/>
      <c r="C705" s="66"/>
      <c r="D705" s="66"/>
    </row>
    <row r="706">
      <c r="A706" s="46"/>
      <c r="B706" s="7"/>
      <c r="C706" s="66"/>
      <c r="D706" s="66"/>
    </row>
    <row r="707">
      <c r="A707" s="46"/>
      <c r="B707" s="7"/>
      <c r="C707" s="66"/>
      <c r="D707" s="66"/>
    </row>
    <row r="708">
      <c r="A708" s="46"/>
      <c r="B708" s="7"/>
      <c r="C708" s="66"/>
      <c r="D708" s="66"/>
    </row>
    <row r="709">
      <c r="A709" s="46"/>
      <c r="B709" s="7"/>
      <c r="C709" s="66"/>
      <c r="D709" s="66"/>
    </row>
    <row r="710">
      <c r="A710" s="46"/>
      <c r="B710" s="7"/>
      <c r="C710" s="66"/>
      <c r="D710" s="66"/>
    </row>
    <row r="711">
      <c r="A711" s="46"/>
      <c r="B711" s="7"/>
      <c r="C711" s="66"/>
      <c r="D711" s="66"/>
    </row>
    <row r="712">
      <c r="A712" s="46"/>
      <c r="B712" s="7"/>
      <c r="C712" s="66"/>
      <c r="D712" s="66"/>
    </row>
    <row r="713">
      <c r="A713" s="46"/>
      <c r="B713" s="7"/>
      <c r="C713" s="66"/>
      <c r="D713" s="66"/>
    </row>
    <row r="714">
      <c r="A714" s="46"/>
      <c r="B714" s="7"/>
      <c r="C714" s="66"/>
      <c r="D714" s="66"/>
    </row>
    <row r="715">
      <c r="A715" s="46"/>
      <c r="B715" s="7"/>
      <c r="C715" s="66"/>
      <c r="D715" s="66"/>
    </row>
    <row r="716">
      <c r="A716" s="46"/>
      <c r="B716" s="7"/>
      <c r="C716" s="66"/>
      <c r="D716" s="66"/>
    </row>
    <row r="717">
      <c r="A717" s="46"/>
      <c r="B717" s="7"/>
      <c r="C717" s="66"/>
      <c r="D717" s="66"/>
    </row>
    <row r="718">
      <c r="A718" s="46"/>
      <c r="B718" s="7"/>
      <c r="C718" s="66"/>
      <c r="D718" s="66"/>
    </row>
    <row r="719">
      <c r="A719" s="46"/>
      <c r="B719" s="7"/>
      <c r="C719" s="66"/>
      <c r="D719" s="66"/>
    </row>
    <row r="720">
      <c r="A720" s="46"/>
      <c r="B720" s="7"/>
      <c r="C720" s="66"/>
      <c r="D720" s="66"/>
    </row>
    <row r="721">
      <c r="A721" s="46"/>
      <c r="B721" s="7"/>
      <c r="C721" s="66"/>
      <c r="D721" s="66"/>
    </row>
    <row r="722">
      <c r="A722" s="46"/>
      <c r="B722" s="7"/>
      <c r="C722" s="66"/>
      <c r="D722" s="66"/>
    </row>
    <row r="723">
      <c r="A723" s="46"/>
      <c r="B723" s="7"/>
      <c r="C723" s="66"/>
      <c r="D723" s="66"/>
    </row>
    <row r="724">
      <c r="A724" s="46"/>
      <c r="B724" s="7"/>
      <c r="C724" s="66"/>
      <c r="D724" s="66"/>
    </row>
    <row r="725">
      <c r="A725" s="46"/>
      <c r="B725" s="7"/>
      <c r="C725" s="66"/>
      <c r="D725" s="66"/>
    </row>
    <row r="726">
      <c r="A726" s="46"/>
      <c r="B726" s="7"/>
      <c r="C726" s="66"/>
      <c r="D726" s="66"/>
    </row>
    <row r="727">
      <c r="A727" s="46"/>
      <c r="B727" s="7"/>
      <c r="C727" s="66"/>
      <c r="D727" s="66"/>
    </row>
    <row r="728">
      <c r="A728" s="46"/>
      <c r="B728" s="7"/>
      <c r="C728" s="66"/>
      <c r="D728" s="66"/>
    </row>
    <row r="729">
      <c r="A729" s="46"/>
      <c r="B729" s="7"/>
      <c r="C729" s="66"/>
      <c r="D729" s="66"/>
    </row>
    <row r="730">
      <c r="A730" s="46"/>
      <c r="B730" s="7"/>
      <c r="C730" s="66"/>
      <c r="D730" s="66"/>
    </row>
    <row r="731">
      <c r="A731" s="46"/>
      <c r="B731" s="7"/>
      <c r="C731" s="66"/>
      <c r="D731" s="66"/>
    </row>
    <row r="732">
      <c r="A732" s="46"/>
      <c r="B732" s="7"/>
      <c r="C732" s="66"/>
      <c r="D732" s="66"/>
    </row>
    <row r="733">
      <c r="A733" s="46"/>
      <c r="B733" s="7"/>
      <c r="C733" s="66"/>
      <c r="D733" s="66"/>
    </row>
    <row r="734">
      <c r="A734" s="46"/>
      <c r="B734" s="7"/>
      <c r="C734" s="66"/>
      <c r="D734" s="66"/>
    </row>
    <row r="735">
      <c r="A735" s="46"/>
      <c r="B735" s="7"/>
      <c r="C735" s="66"/>
      <c r="D735" s="66"/>
    </row>
    <row r="736">
      <c r="A736" s="46"/>
      <c r="B736" s="7"/>
      <c r="C736" s="66"/>
      <c r="D736" s="66"/>
    </row>
    <row r="737">
      <c r="A737" s="46"/>
      <c r="B737" s="7"/>
      <c r="C737" s="66"/>
      <c r="D737" s="66"/>
    </row>
    <row r="738">
      <c r="A738" s="46"/>
      <c r="B738" s="7"/>
      <c r="C738" s="66"/>
      <c r="D738" s="66"/>
    </row>
    <row r="739">
      <c r="A739" s="46"/>
      <c r="B739" s="7"/>
      <c r="C739" s="66"/>
      <c r="D739" s="66"/>
    </row>
    <row r="740">
      <c r="A740" s="46"/>
      <c r="B740" s="7"/>
      <c r="C740" s="66"/>
      <c r="D740" s="66"/>
    </row>
    <row r="741">
      <c r="A741" s="46"/>
      <c r="B741" s="7"/>
      <c r="C741" s="66"/>
      <c r="D741" s="66"/>
    </row>
    <row r="742">
      <c r="A742" s="46"/>
      <c r="B742" s="7"/>
      <c r="C742" s="66"/>
      <c r="D742" s="66"/>
    </row>
    <row r="743">
      <c r="A743" s="46"/>
      <c r="B743" s="7"/>
      <c r="C743" s="66"/>
      <c r="D743" s="66"/>
    </row>
    <row r="744">
      <c r="A744" s="46"/>
      <c r="B744" s="7"/>
      <c r="C744" s="66"/>
      <c r="D744" s="66"/>
    </row>
    <row r="745">
      <c r="A745" s="46"/>
      <c r="B745" s="7"/>
      <c r="C745" s="66"/>
      <c r="D745" s="66"/>
    </row>
    <row r="746">
      <c r="A746" s="46"/>
      <c r="B746" s="7"/>
      <c r="C746" s="66"/>
      <c r="D746" s="66"/>
    </row>
    <row r="747">
      <c r="A747" s="46"/>
      <c r="B747" s="7"/>
      <c r="C747" s="66"/>
      <c r="D747" s="66"/>
    </row>
    <row r="748">
      <c r="A748" s="46"/>
      <c r="B748" s="7"/>
      <c r="C748" s="66"/>
      <c r="D748" s="66"/>
    </row>
    <row r="749">
      <c r="A749" s="46"/>
      <c r="B749" s="7"/>
      <c r="C749" s="66"/>
      <c r="D749" s="66"/>
    </row>
    <row r="750">
      <c r="A750" s="46"/>
      <c r="B750" s="7"/>
      <c r="C750" s="66"/>
      <c r="D750" s="66"/>
    </row>
    <row r="751">
      <c r="A751" s="46"/>
      <c r="B751" s="7"/>
      <c r="C751" s="66"/>
      <c r="D751" s="66"/>
    </row>
    <row r="752">
      <c r="A752" s="46"/>
      <c r="B752" s="7"/>
      <c r="C752" s="66"/>
      <c r="D752" s="66"/>
    </row>
    <row r="753">
      <c r="A753" s="46"/>
      <c r="B753" s="7"/>
      <c r="C753" s="66"/>
      <c r="D753" s="66"/>
    </row>
    <row r="754">
      <c r="A754" s="46"/>
      <c r="B754" s="7"/>
      <c r="C754" s="66"/>
      <c r="D754" s="66"/>
    </row>
    <row r="755">
      <c r="A755" s="46"/>
      <c r="B755" s="7"/>
      <c r="C755" s="66"/>
      <c r="D755" s="66"/>
    </row>
    <row r="756">
      <c r="A756" s="46"/>
      <c r="B756" s="7"/>
      <c r="C756" s="66"/>
      <c r="D756" s="66"/>
    </row>
    <row r="757">
      <c r="A757" s="46"/>
      <c r="B757" s="7"/>
      <c r="C757" s="66"/>
      <c r="D757" s="66"/>
    </row>
    <row r="758">
      <c r="A758" s="46"/>
      <c r="B758" s="7"/>
      <c r="C758" s="66"/>
      <c r="D758" s="66"/>
    </row>
    <row r="759">
      <c r="A759" s="46"/>
      <c r="B759" s="7"/>
      <c r="C759" s="66"/>
      <c r="D759" s="66"/>
    </row>
    <row r="760">
      <c r="A760" s="46"/>
      <c r="B760" s="7"/>
      <c r="C760" s="66"/>
      <c r="D760" s="66"/>
    </row>
    <row r="761">
      <c r="A761" s="46"/>
      <c r="B761" s="7"/>
      <c r="C761" s="66"/>
      <c r="D761" s="66"/>
    </row>
    <row r="762">
      <c r="A762" s="46"/>
      <c r="B762" s="7"/>
      <c r="C762" s="66"/>
      <c r="D762" s="66"/>
    </row>
    <row r="763">
      <c r="A763" s="46"/>
      <c r="B763" s="7"/>
      <c r="C763" s="66"/>
      <c r="D763" s="66"/>
    </row>
    <row r="764">
      <c r="A764" s="46"/>
      <c r="B764" s="7"/>
      <c r="C764" s="66"/>
      <c r="D764" s="66"/>
    </row>
    <row r="765">
      <c r="A765" s="46"/>
      <c r="B765" s="7"/>
      <c r="C765" s="66"/>
      <c r="D765" s="66"/>
    </row>
    <row r="766">
      <c r="A766" s="46"/>
      <c r="B766" s="7"/>
      <c r="C766" s="66"/>
      <c r="D766" s="66"/>
    </row>
    <row r="767">
      <c r="A767" s="46"/>
      <c r="B767" s="7"/>
      <c r="C767" s="66"/>
      <c r="D767" s="66"/>
    </row>
    <row r="768">
      <c r="A768" s="46"/>
      <c r="B768" s="7"/>
      <c r="C768" s="66"/>
      <c r="D768" s="66"/>
    </row>
    <row r="769">
      <c r="A769" s="46"/>
      <c r="B769" s="7"/>
      <c r="C769" s="66"/>
      <c r="D769" s="66"/>
    </row>
    <row r="770">
      <c r="A770" s="46"/>
      <c r="B770" s="7"/>
      <c r="C770" s="66"/>
      <c r="D770" s="66"/>
    </row>
    <row r="771">
      <c r="A771" s="46"/>
      <c r="B771" s="7"/>
      <c r="C771" s="66"/>
      <c r="D771" s="66"/>
    </row>
    <row r="772">
      <c r="A772" s="46"/>
      <c r="B772" s="7"/>
      <c r="C772" s="66"/>
      <c r="D772" s="66"/>
    </row>
    <row r="773">
      <c r="A773" s="46"/>
      <c r="B773" s="7"/>
      <c r="C773" s="66"/>
      <c r="D773" s="66"/>
    </row>
    <row r="774">
      <c r="A774" s="46"/>
      <c r="B774" s="7"/>
      <c r="C774" s="66"/>
      <c r="D774" s="66"/>
    </row>
    <row r="775">
      <c r="A775" s="46"/>
      <c r="B775" s="7"/>
      <c r="C775" s="66"/>
      <c r="D775" s="66"/>
    </row>
    <row r="776">
      <c r="A776" s="46"/>
      <c r="B776" s="7"/>
      <c r="C776" s="66"/>
      <c r="D776" s="66"/>
    </row>
    <row r="777">
      <c r="A777" s="46"/>
      <c r="B777" s="7"/>
      <c r="C777" s="66"/>
      <c r="D777" s="66"/>
    </row>
    <row r="778">
      <c r="A778" s="46"/>
      <c r="B778" s="7"/>
      <c r="C778" s="66"/>
      <c r="D778" s="66"/>
    </row>
    <row r="779">
      <c r="A779" s="46"/>
      <c r="B779" s="7"/>
      <c r="C779" s="66"/>
      <c r="D779" s="66"/>
    </row>
    <row r="780">
      <c r="A780" s="46"/>
      <c r="B780" s="7"/>
      <c r="C780" s="66"/>
      <c r="D780" s="66"/>
    </row>
    <row r="781">
      <c r="A781" s="46"/>
      <c r="B781" s="7"/>
      <c r="C781" s="66"/>
      <c r="D781" s="66"/>
    </row>
    <row r="782">
      <c r="A782" s="46"/>
      <c r="B782" s="7"/>
      <c r="C782" s="66"/>
      <c r="D782" s="66"/>
    </row>
    <row r="783">
      <c r="A783" s="46"/>
      <c r="B783" s="7"/>
      <c r="C783" s="66"/>
      <c r="D783" s="66"/>
    </row>
    <row r="784">
      <c r="A784" s="46"/>
      <c r="B784" s="7"/>
      <c r="C784" s="66"/>
      <c r="D784" s="66"/>
    </row>
    <row r="785">
      <c r="A785" s="46"/>
      <c r="B785" s="7"/>
      <c r="C785" s="66"/>
      <c r="D785" s="66"/>
    </row>
    <row r="786">
      <c r="A786" s="46"/>
      <c r="B786" s="7"/>
      <c r="C786" s="66"/>
      <c r="D786" s="66"/>
    </row>
    <row r="787">
      <c r="A787" s="46"/>
      <c r="B787" s="7"/>
      <c r="C787" s="66"/>
      <c r="D787" s="66"/>
    </row>
    <row r="788">
      <c r="A788" s="46"/>
      <c r="B788" s="7"/>
      <c r="C788" s="66"/>
      <c r="D788" s="66"/>
    </row>
    <row r="789">
      <c r="A789" s="46"/>
      <c r="B789" s="7"/>
      <c r="C789" s="66"/>
      <c r="D789" s="66"/>
    </row>
    <row r="790">
      <c r="A790" s="46"/>
      <c r="B790" s="7"/>
      <c r="C790" s="66"/>
      <c r="D790" s="66"/>
    </row>
    <row r="791">
      <c r="A791" s="46"/>
      <c r="B791" s="7"/>
      <c r="C791" s="66"/>
      <c r="D791" s="66"/>
    </row>
    <row r="792">
      <c r="A792" s="46"/>
      <c r="B792" s="7"/>
      <c r="C792" s="66"/>
      <c r="D792" s="66"/>
    </row>
    <row r="793">
      <c r="A793" s="46"/>
      <c r="B793" s="7"/>
      <c r="C793" s="66"/>
      <c r="D793" s="66"/>
    </row>
    <row r="794">
      <c r="A794" s="46"/>
      <c r="B794" s="7"/>
      <c r="C794" s="66"/>
      <c r="D794" s="66"/>
    </row>
    <row r="795">
      <c r="A795" s="46"/>
      <c r="B795" s="7"/>
      <c r="C795" s="66"/>
      <c r="D795" s="66"/>
    </row>
    <row r="796">
      <c r="A796" s="46"/>
      <c r="B796" s="7"/>
      <c r="C796" s="66"/>
      <c r="D796" s="66"/>
    </row>
    <row r="797">
      <c r="A797" s="46"/>
      <c r="B797" s="7"/>
      <c r="C797" s="66"/>
      <c r="D797" s="66"/>
    </row>
    <row r="798">
      <c r="A798" s="46"/>
      <c r="B798" s="7"/>
      <c r="C798" s="66"/>
      <c r="D798" s="66"/>
    </row>
    <row r="799">
      <c r="A799" s="46"/>
      <c r="B799" s="7"/>
      <c r="C799" s="66"/>
      <c r="D799" s="66"/>
    </row>
    <row r="800">
      <c r="A800" s="46"/>
      <c r="B800" s="7"/>
      <c r="C800" s="66"/>
      <c r="D800" s="66"/>
    </row>
    <row r="801">
      <c r="A801" s="46"/>
      <c r="B801" s="7"/>
      <c r="C801" s="66"/>
      <c r="D801" s="66"/>
    </row>
    <row r="802">
      <c r="A802" s="46"/>
      <c r="B802" s="7"/>
      <c r="C802" s="66"/>
      <c r="D802" s="66"/>
    </row>
    <row r="803">
      <c r="A803" s="46"/>
      <c r="B803" s="7"/>
      <c r="C803" s="66"/>
      <c r="D803" s="66"/>
    </row>
    <row r="804">
      <c r="A804" s="46"/>
      <c r="B804" s="7"/>
      <c r="C804" s="66"/>
      <c r="D804" s="66"/>
    </row>
    <row r="805">
      <c r="A805" s="46"/>
      <c r="B805" s="7"/>
      <c r="C805" s="66"/>
      <c r="D805" s="66"/>
    </row>
    <row r="806">
      <c r="A806" s="46"/>
      <c r="B806" s="7"/>
      <c r="C806" s="66"/>
      <c r="D806" s="66"/>
    </row>
    <row r="807">
      <c r="A807" s="46"/>
      <c r="B807" s="7"/>
      <c r="C807" s="66"/>
      <c r="D807" s="66"/>
    </row>
    <row r="808">
      <c r="A808" s="46"/>
      <c r="B808" s="7"/>
      <c r="C808" s="66"/>
      <c r="D808" s="66"/>
    </row>
    <row r="809">
      <c r="A809" s="46"/>
      <c r="B809" s="7"/>
      <c r="C809" s="66"/>
      <c r="D809" s="66"/>
    </row>
    <row r="810">
      <c r="A810" s="46"/>
      <c r="B810" s="7"/>
      <c r="C810" s="66"/>
      <c r="D810" s="66"/>
    </row>
    <row r="811">
      <c r="A811" s="46"/>
      <c r="B811" s="7"/>
      <c r="C811" s="66"/>
      <c r="D811" s="66"/>
    </row>
    <row r="812">
      <c r="A812" s="46"/>
      <c r="B812" s="7"/>
      <c r="C812" s="66"/>
      <c r="D812" s="66"/>
    </row>
    <row r="813">
      <c r="A813" s="46"/>
      <c r="B813" s="7"/>
      <c r="C813" s="66"/>
      <c r="D813" s="66"/>
    </row>
    <row r="814">
      <c r="A814" s="46"/>
      <c r="B814" s="7"/>
      <c r="C814" s="66"/>
      <c r="D814" s="66"/>
    </row>
    <row r="815">
      <c r="A815" s="46"/>
      <c r="B815" s="7"/>
      <c r="C815" s="66"/>
      <c r="D815" s="66"/>
    </row>
    <row r="816">
      <c r="A816" s="46"/>
      <c r="B816" s="7"/>
      <c r="C816" s="66"/>
      <c r="D816" s="66"/>
    </row>
    <row r="817">
      <c r="A817" s="46"/>
      <c r="B817" s="7"/>
      <c r="C817" s="66"/>
      <c r="D817" s="66"/>
    </row>
    <row r="818">
      <c r="A818" s="46"/>
      <c r="B818" s="7"/>
      <c r="C818" s="66"/>
      <c r="D818" s="66"/>
    </row>
    <row r="819">
      <c r="A819" s="46"/>
      <c r="B819" s="7"/>
      <c r="C819" s="66"/>
      <c r="D819" s="66"/>
    </row>
    <row r="820">
      <c r="A820" s="46"/>
      <c r="B820" s="7"/>
      <c r="C820" s="66"/>
      <c r="D820" s="66"/>
    </row>
    <row r="821">
      <c r="A821" s="46"/>
      <c r="B821" s="7"/>
      <c r="C821" s="66"/>
      <c r="D821" s="66"/>
    </row>
    <row r="822">
      <c r="A822" s="46"/>
      <c r="B822" s="7"/>
      <c r="C822" s="66"/>
      <c r="D822" s="66"/>
    </row>
    <row r="823">
      <c r="A823" s="46"/>
      <c r="B823" s="7"/>
      <c r="C823" s="66"/>
      <c r="D823" s="66"/>
    </row>
    <row r="824">
      <c r="A824" s="46"/>
      <c r="B824" s="7"/>
      <c r="C824" s="66"/>
      <c r="D824" s="66"/>
    </row>
    <row r="825">
      <c r="A825" s="46"/>
      <c r="B825" s="7"/>
      <c r="C825" s="66"/>
      <c r="D825" s="66"/>
    </row>
    <row r="826">
      <c r="A826" s="46"/>
      <c r="B826" s="7"/>
      <c r="C826" s="66"/>
      <c r="D826" s="66"/>
    </row>
    <row r="827">
      <c r="A827" s="46"/>
      <c r="B827" s="7"/>
      <c r="C827" s="66"/>
      <c r="D827" s="66"/>
    </row>
    <row r="828">
      <c r="A828" s="46"/>
      <c r="B828" s="7"/>
      <c r="C828" s="66"/>
      <c r="D828" s="66"/>
    </row>
    <row r="829">
      <c r="A829" s="46"/>
      <c r="B829" s="7"/>
      <c r="C829" s="66"/>
      <c r="D829" s="66"/>
    </row>
    <row r="830">
      <c r="A830" s="46"/>
      <c r="B830" s="7"/>
      <c r="C830" s="66"/>
      <c r="D830" s="66"/>
    </row>
    <row r="831">
      <c r="A831" s="46"/>
      <c r="B831" s="7"/>
      <c r="C831" s="66"/>
      <c r="D831" s="66"/>
    </row>
    <row r="832">
      <c r="A832" s="46"/>
      <c r="B832" s="7"/>
      <c r="C832" s="66"/>
      <c r="D832" s="66"/>
    </row>
    <row r="833">
      <c r="A833" s="46"/>
      <c r="B833" s="7"/>
      <c r="C833" s="66"/>
      <c r="D833" s="66"/>
    </row>
    <row r="834">
      <c r="A834" s="46"/>
      <c r="B834" s="7"/>
      <c r="C834" s="66"/>
      <c r="D834" s="66"/>
    </row>
    <row r="835">
      <c r="A835" s="46"/>
      <c r="B835" s="7"/>
      <c r="C835" s="66"/>
      <c r="D835" s="66"/>
    </row>
    <row r="836">
      <c r="A836" s="46"/>
      <c r="B836" s="7"/>
      <c r="C836" s="66"/>
      <c r="D836" s="66"/>
    </row>
    <row r="837">
      <c r="A837" s="46"/>
      <c r="B837" s="7"/>
      <c r="C837" s="66"/>
      <c r="D837" s="66"/>
    </row>
    <row r="838">
      <c r="A838" s="46"/>
      <c r="B838" s="7"/>
      <c r="C838" s="66"/>
      <c r="D838" s="66"/>
    </row>
    <row r="839">
      <c r="A839" s="46"/>
      <c r="B839" s="7"/>
      <c r="C839" s="66"/>
      <c r="D839" s="66"/>
    </row>
    <row r="840">
      <c r="A840" s="46"/>
      <c r="B840" s="7"/>
      <c r="C840" s="66"/>
      <c r="D840" s="66"/>
    </row>
    <row r="841">
      <c r="A841" s="46"/>
      <c r="B841" s="7"/>
      <c r="C841" s="66"/>
      <c r="D841" s="66"/>
    </row>
    <row r="842">
      <c r="A842" s="46"/>
      <c r="B842" s="7"/>
      <c r="C842" s="66"/>
      <c r="D842" s="66"/>
    </row>
    <row r="843">
      <c r="A843" s="46"/>
      <c r="B843" s="7"/>
      <c r="C843" s="66"/>
      <c r="D843" s="66"/>
    </row>
    <row r="844">
      <c r="A844" s="46"/>
      <c r="B844" s="7"/>
      <c r="C844" s="66"/>
      <c r="D844" s="66"/>
    </row>
    <row r="845">
      <c r="A845" s="46"/>
      <c r="B845" s="7"/>
      <c r="C845" s="66"/>
      <c r="D845" s="66"/>
    </row>
    <row r="846">
      <c r="A846" s="46"/>
      <c r="B846" s="7"/>
      <c r="C846" s="66"/>
      <c r="D846" s="66"/>
    </row>
    <row r="847">
      <c r="A847" s="46"/>
      <c r="B847" s="7"/>
      <c r="C847" s="66"/>
      <c r="D847" s="66"/>
    </row>
    <row r="848">
      <c r="A848" s="46"/>
      <c r="B848" s="7"/>
      <c r="C848" s="66"/>
      <c r="D848" s="66"/>
    </row>
    <row r="849">
      <c r="A849" s="46"/>
      <c r="B849" s="7"/>
      <c r="C849" s="66"/>
      <c r="D849" s="66"/>
    </row>
    <row r="850">
      <c r="A850" s="46"/>
      <c r="B850" s="7"/>
      <c r="C850" s="66"/>
      <c r="D850" s="66"/>
    </row>
    <row r="851">
      <c r="A851" s="46"/>
      <c r="B851" s="7"/>
      <c r="C851" s="66"/>
      <c r="D851" s="66"/>
    </row>
    <row r="852">
      <c r="A852" s="46"/>
      <c r="B852" s="7"/>
      <c r="C852" s="66"/>
      <c r="D852" s="66"/>
    </row>
    <row r="853">
      <c r="A853" s="46"/>
      <c r="B853" s="7"/>
      <c r="C853" s="66"/>
      <c r="D853" s="66"/>
    </row>
    <row r="854">
      <c r="A854" s="46"/>
      <c r="B854" s="7"/>
      <c r="C854" s="66"/>
      <c r="D854" s="66"/>
    </row>
    <row r="855">
      <c r="A855" s="46"/>
      <c r="B855" s="7"/>
      <c r="C855" s="66"/>
      <c r="D855" s="66"/>
    </row>
    <row r="856">
      <c r="A856" s="46"/>
      <c r="B856" s="7"/>
      <c r="C856" s="66"/>
      <c r="D856" s="66"/>
    </row>
    <row r="857">
      <c r="A857" s="46"/>
      <c r="B857" s="7"/>
      <c r="C857" s="66"/>
      <c r="D857" s="66"/>
    </row>
    <row r="858">
      <c r="A858" s="46"/>
      <c r="B858" s="7"/>
      <c r="C858" s="66"/>
      <c r="D858" s="66"/>
    </row>
    <row r="859">
      <c r="A859" s="46"/>
      <c r="B859" s="7"/>
      <c r="C859" s="66"/>
      <c r="D859" s="66"/>
    </row>
    <row r="860">
      <c r="A860" s="46"/>
      <c r="B860" s="7"/>
      <c r="C860" s="66"/>
      <c r="D860" s="66"/>
    </row>
    <row r="861">
      <c r="A861" s="46"/>
      <c r="B861" s="7"/>
      <c r="C861" s="66"/>
      <c r="D861" s="66"/>
    </row>
    <row r="862">
      <c r="A862" s="46"/>
      <c r="B862" s="7"/>
      <c r="C862" s="66"/>
      <c r="D862" s="66"/>
    </row>
    <row r="863">
      <c r="A863" s="46"/>
      <c r="B863" s="7"/>
      <c r="C863" s="66"/>
      <c r="D863" s="66"/>
    </row>
    <row r="864">
      <c r="A864" s="46"/>
      <c r="B864" s="7"/>
      <c r="C864" s="66"/>
      <c r="D864" s="66"/>
    </row>
    <row r="865">
      <c r="A865" s="46"/>
      <c r="B865" s="7"/>
      <c r="C865" s="66"/>
      <c r="D865" s="66"/>
    </row>
    <row r="866">
      <c r="A866" s="46"/>
      <c r="B866" s="7"/>
      <c r="C866" s="66"/>
      <c r="D866" s="66"/>
    </row>
    <row r="867">
      <c r="A867" s="46"/>
      <c r="B867" s="7"/>
      <c r="C867" s="66"/>
      <c r="D867" s="66"/>
    </row>
    <row r="868">
      <c r="A868" s="46"/>
      <c r="B868" s="7"/>
      <c r="C868" s="66"/>
      <c r="D868" s="66"/>
    </row>
    <row r="869">
      <c r="A869" s="46"/>
      <c r="B869" s="7"/>
      <c r="C869" s="66"/>
      <c r="D869" s="66"/>
    </row>
    <row r="870">
      <c r="A870" s="46"/>
      <c r="B870" s="7"/>
      <c r="C870" s="66"/>
      <c r="D870" s="66"/>
    </row>
    <row r="871">
      <c r="A871" s="46"/>
      <c r="B871" s="7"/>
      <c r="C871" s="66"/>
      <c r="D871" s="66"/>
    </row>
    <row r="872">
      <c r="A872" s="46"/>
      <c r="B872" s="7"/>
      <c r="C872" s="66"/>
      <c r="D872" s="66"/>
    </row>
    <row r="873">
      <c r="A873" s="46"/>
      <c r="B873" s="7"/>
      <c r="C873" s="66"/>
      <c r="D873" s="66"/>
    </row>
    <row r="874">
      <c r="A874" s="46"/>
      <c r="B874" s="7"/>
      <c r="C874" s="66"/>
      <c r="D874" s="66"/>
    </row>
    <row r="875">
      <c r="A875" s="46"/>
      <c r="B875" s="7"/>
      <c r="C875" s="66"/>
      <c r="D875" s="66"/>
    </row>
    <row r="876">
      <c r="A876" s="46"/>
      <c r="B876" s="7"/>
      <c r="C876" s="66"/>
      <c r="D876" s="66"/>
    </row>
    <row r="877">
      <c r="A877" s="46"/>
      <c r="B877" s="7"/>
      <c r="C877" s="66"/>
      <c r="D877" s="66"/>
    </row>
    <row r="878">
      <c r="A878" s="46"/>
      <c r="B878" s="7"/>
      <c r="C878" s="66"/>
      <c r="D878" s="66"/>
    </row>
    <row r="879">
      <c r="A879" s="46"/>
      <c r="B879" s="7"/>
      <c r="C879" s="66"/>
      <c r="D879" s="66"/>
    </row>
    <row r="880">
      <c r="A880" s="46"/>
      <c r="B880" s="7"/>
      <c r="C880" s="66"/>
      <c r="D880" s="66"/>
    </row>
    <row r="881">
      <c r="A881" s="46"/>
      <c r="B881" s="7"/>
      <c r="C881" s="66"/>
      <c r="D881" s="66"/>
    </row>
    <row r="882">
      <c r="A882" s="46"/>
      <c r="B882" s="7"/>
      <c r="C882" s="66"/>
      <c r="D882" s="66"/>
    </row>
    <row r="883">
      <c r="A883" s="46"/>
      <c r="B883" s="7"/>
      <c r="C883" s="66"/>
      <c r="D883" s="66"/>
    </row>
    <row r="884">
      <c r="A884" s="46"/>
      <c r="B884" s="7"/>
      <c r="C884" s="66"/>
      <c r="D884" s="66"/>
    </row>
    <row r="885">
      <c r="A885" s="46"/>
      <c r="B885" s="7"/>
      <c r="C885" s="66"/>
      <c r="D885" s="66"/>
    </row>
    <row r="886">
      <c r="A886" s="46"/>
      <c r="B886" s="7"/>
      <c r="C886" s="66"/>
      <c r="D886" s="66"/>
    </row>
    <row r="887">
      <c r="A887" s="46"/>
      <c r="B887" s="7"/>
      <c r="C887" s="66"/>
      <c r="D887" s="66"/>
    </row>
    <row r="888">
      <c r="A888" s="46"/>
      <c r="B888" s="7"/>
      <c r="C888" s="66"/>
      <c r="D888" s="66"/>
    </row>
    <row r="889">
      <c r="A889" s="46"/>
      <c r="B889" s="7"/>
      <c r="C889" s="66"/>
      <c r="D889" s="66"/>
    </row>
    <row r="890">
      <c r="A890" s="46"/>
      <c r="B890" s="7"/>
      <c r="C890" s="66"/>
      <c r="D890" s="66"/>
    </row>
    <row r="891">
      <c r="A891" s="46"/>
      <c r="B891" s="7"/>
      <c r="C891" s="66"/>
      <c r="D891" s="66"/>
    </row>
    <row r="892">
      <c r="A892" s="46"/>
      <c r="B892" s="7"/>
      <c r="C892" s="66"/>
      <c r="D892" s="66"/>
    </row>
    <row r="893">
      <c r="A893" s="46"/>
      <c r="B893" s="7"/>
      <c r="C893" s="66"/>
      <c r="D893" s="66"/>
    </row>
    <row r="894">
      <c r="A894" s="46"/>
      <c r="B894" s="7"/>
      <c r="C894" s="66"/>
      <c r="D894" s="66"/>
    </row>
    <row r="895">
      <c r="A895" s="46"/>
      <c r="B895" s="7"/>
      <c r="C895" s="66"/>
      <c r="D895" s="66"/>
    </row>
    <row r="896">
      <c r="A896" s="46"/>
      <c r="B896" s="7"/>
      <c r="C896" s="66"/>
      <c r="D896" s="66"/>
    </row>
    <row r="897">
      <c r="A897" s="46"/>
      <c r="B897" s="7"/>
      <c r="C897" s="66"/>
      <c r="D897" s="66"/>
    </row>
    <row r="898">
      <c r="A898" s="46"/>
      <c r="B898" s="7"/>
      <c r="C898" s="66"/>
      <c r="D898" s="66"/>
    </row>
    <row r="899">
      <c r="A899" s="46"/>
      <c r="B899" s="7"/>
      <c r="C899" s="66"/>
      <c r="D899" s="66"/>
    </row>
    <row r="900">
      <c r="A900" s="46"/>
      <c r="B900" s="7"/>
      <c r="C900" s="66"/>
      <c r="D900" s="66"/>
    </row>
    <row r="901">
      <c r="A901" s="46"/>
      <c r="B901" s="7"/>
      <c r="C901" s="66"/>
      <c r="D901" s="66"/>
    </row>
    <row r="902">
      <c r="A902" s="46"/>
      <c r="B902" s="7"/>
      <c r="C902" s="66"/>
      <c r="D902" s="66"/>
    </row>
    <row r="903">
      <c r="A903" s="46"/>
      <c r="B903" s="7"/>
      <c r="C903" s="66"/>
      <c r="D903" s="66"/>
    </row>
    <row r="904">
      <c r="A904" s="46"/>
      <c r="B904" s="7"/>
      <c r="C904" s="66"/>
      <c r="D904" s="66"/>
    </row>
    <row r="905">
      <c r="A905" s="46"/>
      <c r="B905" s="7"/>
      <c r="C905" s="66"/>
      <c r="D905" s="66"/>
    </row>
    <row r="906">
      <c r="A906" s="46"/>
      <c r="B906" s="7"/>
      <c r="C906" s="66"/>
      <c r="D906" s="66"/>
    </row>
    <row r="907">
      <c r="A907" s="46"/>
      <c r="B907" s="7"/>
      <c r="C907" s="66"/>
      <c r="D907" s="66"/>
    </row>
    <row r="908">
      <c r="A908" s="46"/>
      <c r="B908" s="7"/>
      <c r="C908" s="66"/>
      <c r="D908" s="66"/>
    </row>
    <row r="909">
      <c r="A909" s="46"/>
      <c r="B909" s="7"/>
      <c r="C909" s="66"/>
      <c r="D909" s="66"/>
    </row>
    <row r="910">
      <c r="A910" s="46"/>
      <c r="B910" s="7"/>
      <c r="C910" s="66"/>
      <c r="D910" s="66"/>
    </row>
    <row r="911">
      <c r="A911" s="46"/>
      <c r="B911" s="7"/>
      <c r="C911" s="66"/>
      <c r="D911" s="66"/>
    </row>
    <row r="912">
      <c r="A912" s="46"/>
      <c r="B912" s="7"/>
      <c r="C912" s="66"/>
      <c r="D912" s="66"/>
    </row>
    <row r="913">
      <c r="A913" s="46"/>
      <c r="B913" s="7"/>
      <c r="C913" s="66"/>
      <c r="D913" s="66"/>
    </row>
    <row r="914">
      <c r="A914" s="46"/>
      <c r="B914" s="7"/>
      <c r="C914" s="66"/>
      <c r="D914" s="66"/>
    </row>
    <row r="915">
      <c r="A915" s="46"/>
      <c r="B915" s="7"/>
      <c r="C915" s="66"/>
      <c r="D915" s="66"/>
    </row>
    <row r="916">
      <c r="A916" s="46"/>
      <c r="B916" s="7"/>
      <c r="C916" s="66"/>
      <c r="D916" s="66"/>
    </row>
    <row r="917">
      <c r="A917" s="46"/>
      <c r="B917" s="7"/>
      <c r="C917" s="66"/>
      <c r="D917" s="66"/>
    </row>
    <row r="918">
      <c r="A918" s="46"/>
      <c r="B918" s="7"/>
      <c r="C918" s="66"/>
      <c r="D918" s="66"/>
    </row>
    <row r="919">
      <c r="A919" s="46"/>
      <c r="B919" s="7"/>
      <c r="C919" s="66"/>
      <c r="D919" s="66"/>
    </row>
    <row r="920">
      <c r="A920" s="46"/>
      <c r="B920" s="7"/>
      <c r="C920" s="66"/>
      <c r="D920" s="66"/>
    </row>
    <row r="921">
      <c r="A921" s="46"/>
      <c r="B921" s="7"/>
      <c r="C921" s="66"/>
      <c r="D921" s="66"/>
    </row>
    <row r="922">
      <c r="A922" s="46"/>
      <c r="B922" s="7"/>
      <c r="C922" s="66"/>
      <c r="D922" s="66"/>
    </row>
    <row r="923">
      <c r="A923" s="46"/>
      <c r="B923" s="7"/>
      <c r="C923" s="66"/>
      <c r="D923" s="66"/>
    </row>
    <row r="924">
      <c r="A924" s="46"/>
      <c r="B924" s="7"/>
      <c r="C924" s="66"/>
      <c r="D924" s="66"/>
    </row>
    <row r="925">
      <c r="A925" s="46"/>
      <c r="B925" s="7"/>
      <c r="C925" s="66"/>
      <c r="D925" s="66"/>
    </row>
    <row r="926">
      <c r="A926" s="46"/>
      <c r="B926" s="7"/>
      <c r="C926" s="66"/>
      <c r="D926" s="66"/>
    </row>
    <row r="927">
      <c r="A927" s="46"/>
      <c r="B927" s="7"/>
      <c r="C927" s="66"/>
      <c r="D927" s="66"/>
    </row>
    <row r="928">
      <c r="A928" s="46"/>
      <c r="B928" s="7"/>
      <c r="C928" s="66"/>
      <c r="D928" s="66"/>
    </row>
    <row r="929">
      <c r="A929" s="46"/>
      <c r="B929" s="7"/>
      <c r="C929" s="66"/>
      <c r="D929" s="66"/>
    </row>
    <row r="930">
      <c r="A930" s="46"/>
      <c r="B930" s="7"/>
      <c r="C930" s="66"/>
      <c r="D930" s="66"/>
    </row>
    <row r="931">
      <c r="A931" s="46"/>
      <c r="B931" s="7"/>
      <c r="C931" s="66"/>
      <c r="D931" s="66"/>
    </row>
    <row r="932">
      <c r="A932" s="46"/>
      <c r="B932" s="7"/>
      <c r="C932" s="66"/>
      <c r="D932" s="66"/>
    </row>
    <row r="933">
      <c r="A933" s="46"/>
      <c r="B933" s="7"/>
      <c r="C933" s="66"/>
      <c r="D933" s="66"/>
    </row>
    <row r="934">
      <c r="A934" s="46"/>
      <c r="B934" s="7"/>
      <c r="C934" s="66"/>
      <c r="D934" s="66"/>
    </row>
    <row r="935">
      <c r="A935" s="46"/>
      <c r="B935" s="7"/>
      <c r="C935" s="66"/>
      <c r="D935" s="66"/>
    </row>
    <row r="936">
      <c r="A936" s="46"/>
      <c r="B936" s="7"/>
      <c r="C936" s="66"/>
      <c r="D936" s="66"/>
    </row>
    <row r="937">
      <c r="A937" s="46"/>
      <c r="B937" s="7"/>
      <c r="C937" s="66"/>
      <c r="D937" s="66"/>
    </row>
    <row r="938">
      <c r="A938" s="46"/>
      <c r="B938" s="7"/>
      <c r="C938" s="66"/>
      <c r="D938" s="66"/>
    </row>
    <row r="939">
      <c r="A939" s="46"/>
      <c r="B939" s="7"/>
      <c r="C939" s="66"/>
      <c r="D939" s="66"/>
    </row>
    <row r="940">
      <c r="A940" s="46"/>
      <c r="B940" s="7"/>
      <c r="C940" s="66"/>
      <c r="D940" s="66"/>
    </row>
    <row r="941">
      <c r="A941" s="46"/>
      <c r="B941" s="7"/>
      <c r="C941" s="66"/>
      <c r="D941" s="66"/>
    </row>
    <row r="942">
      <c r="A942" s="46"/>
      <c r="B942" s="7"/>
      <c r="C942" s="66"/>
      <c r="D942" s="66"/>
    </row>
    <row r="943">
      <c r="A943" s="46"/>
      <c r="B943" s="7"/>
      <c r="C943" s="66"/>
      <c r="D943" s="66"/>
    </row>
    <row r="944">
      <c r="A944" s="46"/>
      <c r="B944" s="7"/>
      <c r="C944" s="66"/>
      <c r="D944" s="66"/>
    </row>
    <row r="945">
      <c r="A945" s="46"/>
      <c r="B945" s="7"/>
      <c r="C945" s="66"/>
      <c r="D945" s="66"/>
    </row>
    <row r="946">
      <c r="A946" s="46"/>
      <c r="B946" s="7"/>
      <c r="C946" s="66"/>
      <c r="D946" s="66"/>
    </row>
    <row r="947">
      <c r="A947" s="46"/>
      <c r="B947" s="7"/>
      <c r="C947" s="66"/>
      <c r="D947" s="66"/>
    </row>
    <row r="948">
      <c r="A948" s="46"/>
      <c r="B948" s="7"/>
      <c r="C948" s="66"/>
      <c r="D948" s="66"/>
    </row>
    <row r="949">
      <c r="A949" s="46"/>
      <c r="B949" s="7"/>
      <c r="C949" s="66"/>
      <c r="D949" s="66"/>
    </row>
    <row r="950">
      <c r="A950" s="46"/>
      <c r="B950" s="7"/>
      <c r="C950" s="66"/>
      <c r="D950" s="66"/>
    </row>
    <row r="951">
      <c r="A951" s="46"/>
      <c r="B951" s="7"/>
      <c r="C951" s="66"/>
      <c r="D951" s="66"/>
    </row>
    <row r="952">
      <c r="A952" s="46"/>
      <c r="B952" s="7"/>
      <c r="C952" s="66"/>
      <c r="D952" s="66"/>
    </row>
    <row r="953">
      <c r="A953" s="46"/>
      <c r="B953" s="7"/>
      <c r="C953" s="66"/>
      <c r="D953" s="66"/>
    </row>
    <row r="954">
      <c r="A954" s="46"/>
      <c r="B954" s="7"/>
      <c r="C954" s="66"/>
      <c r="D954" s="66"/>
    </row>
    <row r="955">
      <c r="A955" s="46"/>
      <c r="B955" s="7"/>
      <c r="C955" s="66"/>
      <c r="D955" s="66"/>
    </row>
    <row r="956">
      <c r="A956" s="46"/>
      <c r="B956" s="7"/>
      <c r="C956" s="66"/>
      <c r="D956" s="66"/>
    </row>
    <row r="957">
      <c r="A957" s="46"/>
      <c r="B957" s="7"/>
      <c r="C957" s="66"/>
      <c r="D957" s="66"/>
    </row>
    <row r="958">
      <c r="A958" s="46"/>
      <c r="B958" s="7"/>
      <c r="C958" s="66"/>
      <c r="D958" s="66"/>
    </row>
    <row r="959">
      <c r="A959" s="46"/>
      <c r="B959" s="7"/>
      <c r="C959" s="66"/>
      <c r="D959" s="66"/>
    </row>
    <row r="960">
      <c r="A960" s="46"/>
      <c r="B960" s="7"/>
      <c r="C960" s="66"/>
      <c r="D960" s="66"/>
    </row>
    <row r="961">
      <c r="A961" s="46"/>
      <c r="B961" s="7"/>
      <c r="C961" s="66"/>
      <c r="D961" s="66"/>
    </row>
    <row r="962">
      <c r="A962" s="46"/>
      <c r="B962" s="7"/>
      <c r="C962" s="66"/>
      <c r="D962" s="66"/>
    </row>
    <row r="963">
      <c r="A963" s="46"/>
      <c r="B963" s="7"/>
      <c r="C963" s="66"/>
      <c r="D963" s="66"/>
    </row>
    <row r="964">
      <c r="A964" s="46"/>
      <c r="B964" s="7"/>
      <c r="C964" s="66"/>
      <c r="D964" s="66"/>
    </row>
    <row r="965">
      <c r="A965" s="46"/>
      <c r="B965" s="7"/>
      <c r="C965" s="66"/>
      <c r="D965" s="66"/>
    </row>
    <row r="966">
      <c r="A966" s="46"/>
      <c r="B966" s="7"/>
      <c r="C966" s="66"/>
      <c r="D966" s="66"/>
    </row>
    <row r="967">
      <c r="A967" s="46"/>
      <c r="B967" s="7"/>
      <c r="C967" s="66"/>
      <c r="D967" s="66"/>
    </row>
    <row r="968">
      <c r="A968" s="46"/>
      <c r="B968" s="7"/>
      <c r="C968" s="66"/>
      <c r="D968" s="66"/>
    </row>
    <row r="969">
      <c r="A969" s="46"/>
      <c r="B969" s="7"/>
      <c r="C969" s="66"/>
      <c r="D969" s="66"/>
    </row>
    <row r="970">
      <c r="A970" s="46"/>
      <c r="B970" s="7"/>
      <c r="C970" s="66"/>
      <c r="D970" s="66"/>
    </row>
    <row r="971">
      <c r="A971" s="46"/>
      <c r="B971" s="7"/>
      <c r="C971" s="66"/>
      <c r="D971" s="66"/>
    </row>
    <row r="972">
      <c r="A972" s="46"/>
      <c r="B972" s="7"/>
      <c r="C972" s="66"/>
      <c r="D972" s="66"/>
    </row>
    <row r="973">
      <c r="A973" s="46"/>
      <c r="B973" s="7"/>
      <c r="C973" s="66"/>
      <c r="D973" s="66"/>
    </row>
    <row r="974">
      <c r="A974" s="46"/>
      <c r="B974" s="7"/>
      <c r="C974" s="66"/>
      <c r="D974" s="66"/>
    </row>
    <row r="975">
      <c r="A975" s="46"/>
      <c r="B975" s="7"/>
      <c r="C975" s="66"/>
      <c r="D975" s="66"/>
    </row>
    <row r="976">
      <c r="A976" s="46"/>
      <c r="B976" s="7"/>
      <c r="C976" s="66"/>
      <c r="D976" s="66"/>
    </row>
    <row r="977">
      <c r="A977" s="46"/>
      <c r="B977" s="7"/>
      <c r="C977" s="66"/>
      <c r="D977" s="66"/>
    </row>
    <row r="978">
      <c r="A978" s="46"/>
      <c r="B978" s="7"/>
      <c r="C978" s="66"/>
      <c r="D978" s="66"/>
    </row>
    <row r="979">
      <c r="A979" s="46"/>
      <c r="B979" s="7"/>
      <c r="C979" s="66"/>
      <c r="D979" s="66"/>
    </row>
    <row r="980">
      <c r="A980" s="46"/>
      <c r="B980" s="7"/>
      <c r="C980" s="66"/>
      <c r="D980" s="66"/>
    </row>
    <row r="981">
      <c r="A981" s="46"/>
      <c r="B981" s="7"/>
      <c r="C981" s="66"/>
      <c r="D981" s="66"/>
    </row>
    <row r="982">
      <c r="A982" s="46"/>
      <c r="B982" s="7"/>
      <c r="C982" s="66"/>
      <c r="D982" s="66"/>
    </row>
    <row r="983">
      <c r="A983" s="46"/>
      <c r="B983" s="7"/>
      <c r="C983" s="66"/>
      <c r="D983" s="66"/>
    </row>
    <row r="984">
      <c r="A984" s="46"/>
      <c r="B984" s="7"/>
      <c r="C984" s="66"/>
      <c r="D984" s="66"/>
    </row>
    <row r="985">
      <c r="A985" s="46"/>
      <c r="B985" s="7"/>
      <c r="C985" s="66"/>
      <c r="D985" s="66"/>
    </row>
    <row r="986">
      <c r="A986" s="46"/>
      <c r="B986" s="7"/>
      <c r="C986" s="66"/>
      <c r="D986" s="66"/>
    </row>
    <row r="987">
      <c r="A987" s="46"/>
      <c r="B987" s="7"/>
      <c r="C987" s="66"/>
      <c r="D987" s="66"/>
    </row>
    <row r="988">
      <c r="A988" s="46"/>
      <c r="B988" s="7"/>
      <c r="C988" s="66"/>
      <c r="D988" s="66"/>
    </row>
    <row r="989">
      <c r="A989" s="46"/>
      <c r="B989" s="7"/>
      <c r="C989" s="66"/>
      <c r="D989" s="66"/>
    </row>
    <row r="990">
      <c r="A990" s="46"/>
      <c r="B990" s="7"/>
      <c r="C990" s="66"/>
      <c r="D990" s="66"/>
    </row>
    <row r="991">
      <c r="A991" s="46"/>
      <c r="B991" s="7"/>
      <c r="C991" s="66"/>
      <c r="D991" s="66"/>
    </row>
    <row r="992">
      <c r="A992" s="46"/>
      <c r="B992" s="7"/>
      <c r="C992" s="66"/>
      <c r="D992" s="66"/>
    </row>
    <row r="993">
      <c r="A993" s="46"/>
      <c r="B993" s="7"/>
      <c r="C993" s="66"/>
      <c r="D993" s="66"/>
    </row>
    <row r="994">
      <c r="A994" s="46"/>
      <c r="B994" s="7"/>
      <c r="C994" s="66"/>
      <c r="D994" s="66"/>
    </row>
    <row r="995">
      <c r="A995" s="46"/>
      <c r="B995" s="7"/>
      <c r="C995" s="66"/>
      <c r="D995" s="66"/>
    </row>
    <row r="996">
      <c r="A996" s="46"/>
      <c r="B996" s="7"/>
      <c r="C996" s="66"/>
      <c r="D996" s="66"/>
    </row>
    <row r="997">
      <c r="A997" s="46"/>
      <c r="B997" s="7"/>
      <c r="C997" s="66"/>
      <c r="D997" s="66"/>
    </row>
    <row r="998">
      <c r="A998" s="46"/>
      <c r="B998" s="7"/>
      <c r="C998" s="66"/>
      <c r="D998" s="66"/>
    </row>
    <row r="999">
      <c r="A999" s="46"/>
      <c r="B999" s="7"/>
      <c r="C999" s="66"/>
      <c r="D999" s="66"/>
    </row>
    <row r="1000">
      <c r="A1000" s="46"/>
      <c r="B1000" s="7"/>
      <c r="C1000" s="66"/>
      <c r="D1000" s="66"/>
    </row>
    <row r="1001">
      <c r="A1001" s="46"/>
      <c r="B1001" s="7"/>
      <c r="C1001" s="66"/>
      <c r="D1001" s="66"/>
    </row>
    <row r="1002">
      <c r="A1002" s="46"/>
      <c r="B1002" s="7"/>
      <c r="C1002" s="66"/>
      <c r="D1002" s="66"/>
    </row>
    <row r="1003">
      <c r="A1003" s="46"/>
      <c r="B1003" s="7"/>
      <c r="C1003" s="66"/>
      <c r="D1003" s="66"/>
    </row>
    <row r="1004">
      <c r="A1004" s="46"/>
      <c r="B1004" s="7"/>
      <c r="C1004" s="66"/>
      <c r="D1004" s="66"/>
    </row>
    <row r="1005">
      <c r="A1005" s="46"/>
      <c r="B1005" s="7"/>
      <c r="C1005" s="66"/>
      <c r="D1005" s="66"/>
    </row>
    <row r="1006">
      <c r="A1006" s="46"/>
      <c r="B1006" s="7"/>
      <c r="C1006" s="66"/>
      <c r="D1006" s="66"/>
    </row>
    <row r="1007">
      <c r="A1007" s="46"/>
      <c r="B1007" s="7"/>
      <c r="C1007" s="66"/>
      <c r="D1007" s="66"/>
    </row>
    <row r="1008">
      <c r="A1008" s="46"/>
      <c r="B1008" s="7"/>
      <c r="C1008" s="66"/>
      <c r="D1008" s="66"/>
    </row>
    <row r="1009">
      <c r="A1009" s="46"/>
      <c r="B1009" s="7"/>
      <c r="C1009" s="66"/>
      <c r="D1009" s="66"/>
    </row>
    <row r="1010">
      <c r="A1010" s="46"/>
      <c r="B1010" s="7"/>
      <c r="C1010" s="66"/>
      <c r="D1010" s="66"/>
    </row>
    <row r="1011">
      <c r="A1011" s="46"/>
      <c r="B1011" s="7"/>
      <c r="C1011" s="66"/>
      <c r="D1011" s="66"/>
    </row>
    <row r="1012">
      <c r="A1012" s="46"/>
      <c r="B1012" s="7"/>
      <c r="C1012" s="66"/>
      <c r="D1012" s="66"/>
    </row>
    <row r="1013">
      <c r="A1013" s="46"/>
      <c r="B1013" s="7"/>
      <c r="C1013" s="66"/>
      <c r="D1013" s="66"/>
    </row>
    <row r="1014">
      <c r="A1014" s="46"/>
      <c r="B1014" s="7"/>
      <c r="C1014" s="66"/>
      <c r="D1014" s="66"/>
    </row>
    <row r="1015">
      <c r="A1015" s="46"/>
      <c r="B1015" s="7"/>
      <c r="C1015" s="66"/>
      <c r="D1015" s="66"/>
    </row>
    <row r="1016">
      <c r="A1016" s="46"/>
      <c r="B1016" s="7"/>
      <c r="C1016" s="66"/>
      <c r="D1016" s="66"/>
    </row>
    <row r="1017">
      <c r="A1017" s="46"/>
      <c r="B1017" s="7"/>
      <c r="C1017" s="66"/>
      <c r="D1017" s="66"/>
    </row>
    <row r="1018">
      <c r="A1018" s="46"/>
      <c r="B1018" s="7"/>
      <c r="C1018" s="66"/>
      <c r="D1018" s="66"/>
    </row>
    <row r="1019">
      <c r="A1019" s="46"/>
      <c r="B1019" s="7"/>
      <c r="C1019" s="66"/>
      <c r="D1019" s="66"/>
    </row>
    <row r="1020">
      <c r="A1020" s="46"/>
      <c r="B1020" s="7"/>
      <c r="C1020" s="66"/>
      <c r="D1020" s="66"/>
    </row>
    <row r="1021">
      <c r="A1021" s="46"/>
      <c r="B1021" s="7"/>
      <c r="C1021" s="66"/>
      <c r="D1021" s="66"/>
    </row>
    <row r="1022">
      <c r="A1022" s="46"/>
      <c r="B1022" s="7"/>
      <c r="C1022" s="66"/>
      <c r="D1022" s="66"/>
    </row>
    <row r="1023">
      <c r="A1023" s="46"/>
      <c r="B1023" s="7"/>
      <c r="C1023" s="66"/>
      <c r="D1023" s="66"/>
    </row>
    <row r="1024">
      <c r="A1024" s="46"/>
      <c r="B1024" s="7"/>
      <c r="C1024" s="66"/>
      <c r="D1024" s="66"/>
    </row>
    <row r="1025">
      <c r="A1025" s="46"/>
      <c r="B1025" s="7"/>
      <c r="C1025" s="66"/>
      <c r="D1025" s="66"/>
    </row>
    <row r="1026">
      <c r="A1026" s="46"/>
      <c r="B1026" s="7"/>
      <c r="C1026" s="66"/>
      <c r="D1026" s="66"/>
    </row>
    <row r="1027">
      <c r="A1027" s="46"/>
      <c r="B1027" s="7"/>
      <c r="C1027" s="66"/>
      <c r="D1027" s="66"/>
    </row>
    <row r="1028">
      <c r="A1028" s="46"/>
      <c r="B1028" s="7"/>
      <c r="C1028" s="66"/>
      <c r="D1028" s="66"/>
    </row>
    <row r="1029">
      <c r="A1029" s="46"/>
      <c r="B1029" s="7"/>
      <c r="C1029" s="66"/>
      <c r="D1029" s="66"/>
    </row>
    <row r="1030">
      <c r="A1030" s="46"/>
      <c r="B1030" s="7"/>
      <c r="C1030" s="66"/>
      <c r="D1030" s="66"/>
    </row>
    <row r="1031">
      <c r="A1031" s="46"/>
      <c r="B1031" s="7"/>
      <c r="C1031" s="66"/>
      <c r="D1031" s="66"/>
    </row>
    <row r="1032">
      <c r="A1032" s="46"/>
      <c r="B1032" s="7"/>
      <c r="C1032" s="66"/>
      <c r="D1032" s="66"/>
    </row>
    <row r="1033">
      <c r="A1033" s="46"/>
      <c r="B1033" s="7"/>
      <c r="C1033" s="66"/>
      <c r="D1033" s="66"/>
    </row>
    <row r="1034">
      <c r="A1034" s="46"/>
      <c r="B1034" s="7"/>
      <c r="C1034" s="66"/>
      <c r="D1034" s="66"/>
    </row>
    <row r="1035">
      <c r="A1035" s="46"/>
      <c r="B1035" s="7"/>
      <c r="C1035" s="66"/>
      <c r="D1035" s="66"/>
    </row>
    <row r="1036">
      <c r="A1036" s="46"/>
      <c r="B1036" s="7"/>
      <c r="C1036" s="66"/>
      <c r="D1036" s="66"/>
    </row>
    <row r="1037">
      <c r="A1037" s="46"/>
      <c r="B1037" s="7"/>
      <c r="C1037" s="66"/>
      <c r="D1037" s="66"/>
    </row>
    <row r="1038">
      <c r="A1038" s="46"/>
      <c r="B1038" s="7"/>
      <c r="C1038" s="66"/>
      <c r="D1038" s="66"/>
    </row>
    <row r="1039">
      <c r="A1039" s="46"/>
      <c r="B1039" s="7"/>
      <c r="C1039" s="66"/>
      <c r="D1039" s="66"/>
    </row>
    <row r="1040">
      <c r="A1040" s="46"/>
      <c r="B1040" s="7"/>
      <c r="C1040" s="66"/>
      <c r="D1040" s="66"/>
    </row>
    <row r="1041">
      <c r="A1041" s="46"/>
      <c r="B1041" s="7"/>
      <c r="C1041" s="66"/>
      <c r="D1041" s="66"/>
    </row>
    <row r="1042">
      <c r="A1042" s="46"/>
      <c r="B1042" s="7"/>
      <c r="C1042" s="66"/>
      <c r="D1042" s="66"/>
    </row>
    <row r="1043">
      <c r="A1043" s="46"/>
      <c r="B1043" s="7"/>
      <c r="C1043" s="66"/>
      <c r="D1043" s="66"/>
    </row>
    <row r="1044">
      <c r="A1044" s="46"/>
      <c r="B1044" s="7"/>
      <c r="C1044" s="66"/>
      <c r="D1044" s="66"/>
    </row>
    <row r="1045">
      <c r="A1045" s="46"/>
      <c r="B1045" s="7"/>
      <c r="C1045" s="66"/>
      <c r="D1045" s="66"/>
    </row>
    <row r="1046">
      <c r="A1046" s="46"/>
      <c r="B1046" s="7"/>
      <c r="C1046" s="66"/>
      <c r="D1046" s="66"/>
    </row>
    <row r="1047">
      <c r="A1047" s="46"/>
      <c r="B1047" s="7"/>
      <c r="C1047" s="66"/>
      <c r="D1047" s="66"/>
    </row>
    <row r="1048">
      <c r="A1048" s="46"/>
      <c r="B1048" s="7"/>
      <c r="C1048" s="66"/>
      <c r="D1048" s="66"/>
    </row>
    <row r="1049">
      <c r="A1049" s="46"/>
      <c r="B1049" s="7"/>
      <c r="C1049" s="66"/>
      <c r="D1049" s="66"/>
    </row>
    <row r="1050">
      <c r="A1050" s="46"/>
      <c r="B1050" s="7"/>
      <c r="C1050" s="66"/>
      <c r="D1050" s="66"/>
    </row>
    <row r="1051">
      <c r="A1051" s="46"/>
      <c r="B1051" s="7"/>
      <c r="C1051" s="66"/>
      <c r="D1051" s="66"/>
    </row>
    <row r="1052">
      <c r="A1052" s="46"/>
      <c r="B1052" s="7"/>
      <c r="C1052" s="66"/>
      <c r="D1052" s="66"/>
    </row>
    <row r="1053">
      <c r="A1053" s="46"/>
      <c r="B1053" s="7"/>
      <c r="C1053" s="66"/>
      <c r="D1053" s="66"/>
    </row>
    <row r="1054">
      <c r="A1054" s="46"/>
      <c r="B1054" s="7"/>
      <c r="C1054" s="66"/>
      <c r="D1054" s="66"/>
    </row>
    <row r="1055">
      <c r="A1055" s="46"/>
      <c r="B1055" s="7"/>
      <c r="C1055" s="66"/>
      <c r="D1055" s="66"/>
    </row>
    <row r="1056">
      <c r="A1056" s="46"/>
      <c r="B1056" s="7"/>
      <c r="C1056" s="66"/>
      <c r="D1056" s="66"/>
    </row>
    <row r="1057">
      <c r="A1057" s="46"/>
      <c r="B1057" s="7"/>
      <c r="C1057" s="66"/>
      <c r="D1057" s="66"/>
    </row>
    <row r="1058">
      <c r="A1058" s="46"/>
      <c r="B1058" s="7"/>
      <c r="C1058" s="66"/>
      <c r="D1058" s="66"/>
    </row>
    <row r="1059">
      <c r="A1059" s="46"/>
      <c r="B1059" s="7"/>
      <c r="C1059" s="66"/>
      <c r="D1059" s="66"/>
    </row>
    <row r="1060">
      <c r="A1060" s="46"/>
      <c r="B1060" s="7"/>
      <c r="C1060" s="66"/>
      <c r="D1060" s="66"/>
    </row>
    <row r="1061">
      <c r="A1061" s="46"/>
      <c r="B1061" s="7"/>
      <c r="C1061" s="66"/>
      <c r="D1061" s="66"/>
    </row>
    <row r="1062">
      <c r="A1062" s="46"/>
      <c r="B1062" s="7"/>
      <c r="C1062" s="66"/>
      <c r="D1062" s="66"/>
    </row>
    <row r="1063">
      <c r="A1063" s="46"/>
      <c r="B1063" s="7"/>
      <c r="C1063" s="66"/>
      <c r="D1063" s="66"/>
    </row>
    <row r="1064">
      <c r="A1064" s="46"/>
      <c r="B1064" s="7"/>
      <c r="C1064" s="66"/>
      <c r="D1064" s="66"/>
    </row>
    <row r="1065">
      <c r="A1065" s="46"/>
      <c r="B1065" s="7"/>
      <c r="C1065" s="66"/>
      <c r="D1065" s="66"/>
    </row>
    <row r="1066">
      <c r="A1066" s="46"/>
      <c r="B1066" s="7"/>
      <c r="C1066" s="66"/>
      <c r="D1066" s="66"/>
    </row>
    <row r="1067">
      <c r="A1067" s="46"/>
      <c r="B1067" s="7"/>
      <c r="C1067" s="66"/>
      <c r="D1067" s="66"/>
    </row>
    <row r="1068">
      <c r="A1068" s="46"/>
      <c r="B1068" s="7"/>
      <c r="C1068" s="66"/>
      <c r="D1068" s="66"/>
    </row>
    <row r="1069">
      <c r="A1069" s="46"/>
      <c r="B1069" s="7"/>
      <c r="C1069" s="66"/>
      <c r="D1069" s="66"/>
    </row>
    <row r="1070">
      <c r="A1070" s="46"/>
      <c r="B1070" s="7"/>
      <c r="C1070" s="66"/>
      <c r="D1070" s="66"/>
    </row>
    <row r="1071">
      <c r="A1071" s="46"/>
      <c r="B1071" s="7"/>
      <c r="C1071" s="66"/>
      <c r="D1071" s="66"/>
    </row>
    <row r="1072">
      <c r="A1072" s="46"/>
      <c r="B1072" s="7"/>
      <c r="C1072" s="66"/>
      <c r="D1072" s="66"/>
    </row>
    <row r="1073">
      <c r="A1073" s="46"/>
      <c r="B1073" s="7"/>
      <c r="C1073" s="66"/>
      <c r="D1073" s="66"/>
    </row>
    <row r="1074">
      <c r="A1074" s="46"/>
      <c r="B1074" s="7"/>
      <c r="C1074" s="66"/>
      <c r="D1074" s="66"/>
    </row>
    <row r="1075">
      <c r="A1075" s="46"/>
      <c r="B1075" s="7"/>
      <c r="C1075" s="66"/>
      <c r="D1075" s="66"/>
    </row>
    <row r="1076">
      <c r="A1076" s="46"/>
      <c r="B1076" s="7"/>
      <c r="C1076" s="66"/>
      <c r="D1076" s="66"/>
    </row>
    <row r="1077">
      <c r="A1077" s="46"/>
      <c r="B1077" s="7"/>
      <c r="C1077" s="66"/>
      <c r="D1077" s="66"/>
    </row>
    <row r="1078">
      <c r="A1078" s="46"/>
      <c r="B1078" s="7"/>
      <c r="C1078" s="66"/>
      <c r="D1078" s="66"/>
    </row>
    <row r="1079">
      <c r="A1079" s="46"/>
      <c r="B1079" s="7"/>
      <c r="C1079" s="66"/>
      <c r="D1079" s="66"/>
    </row>
    <row r="1080">
      <c r="A1080" s="46"/>
      <c r="B1080" s="7"/>
      <c r="C1080" s="66"/>
      <c r="D1080" s="66"/>
    </row>
    <row r="1081">
      <c r="A1081" s="46"/>
      <c r="B1081" s="7"/>
      <c r="C1081" s="66"/>
      <c r="D1081" s="66"/>
    </row>
    <row r="1082">
      <c r="A1082" s="46"/>
      <c r="B1082" s="7"/>
      <c r="C1082" s="66"/>
      <c r="D1082" s="66"/>
    </row>
    <row r="1083">
      <c r="A1083" s="46"/>
      <c r="B1083" s="7"/>
      <c r="C1083" s="66"/>
      <c r="D1083" s="66"/>
    </row>
    <row r="1084">
      <c r="A1084" s="46"/>
      <c r="B1084" s="7"/>
      <c r="C1084" s="66"/>
      <c r="D1084" s="66"/>
    </row>
    <row r="1085">
      <c r="A1085" s="46"/>
      <c r="B1085" s="7"/>
      <c r="C1085" s="66"/>
      <c r="D1085" s="66"/>
    </row>
    <row r="1086">
      <c r="A1086" s="46"/>
      <c r="B1086" s="7"/>
      <c r="C1086" s="66"/>
      <c r="D1086" s="66"/>
    </row>
    <row r="1087">
      <c r="A1087" s="46"/>
      <c r="B1087" s="7"/>
      <c r="C1087" s="66"/>
      <c r="D1087" s="66"/>
    </row>
    <row r="1088">
      <c r="A1088" s="46"/>
      <c r="B1088" s="7"/>
      <c r="C1088" s="66"/>
      <c r="D1088" s="66"/>
    </row>
    <row r="1089">
      <c r="A1089" s="46"/>
      <c r="B1089" s="7"/>
      <c r="C1089" s="66"/>
      <c r="D1089" s="66"/>
    </row>
    <row r="1090">
      <c r="A1090" s="46"/>
      <c r="B1090" s="7"/>
      <c r="C1090" s="66"/>
      <c r="D1090" s="66"/>
    </row>
    <row r="1091">
      <c r="A1091" s="46"/>
      <c r="B1091" s="7"/>
      <c r="C1091" s="66"/>
      <c r="D1091" s="66"/>
    </row>
    <row r="1092">
      <c r="A1092" s="46"/>
      <c r="B1092" s="7"/>
      <c r="C1092" s="66"/>
      <c r="D1092" s="66"/>
    </row>
    <row r="1093">
      <c r="A1093" s="46"/>
      <c r="B1093" s="7"/>
      <c r="C1093" s="66"/>
      <c r="D1093" s="66"/>
    </row>
    <row r="1094">
      <c r="A1094" s="46"/>
      <c r="B1094" s="7"/>
      <c r="C1094" s="66"/>
      <c r="D1094" s="66"/>
    </row>
    <row r="1095">
      <c r="A1095" s="46"/>
      <c r="B1095" s="7"/>
      <c r="C1095" s="66"/>
      <c r="D1095" s="66"/>
    </row>
    <row r="1096">
      <c r="A1096" s="46"/>
      <c r="B1096" s="7"/>
      <c r="C1096" s="66"/>
      <c r="D1096" s="66"/>
    </row>
    <row r="1097">
      <c r="A1097" s="46"/>
      <c r="B1097" s="7"/>
      <c r="C1097" s="66"/>
      <c r="D1097" s="66"/>
    </row>
    <row r="1098">
      <c r="A1098" s="46"/>
      <c r="B1098" s="7"/>
      <c r="C1098" s="66"/>
      <c r="D1098" s="66"/>
    </row>
    <row r="1099">
      <c r="A1099" s="46"/>
      <c r="B1099" s="7"/>
      <c r="C1099" s="66"/>
      <c r="D1099" s="66"/>
    </row>
    <row r="1100">
      <c r="A1100" s="46"/>
      <c r="B1100" s="7"/>
      <c r="C1100" s="66"/>
      <c r="D1100" s="66"/>
    </row>
    <row r="1101">
      <c r="A1101" s="46"/>
      <c r="B1101" s="7"/>
      <c r="C1101" s="66"/>
      <c r="D1101" s="66"/>
    </row>
    <row r="1102">
      <c r="A1102" s="46"/>
      <c r="B1102" s="7"/>
      <c r="C1102" s="66"/>
      <c r="D1102" s="66"/>
    </row>
    <row r="1103">
      <c r="A1103" s="46"/>
      <c r="B1103" s="7"/>
      <c r="C1103" s="66"/>
      <c r="D1103" s="66"/>
    </row>
    <row r="1104">
      <c r="A1104" s="46"/>
      <c r="B1104" s="7"/>
      <c r="C1104" s="66"/>
      <c r="D1104" s="66"/>
    </row>
    <row r="1105">
      <c r="A1105" s="46"/>
      <c r="B1105" s="7"/>
      <c r="C1105" s="66"/>
      <c r="D1105" s="66"/>
    </row>
    <row r="1106">
      <c r="A1106" s="46"/>
      <c r="B1106" s="7"/>
      <c r="C1106" s="66"/>
      <c r="D1106" s="66"/>
    </row>
    <row r="1107">
      <c r="A1107" s="46"/>
      <c r="B1107" s="7"/>
      <c r="C1107" s="66"/>
      <c r="D1107" s="66"/>
    </row>
    <row r="1108">
      <c r="A1108" s="46"/>
      <c r="B1108" s="7"/>
      <c r="C1108" s="66"/>
      <c r="D1108" s="66"/>
    </row>
    <row r="1109">
      <c r="A1109" s="46"/>
      <c r="B1109" s="7"/>
      <c r="C1109" s="66"/>
      <c r="D1109" s="66"/>
    </row>
    <row r="1110">
      <c r="A1110" s="46"/>
      <c r="B1110" s="7"/>
      <c r="C1110" s="66"/>
      <c r="D1110" s="66"/>
    </row>
    <row r="1111">
      <c r="A1111" s="46"/>
      <c r="B1111" s="7"/>
      <c r="C1111" s="66"/>
      <c r="D1111" s="66"/>
    </row>
    <row r="1112">
      <c r="A1112" s="46"/>
      <c r="B1112" s="7"/>
      <c r="C1112" s="66"/>
      <c r="D1112" s="66"/>
    </row>
    <row r="1113">
      <c r="A1113" s="46"/>
      <c r="B1113" s="7"/>
      <c r="C1113" s="66"/>
      <c r="D1113" s="66"/>
    </row>
    <row r="1114">
      <c r="A1114" s="46"/>
      <c r="B1114" s="7"/>
      <c r="C1114" s="66"/>
      <c r="D1114" s="66"/>
    </row>
    <row r="1115">
      <c r="A1115" s="46"/>
      <c r="B1115" s="7"/>
      <c r="C1115" s="66"/>
      <c r="D1115" s="66"/>
    </row>
    <row r="1116">
      <c r="A1116" s="46"/>
      <c r="B1116" s="7"/>
      <c r="C1116" s="66"/>
      <c r="D1116" s="66"/>
    </row>
    <row r="1117">
      <c r="A1117" s="46"/>
      <c r="B1117" s="7"/>
      <c r="C1117" s="66"/>
      <c r="D1117" s="66"/>
    </row>
    <row r="1118">
      <c r="A1118" s="46"/>
      <c r="B1118" s="7"/>
      <c r="C1118" s="66"/>
      <c r="D1118" s="66"/>
    </row>
    <row r="1119">
      <c r="A1119" s="46"/>
      <c r="B1119" s="7"/>
      <c r="C1119" s="66"/>
      <c r="D1119" s="66"/>
    </row>
    <row r="1120">
      <c r="A1120" s="46"/>
      <c r="B1120" s="7"/>
      <c r="C1120" s="66"/>
      <c r="D1120" s="66"/>
    </row>
    <row r="1121">
      <c r="A1121" s="46"/>
      <c r="B1121" s="7"/>
      <c r="C1121" s="66"/>
      <c r="D1121" s="66"/>
    </row>
    <row r="1122">
      <c r="A1122" s="46"/>
      <c r="B1122" s="7"/>
      <c r="C1122" s="66"/>
      <c r="D1122" s="66"/>
    </row>
    <row r="1123">
      <c r="A1123" s="46"/>
      <c r="B1123" s="7"/>
      <c r="C1123" s="66"/>
      <c r="D1123" s="66"/>
    </row>
    <row r="1124">
      <c r="A1124" s="46"/>
      <c r="B1124" s="7"/>
      <c r="C1124" s="66"/>
      <c r="D1124" s="66"/>
    </row>
    <row r="1125">
      <c r="A1125" s="46"/>
      <c r="B1125" s="7"/>
      <c r="C1125" s="66"/>
      <c r="D1125" s="66"/>
    </row>
    <row r="1126">
      <c r="A1126" s="46"/>
      <c r="B1126" s="7"/>
      <c r="C1126" s="66"/>
      <c r="D1126" s="66"/>
    </row>
    <row r="1127">
      <c r="A1127" s="46"/>
      <c r="B1127" s="7"/>
      <c r="C1127" s="66"/>
      <c r="D1127" s="66"/>
    </row>
    <row r="1128">
      <c r="A1128" s="46"/>
      <c r="B1128" s="7"/>
      <c r="C1128" s="66"/>
      <c r="D1128" s="66"/>
    </row>
    <row r="1129">
      <c r="A1129" s="46"/>
      <c r="B1129" s="7"/>
      <c r="C1129" s="66"/>
      <c r="D1129" s="66"/>
    </row>
    <row r="1130">
      <c r="A1130" s="46"/>
      <c r="B1130" s="7"/>
      <c r="C1130" s="66"/>
      <c r="D1130" s="66"/>
    </row>
    <row r="1131">
      <c r="A1131" s="46"/>
      <c r="B1131" s="7"/>
      <c r="C1131" s="66"/>
      <c r="D1131" s="66"/>
    </row>
    <row r="1132">
      <c r="A1132" s="46"/>
      <c r="B1132" s="7"/>
      <c r="C1132" s="66"/>
      <c r="D1132" s="66"/>
    </row>
    <row r="1133">
      <c r="A1133" s="46"/>
      <c r="B1133" s="7"/>
      <c r="C1133" s="66"/>
      <c r="D1133" s="66"/>
    </row>
    <row r="1134">
      <c r="A1134" s="46"/>
      <c r="B1134" s="7"/>
      <c r="C1134" s="66"/>
      <c r="D1134" s="66"/>
    </row>
    <row r="1135">
      <c r="A1135" s="46"/>
      <c r="B1135" s="7"/>
      <c r="C1135" s="66"/>
      <c r="D1135" s="66"/>
    </row>
    <row r="1136">
      <c r="A1136" s="46"/>
      <c r="B1136" s="7"/>
      <c r="C1136" s="66"/>
      <c r="D1136" s="66"/>
    </row>
    <row r="1137">
      <c r="A1137" s="46"/>
      <c r="B1137" s="7"/>
      <c r="C1137" s="66"/>
      <c r="D1137" s="66"/>
    </row>
    <row r="1138">
      <c r="A1138" s="46"/>
      <c r="B1138" s="7"/>
      <c r="C1138" s="66"/>
      <c r="D1138" s="66"/>
    </row>
    <row r="1139">
      <c r="A1139" s="46"/>
      <c r="B1139" s="7"/>
      <c r="C1139" s="66"/>
      <c r="D1139" s="66"/>
    </row>
    <row r="1140">
      <c r="A1140" s="46"/>
      <c r="B1140" s="7"/>
      <c r="C1140" s="66"/>
      <c r="D1140" s="66"/>
    </row>
    <row r="1141">
      <c r="A1141" s="46"/>
      <c r="B1141" s="7"/>
      <c r="C1141" s="66"/>
      <c r="D1141" s="66"/>
    </row>
    <row r="1142">
      <c r="A1142" s="46"/>
      <c r="B1142" s="7"/>
      <c r="C1142" s="66"/>
      <c r="D1142" s="66"/>
    </row>
    <row r="1143">
      <c r="A1143" s="46"/>
      <c r="B1143" s="7"/>
      <c r="C1143" s="66"/>
      <c r="D1143" s="66"/>
    </row>
    <row r="1144">
      <c r="A1144" s="46"/>
      <c r="B1144" s="7"/>
      <c r="C1144" s="66"/>
      <c r="D1144" s="66"/>
    </row>
    <row r="1145">
      <c r="A1145" s="46"/>
      <c r="B1145" s="7"/>
      <c r="C1145" s="66"/>
      <c r="D1145" s="66"/>
    </row>
    <row r="1146">
      <c r="A1146" s="46"/>
      <c r="B1146" s="7"/>
      <c r="C1146" s="66"/>
      <c r="D1146" s="66"/>
    </row>
    <row r="1147">
      <c r="A1147" s="46"/>
      <c r="B1147" s="7"/>
      <c r="C1147" s="66"/>
      <c r="D1147" s="66"/>
    </row>
    <row r="1148">
      <c r="A1148" s="46"/>
      <c r="B1148" s="7"/>
      <c r="C1148" s="66"/>
      <c r="D1148" s="66"/>
    </row>
    <row r="1149">
      <c r="A1149" s="46"/>
      <c r="B1149" s="7"/>
      <c r="C1149" s="66"/>
      <c r="D1149" s="66"/>
    </row>
    <row r="1150">
      <c r="A1150" s="46"/>
      <c r="B1150" s="7"/>
      <c r="C1150" s="66"/>
      <c r="D1150" s="66"/>
    </row>
    <row r="1151">
      <c r="A1151" s="46"/>
      <c r="B1151" s="7"/>
      <c r="C1151" s="66"/>
      <c r="D1151" s="66"/>
    </row>
    <row r="1152">
      <c r="A1152" s="46"/>
      <c r="B1152" s="7"/>
      <c r="C1152" s="66"/>
      <c r="D1152" s="66"/>
    </row>
    <row r="1153">
      <c r="A1153" s="46"/>
      <c r="B1153" s="7"/>
      <c r="C1153" s="66"/>
      <c r="D1153" s="66"/>
    </row>
    <row r="1154">
      <c r="A1154" s="46"/>
      <c r="B1154" s="7"/>
      <c r="C1154" s="66"/>
      <c r="D1154" s="66"/>
    </row>
    <row r="1155">
      <c r="A1155" s="46"/>
      <c r="B1155" s="7"/>
      <c r="C1155" s="66"/>
      <c r="D1155" s="66"/>
    </row>
    <row r="1156">
      <c r="A1156" s="46"/>
      <c r="B1156" s="7"/>
      <c r="C1156" s="66"/>
      <c r="D1156" s="66"/>
    </row>
    <row r="1157">
      <c r="A1157" s="46"/>
      <c r="B1157" s="7"/>
      <c r="C1157" s="66"/>
      <c r="D1157" s="66"/>
    </row>
    <row r="1158">
      <c r="A1158" s="46"/>
      <c r="B1158" s="7"/>
      <c r="C1158" s="66"/>
      <c r="D1158" s="66"/>
    </row>
    <row r="1159">
      <c r="A1159" s="46"/>
      <c r="B1159" s="7"/>
      <c r="C1159" s="66"/>
      <c r="D1159" s="66"/>
    </row>
    <row r="1160">
      <c r="A1160" s="46"/>
      <c r="B1160" s="7"/>
      <c r="C1160" s="66"/>
      <c r="D1160" s="66"/>
    </row>
    <row r="1161">
      <c r="A1161" s="46"/>
      <c r="B1161" s="7"/>
      <c r="C1161" s="66"/>
      <c r="D1161" s="66"/>
    </row>
    <row r="1162">
      <c r="A1162" s="46"/>
      <c r="B1162" s="7"/>
      <c r="C1162" s="66"/>
      <c r="D1162" s="66"/>
    </row>
    <row r="1163">
      <c r="A1163" s="46"/>
      <c r="B1163" s="7"/>
      <c r="C1163" s="66"/>
      <c r="D1163" s="66"/>
    </row>
    <row r="1164">
      <c r="A1164" s="46"/>
      <c r="B1164" s="7"/>
      <c r="C1164" s="66"/>
      <c r="D1164" s="66"/>
    </row>
    <row r="1165">
      <c r="A1165" s="46"/>
      <c r="B1165" s="7"/>
      <c r="C1165" s="66"/>
      <c r="D1165" s="66"/>
    </row>
    <row r="1166">
      <c r="A1166" s="46"/>
      <c r="B1166" s="7"/>
      <c r="C1166" s="66"/>
      <c r="D1166" s="66"/>
    </row>
    <row r="1167">
      <c r="A1167" s="46"/>
      <c r="B1167" s="7"/>
      <c r="C1167" s="66"/>
      <c r="D1167" s="66"/>
    </row>
    <row r="1168">
      <c r="A1168" s="46"/>
      <c r="B1168" s="7"/>
      <c r="C1168" s="66"/>
      <c r="D1168" s="66"/>
    </row>
    <row r="1169">
      <c r="A1169" s="46"/>
      <c r="B1169" s="7"/>
      <c r="C1169" s="66"/>
      <c r="D1169" s="66"/>
    </row>
    <row r="1170">
      <c r="A1170" s="46"/>
      <c r="B1170" s="7"/>
      <c r="C1170" s="66"/>
      <c r="D1170" s="66"/>
    </row>
    <row r="1171">
      <c r="A1171" s="46"/>
      <c r="B1171" s="7"/>
      <c r="C1171" s="66"/>
      <c r="D1171" s="66"/>
    </row>
    <row r="1172">
      <c r="A1172" s="46"/>
      <c r="B1172" s="7"/>
      <c r="C1172" s="66"/>
      <c r="D1172" s="66"/>
    </row>
    <row r="1173">
      <c r="A1173" s="46"/>
      <c r="B1173" s="7"/>
      <c r="C1173" s="66"/>
      <c r="D1173" s="66"/>
    </row>
    <row r="1174">
      <c r="A1174" s="46"/>
      <c r="B1174" s="7"/>
      <c r="C1174" s="66"/>
      <c r="D1174" s="66"/>
    </row>
    <row r="1175">
      <c r="A1175" s="46"/>
      <c r="B1175" s="7"/>
      <c r="C1175" s="66"/>
      <c r="D1175" s="66"/>
    </row>
    <row r="1176">
      <c r="A1176" s="46"/>
      <c r="B1176" s="7"/>
      <c r="C1176" s="66"/>
      <c r="D1176" s="66"/>
    </row>
    <row r="1177">
      <c r="A1177" s="46"/>
      <c r="B1177" s="7"/>
      <c r="C1177" s="66"/>
      <c r="D1177" s="66"/>
    </row>
    <row r="1178">
      <c r="A1178" s="46"/>
      <c r="B1178" s="7"/>
      <c r="C1178" s="66"/>
      <c r="D1178" s="66"/>
    </row>
    <row r="1179">
      <c r="A1179" s="46"/>
      <c r="B1179" s="7"/>
      <c r="C1179" s="66"/>
      <c r="D1179" s="66"/>
    </row>
    <row r="1180">
      <c r="A1180" s="46"/>
      <c r="B1180" s="7"/>
      <c r="C1180" s="66"/>
      <c r="D1180" s="66"/>
    </row>
    <row r="1181">
      <c r="A1181" s="46"/>
      <c r="B1181" s="7"/>
      <c r="C1181" s="66"/>
      <c r="D1181" s="66"/>
    </row>
    <row r="1182">
      <c r="A1182" s="46"/>
      <c r="B1182" s="7"/>
      <c r="C1182" s="66"/>
      <c r="D1182" s="66"/>
    </row>
    <row r="1183">
      <c r="A1183" s="46"/>
      <c r="B1183" s="7"/>
      <c r="C1183" s="66"/>
      <c r="D1183" s="66"/>
    </row>
    <row r="1184">
      <c r="A1184" s="46"/>
      <c r="B1184" s="7"/>
      <c r="C1184" s="66"/>
      <c r="D1184" s="66"/>
    </row>
    <row r="1185">
      <c r="A1185" s="46"/>
      <c r="B1185" s="7"/>
      <c r="C1185" s="66"/>
      <c r="D1185" s="66"/>
    </row>
    <row r="1186">
      <c r="A1186" s="46"/>
      <c r="B1186" s="7"/>
      <c r="C1186" s="66"/>
      <c r="D1186" s="66"/>
    </row>
    <row r="1187">
      <c r="A1187" s="46"/>
      <c r="B1187" s="7"/>
      <c r="C1187" s="66"/>
      <c r="D1187" s="66"/>
    </row>
    <row r="1188">
      <c r="A1188" s="46"/>
      <c r="B1188" s="7"/>
      <c r="C1188" s="66"/>
      <c r="D1188" s="66"/>
    </row>
    <row r="1189">
      <c r="A1189" s="46"/>
      <c r="B1189" s="7"/>
      <c r="C1189" s="66"/>
      <c r="D1189" s="66"/>
    </row>
    <row r="1190">
      <c r="A1190" s="46"/>
      <c r="B1190" s="7"/>
      <c r="C1190" s="66"/>
      <c r="D1190" s="66"/>
    </row>
    <row r="1191">
      <c r="A1191" s="46"/>
      <c r="B1191" s="7"/>
      <c r="C1191" s="66"/>
      <c r="D1191" s="66"/>
    </row>
    <row r="1192">
      <c r="A1192" s="46"/>
      <c r="B1192" s="7"/>
      <c r="C1192" s="66"/>
      <c r="D1192" s="66"/>
    </row>
    <row r="1193">
      <c r="A1193" s="46"/>
      <c r="B1193" s="7"/>
      <c r="C1193" s="66"/>
      <c r="D1193" s="66"/>
    </row>
    <row r="1194">
      <c r="A1194" s="46"/>
      <c r="B1194" s="7"/>
      <c r="C1194" s="66"/>
      <c r="D1194" s="66"/>
    </row>
    <row r="1195">
      <c r="A1195" s="46"/>
      <c r="B1195" s="7"/>
      <c r="C1195" s="66"/>
      <c r="D1195" s="66"/>
    </row>
    <row r="1196">
      <c r="A1196" s="46"/>
      <c r="B1196" s="7"/>
      <c r="C1196" s="66"/>
      <c r="D1196" s="66"/>
    </row>
    <row r="1197">
      <c r="A1197" s="46"/>
      <c r="B1197" s="7"/>
      <c r="C1197" s="66"/>
      <c r="D1197" s="66"/>
    </row>
    <row r="1198">
      <c r="A1198" s="46"/>
      <c r="B1198" s="7"/>
      <c r="C1198" s="66"/>
      <c r="D1198" s="66"/>
    </row>
    <row r="1199">
      <c r="A1199" s="46"/>
      <c r="B1199" s="7"/>
      <c r="C1199" s="66"/>
      <c r="D1199" s="66"/>
    </row>
    <row r="1200">
      <c r="A1200" s="46"/>
      <c r="B1200" s="7"/>
      <c r="C1200" s="66"/>
      <c r="D1200" s="66"/>
    </row>
    <row r="1201">
      <c r="A1201" s="46"/>
      <c r="B1201" s="7"/>
      <c r="C1201" s="66"/>
      <c r="D1201" s="66"/>
    </row>
    <row r="1202">
      <c r="A1202" s="46"/>
      <c r="B1202" s="7"/>
      <c r="C1202" s="66"/>
      <c r="D1202" s="66"/>
    </row>
    <row r="1203">
      <c r="A1203" s="46"/>
      <c r="B1203" s="7"/>
      <c r="C1203" s="66"/>
      <c r="D1203" s="66"/>
    </row>
    <row r="1204">
      <c r="A1204" s="46"/>
      <c r="B1204" s="7"/>
      <c r="C1204" s="66"/>
      <c r="D1204" s="66"/>
    </row>
    <row r="1205">
      <c r="A1205" s="46"/>
      <c r="B1205" s="7"/>
      <c r="C1205" s="66"/>
      <c r="D1205" s="66"/>
    </row>
    <row r="1206">
      <c r="A1206" s="46"/>
      <c r="B1206" s="7"/>
      <c r="C1206" s="66"/>
      <c r="D1206" s="66"/>
    </row>
    <row r="1207">
      <c r="A1207" s="46"/>
      <c r="B1207" s="7"/>
      <c r="C1207" s="66"/>
      <c r="D1207" s="66"/>
    </row>
    <row r="1208">
      <c r="A1208" s="46"/>
      <c r="B1208" s="7"/>
      <c r="C1208" s="66"/>
      <c r="D1208" s="66"/>
    </row>
    <row r="1209">
      <c r="A1209" s="46"/>
      <c r="B1209" s="7"/>
      <c r="C1209" s="66"/>
      <c r="D1209" s="66"/>
    </row>
    <row r="1210">
      <c r="A1210" s="46"/>
      <c r="B1210" s="7"/>
      <c r="C1210" s="66"/>
      <c r="D1210" s="66"/>
    </row>
    <row r="1211">
      <c r="A1211" s="46"/>
      <c r="B1211" s="7"/>
      <c r="C1211" s="66"/>
      <c r="D1211" s="66"/>
    </row>
    <row r="1212">
      <c r="A1212" s="46"/>
      <c r="B1212" s="7"/>
      <c r="C1212" s="66"/>
      <c r="D1212" s="66"/>
    </row>
    <row r="1213">
      <c r="A1213" s="46"/>
      <c r="B1213" s="7"/>
      <c r="C1213" s="66"/>
      <c r="D1213" s="66"/>
    </row>
    <row r="1214">
      <c r="A1214" s="46"/>
      <c r="B1214" s="7"/>
      <c r="C1214" s="66"/>
      <c r="D1214" s="66"/>
    </row>
    <row r="1215">
      <c r="A1215" s="46"/>
      <c r="B1215" s="7"/>
      <c r="C1215" s="66"/>
      <c r="D1215" s="66"/>
    </row>
    <row r="1216">
      <c r="A1216" s="46"/>
      <c r="B1216" s="7"/>
      <c r="C1216" s="66"/>
      <c r="D1216" s="66"/>
    </row>
    <row r="1217">
      <c r="A1217" s="46"/>
      <c r="B1217" s="7"/>
      <c r="C1217" s="66"/>
      <c r="D1217" s="66"/>
    </row>
    <row r="1218">
      <c r="A1218" s="46"/>
      <c r="B1218" s="7"/>
      <c r="C1218" s="66"/>
      <c r="D1218" s="66"/>
    </row>
    <row r="1219">
      <c r="A1219" s="46"/>
      <c r="B1219" s="7"/>
      <c r="C1219" s="66"/>
      <c r="D1219" s="66"/>
    </row>
    <row r="1220">
      <c r="A1220" s="46"/>
      <c r="B1220" s="7"/>
      <c r="C1220" s="66"/>
      <c r="D1220" s="66"/>
    </row>
    <row r="1221">
      <c r="A1221" s="46"/>
      <c r="B1221" s="7"/>
      <c r="C1221" s="66"/>
      <c r="D1221" s="66"/>
    </row>
    <row r="1222">
      <c r="A1222" s="46"/>
      <c r="B1222" s="7"/>
      <c r="C1222" s="66"/>
      <c r="D1222" s="66"/>
    </row>
    <row r="1223">
      <c r="A1223" s="46"/>
      <c r="B1223" s="7"/>
      <c r="C1223" s="66"/>
      <c r="D1223" s="66"/>
    </row>
    <row r="1224">
      <c r="A1224" s="46"/>
      <c r="B1224" s="7"/>
      <c r="C1224" s="66"/>
      <c r="D1224" s="66"/>
    </row>
    <row r="1225">
      <c r="A1225" s="46"/>
      <c r="B1225" s="7"/>
      <c r="C1225" s="66"/>
      <c r="D1225" s="66"/>
    </row>
    <row r="1226">
      <c r="A1226" s="46"/>
      <c r="B1226" s="7"/>
      <c r="C1226" s="66"/>
      <c r="D1226" s="66"/>
    </row>
    <row r="1227">
      <c r="A1227" s="46"/>
      <c r="B1227" s="7"/>
      <c r="C1227" s="66"/>
      <c r="D1227" s="66"/>
    </row>
    <row r="1228">
      <c r="A1228" s="46"/>
      <c r="B1228" s="7"/>
      <c r="C1228" s="66"/>
      <c r="D1228" s="66"/>
    </row>
    <row r="1229">
      <c r="A1229" s="46"/>
      <c r="B1229" s="7"/>
      <c r="C1229" s="66"/>
      <c r="D1229" s="66"/>
    </row>
    <row r="1230">
      <c r="A1230" s="46"/>
      <c r="B1230" s="7"/>
      <c r="C1230" s="66"/>
      <c r="D1230" s="66"/>
    </row>
    <row r="1231">
      <c r="A1231" s="46"/>
      <c r="B1231" s="7"/>
      <c r="C1231" s="66"/>
      <c r="D1231" s="66"/>
    </row>
    <row r="1232">
      <c r="A1232" s="46"/>
      <c r="B1232" s="7"/>
      <c r="C1232" s="66"/>
      <c r="D1232" s="66"/>
    </row>
    <row r="1233">
      <c r="A1233" s="46"/>
      <c r="B1233" s="7"/>
      <c r="C1233" s="66"/>
      <c r="D1233" s="66"/>
    </row>
    <row r="1234">
      <c r="A1234" s="46"/>
      <c r="B1234" s="7"/>
      <c r="C1234" s="66"/>
      <c r="D1234" s="66"/>
    </row>
    <row r="1235">
      <c r="A1235" s="46"/>
      <c r="B1235" s="7"/>
      <c r="C1235" s="66"/>
      <c r="D1235" s="66"/>
    </row>
    <row r="1236">
      <c r="A1236" s="46"/>
      <c r="B1236" s="7"/>
      <c r="C1236" s="66"/>
      <c r="D1236" s="66"/>
    </row>
    <row r="1237">
      <c r="A1237" s="46"/>
      <c r="B1237" s="7"/>
      <c r="C1237" s="66"/>
      <c r="D1237" s="66"/>
    </row>
    <row r="1238">
      <c r="A1238" s="46"/>
      <c r="B1238" s="7"/>
      <c r="C1238" s="66"/>
      <c r="D1238" s="66"/>
    </row>
    <row r="1239">
      <c r="A1239" s="46"/>
      <c r="B1239" s="7"/>
      <c r="C1239" s="66"/>
      <c r="D1239" s="66"/>
    </row>
    <row r="1240">
      <c r="A1240" s="46"/>
      <c r="B1240" s="7"/>
      <c r="C1240" s="66"/>
      <c r="D1240" s="66"/>
    </row>
    <row r="1241">
      <c r="A1241" s="46"/>
      <c r="B1241" s="7"/>
      <c r="C1241" s="66"/>
      <c r="D1241" s="66"/>
    </row>
    <row r="1242">
      <c r="A1242" s="46"/>
      <c r="B1242" s="7"/>
      <c r="C1242" s="66"/>
      <c r="D1242" s="66"/>
    </row>
    <row r="1243">
      <c r="A1243" s="46"/>
      <c r="B1243" s="7"/>
      <c r="C1243" s="66"/>
      <c r="D1243" s="66"/>
    </row>
    <row r="1244">
      <c r="A1244" s="46"/>
      <c r="B1244" s="7"/>
      <c r="C1244" s="66"/>
      <c r="D1244" s="66"/>
    </row>
    <row r="1245">
      <c r="A1245" s="46"/>
      <c r="B1245" s="7"/>
      <c r="C1245" s="66"/>
      <c r="D1245" s="66"/>
    </row>
    <row r="1246">
      <c r="A1246" s="46"/>
      <c r="B1246" s="7"/>
      <c r="C1246" s="66"/>
      <c r="D1246" s="66"/>
    </row>
    <row r="1247">
      <c r="A1247" s="46"/>
      <c r="B1247" s="7"/>
      <c r="C1247" s="66"/>
      <c r="D1247" s="66"/>
    </row>
    <row r="1248">
      <c r="A1248" s="46"/>
      <c r="B1248" s="7"/>
      <c r="C1248" s="66"/>
      <c r="D1248" s="66"/>
    </row>
    <row r="1249">
      <c r="A1249" s="46"/>
      <c r="B1249" s="7"/>
      <c r="C1249" s="66"/>
      <c r="D1249" s="66"/>
    </row>
    <row r="1250">
      <c r="A1250" s="46"/>
      <c r="B1250" s="7"/>
      <c r="C1250" s="66"/>
      <c r="D1250" s="66"/>
    </row>
    <row r="1251">
      <c r="A1251" s="46"/>
      <c r="B1251" s="7"/>
      <c r="C1251" s="66"/>
      <c r="D1251" s="66"/>
    </row>
    <row r="1252">
      <c r="A1252" s="46"/>
      <c r="B1252" s="7"/>
      <c r="C1252" s="66"/>
      <c r="D1252" s="66"/>
    </row>
    <row r="1253">
      <c r="A1253" s="46"/>
      <c r="B1253" s="7"/>
      <c r="C1253" s="66"/>
      <c r="D1253" s="66"/>
    </row>
    <row r="1254">
      <c r="A1254" s="46"/>
      <c r="B1254" s="7"/>
      <c r="C1254" s="66"/>
      <c r="D1254" s="66"/>
    </row>
    <row r="1255">
      <c r="A1255" s="46"/>
      <c r="B1255" s="7"/>
      <c r="C1255" s="66"/>
      <c r="D1255" s="66"/>
    </row>
    <row r="1256">
      <c r="A1256" s="46"/>
      <c r="B1256" s="7"/>
      <c r="C1256" s="66"/>
      <c r="D1256" s="66"/>
    </row>
    <row r="1257">
      <c r="A1257" s="46"/>
      <c r="B1257" s="7"/>
      <c r="C1257" s="66"/>
      <c r="D1257" s="66"/>
    </row>
    <row r="1258">
      <c r="A1258" s="46"/>
      <c r="B1258" s="7"/>
      <c r="C1258" s="66"/>
      <c r="D1258" s="66"/>
    </row>
    <row r="1259">
      <c r="A1259" s="46"/>
      <c r="B1259" s="7"/>
      <c r="C1259" s="66"/>
      <c r="D1259" s="66"/>
    </row>
    <row r="1260">
      <c r="A1260" s="46"/>
      <c r="B1260" s="7"/>
      <c r="C1260" s="66"/>
      <c r="D1260" s="66"/>
    </row>
    <row r="1261">
      <c r="A1261" s="46"/>
      <c r="B1261" s="7"/>
      <c r="C1261" s="66"/>
      <c r="D1261" s="66"/>
    </row>
    <row r="1262">
      <c r="A1262" s="46"/>
      <c r="B1262" s="7"/>
      <c r="C1262" s="66"/>
      <c r="D1262" s="66"/>
    </row>
    <row r="1263">
      <c r="A1263" s="46"/>
      <c r="B1263" s="7"/>
      <c r="C1263" s="66"/>
      <c r="D1263" s="66"/>
    </row>
    <row r="1264">
      <c r="A1264" s="46"/>
      <c r="B1264" s="7"/>
      <c r="C1264" s="66"/>
      <c r="D1264" s="66"/>
    </row>
    <row r="1265">
      <c r="A1265" s="46"/>
      <c r="B1265" s="7"/>
      <c r="C1265" s="66"/>
      <c r="D1265" s="66"/>
    </row>
    <row r="1266">
      <c r="A1266" s="46"/>
      <c r="B1266" s="7"/>
      <c r="C1266" s="66"/>
      <c r="D1266" s="66"/>
    </row>
    <row r="1267">
      <c r="A1267" s="46"/>
      <c r="B1267" s="7"/>
      <c r="C1267" s="66"/>
      <c r="D1267" s="66"/>
    </row>
    <row r="1268">
      <c r="A1268" s="46"/>
      <c r="B1268" s="7"/>
      <c r="C1268" s="66"/>
      <c r="D1268" s="66"/>
    </row>
    <row r="1269">
      <c r="A1269" s="46"/>
      <c r="B1269" s="7"/>
      <c r="C1269" s="66"/>
      <c r="D1269" s="66"/>
    </row>
    <row r="1270">
      <c r="A1270" s="46"/>
      <c r="B1270" s="7"/>
      <c r="C1270" s="66"/>
      <c r="D1270" s="66"/>
    </row>
    <row r="1271">
      <c r="A1271" s="46"/>
      <c r="B1271" s="7"/>
      <c r="C1271" s="66"/>
      <c r="D1271" s="66"/>
    </row>
    <row r="1272">
      <c r="A1272" s="46"/>
      <c r="B1272" s="7"/>
      <c r="C1272" s="66"/>
      <c r="D1272" s="66"/>
    </row>
    <row r="1273">
      <c r="A1273" s="46"/>
      <c r="B1273" s="7"/>
      <c r="C1273" s="66"/>
      <c r="D1273" s="66"/>
    </row>
    <row r="1274">
      <c r="A1274" s="46"/>
      <c r="B1274" s="7"/>
      <c r="C1274" s="66"/>
      <c r="D1274" s="66"/>
    </row>
    <row r="1275">
      <c r="A1275" s="46"/>
      <c r="B1275" s="7"/>
      <c r="C1275" s="66"/>
      <c r="D1275" s="66"/>
    </row>
    <row r="1276">
      <c r="A1276" s="46"/>
      <c r="B1276" s="7"/>
      <c r="C1276" s="66"/>
      <c r="D1276" s="66"/>
    </row>
    <row r="1277">
      <c r="A1277" s="46"/>
      <c r="B1277" s="7"/>
      <c r="C1277" s="66"/>
      <c r="D1277" s="66"/>
    </row>
    <row r="1278">
      <c r="A1278" s="46"/>
      <c r="B1278" s="7"/>
      <c r="C1278" s="66"/>
      <c r="D1278" s="66"/>
    </row>
    <row r="1279">
      <c r="A1279" s="46"/>
      <c r="B1279" s="7"/>
      <c r="C1279" s="66"/>
      <c r="D1279" s="66"/>
    </row>
    <row r="1280">
      <c r="A1280" s="46"/>
      <c r="B1280" s="7"/>
      <c r="C1280" s="66"/>
      <c r="D1280" s="66"/>
    </row>
    <row r="1281">
      <c r="A1281" s="46"/>
      <c r="B1281" s="7"/>
      <c r="C1281" s="66"/>
      <c r="D1281" s="66"/>
    </row>
    <row r="1282">
      <c r="A1282" s="46"/>
      <c r="B1282" s="7"/>
      <c r="C1282" s="66"/>
      <c r="D1282" s="66"/>
    </row>
    <row r="1283">
      <c r="A1283" s="46"/>
      <c r="B1283" s="7"/>
      <c r="C1283" s="66"/>
      <c r="D1283" s="66"/>
    </row>
    <row r="1284">
      <c r="A1284" s="46"/>
      <c r="B1284" s="7"/>
      <c r="C1284" s="66"/>
      <c r="D1284" s="66"/>
    </row>
    <row r="1285">
      <c r="A1285" s="46"/>
      <c r="B1285" s="7"/>
      <c r="C1285" s="66"/>
      <c r="D1285" s="66"/>
    </row>
    <row r="1286">
      <c r="A1286" s="46"/>
      <c r="B1286" s="7"/>
      <c r="C1286" s="66"/>
      <c r="D1286" s="66"/>
    </row>
    <row r="1287">
      <c r="A1287" s="46"/>
      <c r="B1287" s="7"/>
      <c r="C1287" s="66"/>
      <c r="D1287" s="66"/>
    </row>
    <row r="1288">
      <c r="A1288" s="46"/>
      <c r="B1288" s="7"/>
      <c r="C1288" s="66"/>
      <c r="D1288" s="66"/>
    </row>
    <row r="1289">
      <c r="A1289" s="46"/>
      <c r="B1289" s="7"/>
      <c r="C1289" s="66"/>
      <c r="D1289" s="66"/>
    </row>
    <row r="1290">
      <c r="A1290" s="46"/>
      <c r="B1290" s="7"/>
      <c r="C1290" s="66"/>
      <c r="D1290" s="66"/>
    </row>
    <row r="1291">
      <c r="A1291" s="46"/>
      <c r="B1291" s="7"/>
      <c r="C1291" s="66"/>
      <c r="D1291" s="66"/>
    </row>
  </sheetData>
  <mergeCells count="86">
    <mergeCell ref="B270:B271"/>
    <mergeCell ref="B272:B275"/>
    <mergeCell ref="B276:B277"/>
    <mergeCell ref="B278:B279"/>
    <mergeCell ref="B281:B284"/>
    <mergeCell ref="B295:B296"/>
    <mergeCell ref="B299:B300"/>
    <mergeCell ref="B302:B304"/>
    <mergeCell ref="B306:B308"/>
    <mergeCell ref="B309:B311"/>
    <mergeCell ref="B312:B314"/>
    <mergeCell ref="B315:B316"/>
    <mergeCell ref="B317:B320"/>
    <mergeCell ref="B327:B333"/>
    <mergeCell ref="B334:B339"/>
    <mergeCell ref="B340:B343"/>
    <mergeCell ref="B344:B345"/>
    <mergeCell ref="B346:B347"/>
    <mergeCell ref="B348:B350"/>
    <mergeCell ref="B351:B355"/>
    <mergeCell ref="B356:B360"/>
    <mergeCell ref="B361:B362"/>
    <mergeCell ref="B364:B365"/>
    <mergeCell ref="B366:B367"/>
    <mergeCell ref="B370:B375"/>
    <mergeCell ref="B376:B379"/>
    <mergeCell ref="B383:B388"/>
    <mergeCell ref="B391:B393"/>
    <mergeCell ref="B426:B427"/>
    <mergeCell ref="B442:B444"/>
    <mergeCell ref="B401:B404"/>
    <mergeCell ref="B409:B410"/>
    <mergeCell ref="B411:B414"/>
    <mergeCell ref="B415:B416"/>
    <mergeCell ref="B417:B418"/>
    <mergeCell ref="B419:B420"/>
    <mergeCell ref="B424:B425"/>
    <mergeCell ref="B3:B7"/>
    <mergeCell ref="B10:B18"/>
    <mergeCell ref="B19:B22"/>
    <mergeCell ref="B24:B40"/>
    <mergeCell ref="B41:B42"/>
    <mergeCell ref="B43:B54"/>
    <mergeCell ref="B55:B56"/>
    <mergeCell ref="B57:B63"/>
    <mergeCell ref="B64:B69"/>
    <mergeCell ref="B70:B71"/>
    <mergeCell ref="B72:B73"/>
    <mergeCell ref="B74:B79"/>
    <mergeCell ref="B81:B83"/>
    <mergeCell ref="B84:B86"/>
    <mergeCell ref="B87:B96"/>
    <mergeCell ref="B97:B107"/>
    <mergeCell ref="B109:B111"/>
    <mergeCell ref="B112:B114"/>
    <mergeCell ref="B115:B117"/>
    <mergeCell ref="B119:B121"/>
    <mergeCell ref="B122:B124"/>
    <mergeCell ref="B125:B126"/>
    <mergeCell ref="B130:B135"/>
    <mergeCell ref="B136:B138"/>
    <mergeCell ref="B139:B145"/>
    <mergeCell ref="B147:B151"/>
    <mergeCell ref="B163:B164"/>
    <mergeCell ref="B167:B168"/>
    <mergeCell ref="B169:B173"/>
    <mergeCell ref="B177:B180"/>
    <mergeCell ref="B200:B202"/>
    <mergeCell ref="B203:B206"/>
    <mergeCell ref="B207:B212"/>
    <mergeCell ref="B213:B214"/>
    <mergeCell ref="B216:B218"/>
    <mergeCell ref="B219:B221"/>
    <mergeCell ref="B222:B223"/>
    <mergeCell ref="B224:B225"/>
    <mergeCell ref="B226:B231"/>
    <mergeCell ref="B232:B233"/>
    <mergeCell ref="B234:B236"/>
    <mergeCell ref="B237:B239"/>
    <mergeCell ref="B240:B242"/>
    <mergeCell ref="B243:B245"/>
    <mergeCell ref="B246:B250"/>
    <mergeCell ref="B253:B258"/>
    <mergeCell ref="B259:B260"/>
    <mergeCell ref="B261:B263"/>
    <mergeCell ref="B264:B266"/>
  </mergeCells>
  <hyperlinks>
    <hyperlink r:id="rId2" ref="B3"/>
    <hyperlink r:id="rId3" ref="B8"/>
    <hyperlink r:id="rId4" ref="B9"/>
    <hyperlink r:id="rId5" ref="B10"/>
    <hyperlink r:id="rId6" ref="B19"/>
    <hyperlink r:id="rId7" ref="B23"/>
    <hyperlink r:id="rId8" ref="B24"/>
    <hyperlink r:id="rId9" ref="B41"/>
    <hyperlink r:id="rId10" ref="B43"/>
    <hyperlink r:id="rId11" ref="B55"/>
    <hyperlink r:id="rId12" ref="B57"/>
    <hyperlink r:id="rId13" ref="B64"/>
    <hyperlink r:id="rId14" ref="B70"/>
    <hyperlink r:id="rId15" ref="B72"/>
    <hyperlink r:id="rId16" ref="B74"/>
    <hyperlink r:id="rId17" ref="B80"/>
    <hyperlink r:id="rId18" ref="B81"/>
    <hyperlink r:id="rId19" ref="B84"/>
    <hyperlink r:id="rId20" ref="B87"/>
    <hyperlink r:id="rId21" ref="B97"/>
    <hyperlink r:id="rId22" ref="B108"/>
    <hyperlink r:id="rId23" ref="B109"/>
    <hyperlink r:id="rId24" ref="B112"/>
    <hyperlink r:id="rId25" ref="B115"/>
    <hyperlink r:id="rId26" ref="B118"/>
    <hyperlink r:id="rId27" ref="B119"/>
    <hyperlink r:id="rId28" ref="B122"/>
    <hyperlink r:id="rId29" ref="B125"/>
    <hyperlink r:id="rId30" ref="B127"/>
    <hyperlink r:id="rId31" ref="B128"/>
    <hyperlink r:id="rId32" ref="B129"/>
    <hyperlink r:id="rId33" ref="B130"/>
    <hyperlink r:id="rId34" ref="B136"/>
    <hyperlink r:id="rId35" ref="B139"/>
    <hyperlink r:id="rId36" ref="B146"/>
    <hyperlink r:id="rId37" ref="B147"/>
    <hyperlink r:id="rId38" ref="B152"/>
    <hyperlink r:id="rId39" ref="B153"/>
    <hyperlink r:id="rId40" ref="B154"/>
    <hyperlink r:id="rId41" ref="B155"/>
    <hyperlink r:id="rId42" ref="B156"/>
    <hyperlink r:id="rId43" ref="B157"/>
    <hyperlink r:id="rId44" ref="B158"/>
    <hyperlink r:id="rId45" ref="B159"/>
    <hyperlink r:id="rId46" ref="B160"/>
    <hyperlink r:id="rId47" ref="B161"/>
    <hyperlink r:id="rId48" ref="B162"/>
    <hyperlink r:id="rId49" ref="B163"/>
    <hyperlink r:id="rId50" ref="B165"/>
    <hyperlink r:id="rId51" ref="B166"/>
    <hyperlink r:id="rId52" ref="B167"/>
    <hyperlink r:id="rId53" ref="B169"/>
    <hyperlink r:id="rId54" ref="B174"/>
    <hyperlink r:id="rId55" ref="B175"/>
    <hyperlink r:id="rId56" ref="B176"/>
    <hyperlink r:id="rId57" ref="B177"/>
    <hyperlink r:id="rId58" ref="B181"/>
    <hyperlink r:id="rId59" ref="B182"/>
    <hyperlink r:id="rId60" ref="B183"/>
    <hyperlink r:id="rId61" ref="B184"/>
    <hyperlink r:id="rId62" ref="B185"/>
    <hyperlink r:id="rId63" ref="B186"/>
    <hyperlink r:id="rId64" ref="B187"/>
    <hyperlink r:id="rId65" ref="B188"/>
    <hyperlink r:id="rId66" ref="B189"/>
    <hyperlink r:id="rId67" ref="B190"/>
    <hyperlink r:id="rId68" ref="B191"/>
    <hyperlink r:id="rId69" ref="B192"/>
    <hyperlink r:id="rId70" ref="B193"/>
    <hyperlink r:id="rId71" ref="B194"/>
    <hyperlink r:id="rId72" ref="B195"/>
    <hyperlink r:id="rId73" ref="B196"/>
    <hyperlink r:id="rId74" ref="B197"/>
    <hyperlink r:id="rId75" ref="B198"/>
    <hyperlink r:id="rId76" ref="B199"/>
    <hyperlink r:id="rId77" ref="B200"/>
    <hyperlink r:id="rId78" ref="B203"/>
    <hyperlink r:id="rId79" ref="B207"/>
    <hyperlink r:id="rId80" ref="B213"/>
    <hyperlink r:id="rId81" ref="B215"/>
    <hyperlink r:id="rId82" ref="B216"/>
    <hyperlink r:id="rId83" ref="B219"/>
    <hyperlink r:id="rId84" ref="B222"/>
    <hyperlink r:id="rId85" ref="B224"/>
    <hyperlink r:id="rId86" ref="B226"/>
    <hyperlink r:id="rId87" ref="B232"/>
    <hyperlink r:id="rId88" ref="B234"/>
    <hyperlink r:id="rId89" ref="B237"/>
    <hyperlink r:id="rId90" ref="B240"/>
    <hyperlink r:id="rId91" ref="B243"/>
    <hyperlink r:id="rId92" ref="B246"/>
    <hyperlink r:id="rId93" ref="B251"/>
    <hyperlink r:id="rId94" ref="B252"/>
    <hyperlink r:id="rId95" ref="B253"/>
    <hyperlink r:id="rId96" ref="B259"/>
    <hyperlink r:id="rId97" ref="B261"/>
    <hyperlink r:id="rId98" ref="B264"/>
    <hyperlink r:id="rId99" ref="B267"/>
    <hyperlink r:id="rId100" ref="B268"/>
    <hyperlink r:id="rId101" ref="B269"/>
    <hyperlink r:id="rId102" ref="B270"/>
    <hyperlink r:id="rId103" ref="B272"/>
    <hyperlink r:id="rId104" ref="B276"/>
    <hyperlink r:id="rId105" ref="B278"/>
    <hyperlink r:id="rId106" ref="B280"/>
    <hyperlink r:id="rId107" ref="B281"/>
    <hyperlink r:id="rId108" ref="B285"/>
    <hyperlink r:id="rId109" ref="B286"/>
    <hyperlink r:id="rId110" ref="B287"/>
    <hyperlink r:id="rId111" ref="B288"/>
    <hyperlink r:id="rId112" ref="B289"/>
    <hyperlink r:id="rId113" ref="B290"/>
    <hyperlink r:id="rId114" ref="B291"/>
    <hyperlink r:id="rId115" ref="B292"/>
    <hyperlink r:id="rId116" ref="B293"/>
    <hyperlink r:id="rId117" ref="B294"/>
    <hyperlink r:id="rId118" ref="B295"/>
    <hyperlink r:id="rId119" ref="B297"/>
    <hyperlink r:id="rId120" ref="B298"/>
    <hyperlink r:id="rId121" ref="B299"/>
    <hyperlink r:id="rId122" ref="B301"/>
    <hyperlink r:id="rId123" ref="B302"/>
    <hyperlink r:id="rId124" ref="B305"/>
    <hyperlink r:id="rId125" ref="B306"/>
    <hyperlink r:id="rId126" ref="B309"/>
    <hyperlink r:id="rId127" ref="B312"/>
    <hyperlink r:id="rId128" ref="B315"/>
    <hyperlink r:id="rId129" ref="B317"/>
    <hyperlink r:id="rId130" ref="B321"/>
    <hyperlink r:id="rId131" ref="B322"/>
    <hyperlink r:id="rId132" ref="B323"/>
    <hyperlink r:id="rId133" ref="B324"/>
    <hyperlink r:id="rId134" ref="B325"/>
    <hyperlink r:id="rId135" ref="B326"/>
    <hyperlink r:id="rId136" ref="B327"/>
    <hyperlink r:id="rId137" ref="B334"/>
    <hyperlink r:id="rId138" ref="B340"/>
    <hyperlink r:id="rId139" ref="B344"/>
    <hyperlink r:id="rId140" ref="B346"/>
    <hyperlink r:id="rId141" ref="B348"/>
    <hyperlink r:id="rId142" ref="B351"/>
    <hyperlink r:id="rId143" ref="B356"/>
    <hyperlink r:id="rId144" ref="B361"/>
    <hyperlink r:id="rId145" ref="B363"/>
    <hyperlink r:id="rId146" ref="B364"/>
    <hyperlink r:id="rId147" ref="B366"/>
    <hyperlink r:id="rId148" ref="B368"/>
    <hyperlink r:id="rId149" ref="B369"/>
    <hyperlink r:id="rId150" ref="B370"/>
    <hyperlink r:id="rId151" ref="B376"/>
    <hyperlink r:id="rId152" ref="B380"/>
    <hyperlink r:id="rId153" ref="B381"/>
    <hyperlink r:id="rId154" ref="B382"/>
    <hyperlink r:id="rId155" ref="B383"/>
    <hyperlink r:id="rId156" ref="B389"/>
    <hyperlink r:id="rId157" ref="B390"/>
    <hyperlink r:id="rId158" ref="B391"/>
    <hyperlink r:id="rId159" ref="B394"/>
    <hyperlink r:id="rId160" ref="B395"/>
    <hyperlink r:id="rId161" ref="B396"/>
    <hyperlink r:id="rId162" ref="B397"/>
    <hyperlink r:id="rId163" ref="B398"/>
    <hyperlink r:id="rId164" ref="B399"/>
    <hyperlink r:id="rId165" ref="B400"/>
    <hyperlink r:id="rId166" ref="B401"/>
    <hyperlink r:id="rId167" ref="B405"/>
    <hyperlink r:id="rId168" ref="B406"/>
    <hyperlink r:id="rId169" ref="B407"/>
    <hyperlink r:id="rId170" ref="B408"/>
    <hyperlink r:id="rId171" ref="B409"/>
    <hyperlink r:id="rId172" ref="B411"/>
    <hyperlink r:id="rId173" ref="B415"/>
    <hyperlink r:id="rId174" ref="B417"/>
    <hyperlink r:id="rId175" ref="B419"/>
    <hyperlink r:id="rId176" ref="B421"/>
    <hyperlink r:id="rId177" ref="B422"/>
    <hyperlink r:id="rId178" ref="B423"/>
    <hyperlink r:id="rId179" ref="B424"/>
    <hyperlink r:id="rId180" ref="B426"/>
    <hyperlink r:id="rId181" ref="B434"/>
    <hyperlink r:id="rId182" ref="B435"/>
    <hyperlink r:id="rId183" ref="B436"/>
    <hyperlink r:id="rId184" ref="B437"/>
    <hyperlink r:id="rId185" ref="B438"/>
    <hyperlink r:id="rId186" ref="B439"/>
    <hyperlink r:id="rId187" ref="B440"/>
    <hyperlink r:id="rId188" ref="B441"/>
    <hyperlink r:id="rId189" ref="B442"/>
    <hyperlink r:id="rId190" ref="B445"/>
  </hyperlinks>
  <drawing r:id="rId191"/>
  <legacyDrawing r:id="rId192"/>
</worksheet>
</file>