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08" yWindow="-12" windowWidth="10116" windowHeight="7812"/>
  </bookViews>
  <sheets>
    <sheet name="Data" sheetId="1" r:id="rId1"/>
    <sheet name="Adherence Response S Curve 3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L12" i="3"/>
  <c r="K12" i="3"/>
  <c r="I12" i="3"/>
  <c r="J12" i="3" s="1"/>
  <c r="G9" i="3"/>
  <c r="F9" i="3"/>
  <c r="D9" i="3" s="1"/>
  <c r="C9" i="3"/>
  <c r="B9" i="3"/>
  <c r="O12" i="3" l="1"/>
  <c r="M12" i="3"/>
  <c r="N12" i="3" s="1"/>
  <c r="Q5" i="1"/>
  <c r="P5" i="1"/>
  <c r="E7" i="1"/>
  <c r="I15" i="1" s="1"/>
  <c r="I20" i="1" l="1"/>
  <c r="I16" i="1"/>
  <c r="I13" i="1"/>
  <c r="I19" i="1"/>
  <c r="I22" i="1"/>
  <c r="I18" i="1"/>
  <c r="I14" i="1"/>
  <c r="I21" i="1"/>
  <c r="I17" i="1"/>
  <c r="B39" i="3"/>
  <c r="B35" i="3"/>
  <c r="B31" i="3"/>
  <c r="C31" i="3" s="1"/>
  <c r="B27" i="3"/>
  <c r="B23" i="3"/>
  <c r="B40" i="3"/>
  <c r="B36" i="3"/>
  <c r="C36" i="3" s="1"/>
  <c r="B32" i="3"/>
  <c r="B28" i="3"/>
  <c r="B24" i="3"/>
  <c r="E9" i="3"/>
  <c r="B41" i="3"/>
  <c r="B37" i="3"/>
  <c r="B33" i="3"/>
  <c r="B42" i="3"/>
  <c r="B38" i="3"/>
  <c r="B34" i="3"/>
  <c r="B26" i="3"/>
  <c r="B29" i="3"/>
  <c r="B25" i="3"/>
  <c r="B22" i="3"/>
  <c r="B30" i="3"/>
  <c r="F14" i="1"/>
  <c r="F15" i="1"/>
  <c r="F16" i="1"/>
  <c r="F17" i="1"/>
  <c r="F18" i="1"/>
  <c r="F19" i="1"/>
  <c r="F20" i="1"/>
  <c r="F21" i="1"/>
  <c r="F22" i="1"/>
  <c r="F13" i="1"/>
  <c r="E14" i="1"/>
  <c r="E15" i="1"/>
  <c r="E17" i="1"/>
  <c r="E18" i="1"/>
  <c r="E21" i="1"/>
  <c r="E13" i="1"/>
  <c r="B14" i="1"/>
  <c r="B15" i="1"/>
  <c r="B16" i="1"/>
  <c r="B17" i="1"/>
  <c r="B18" i="1"/>
  <c r="B19" i="1"/>
  <c r="B20" i="1"/>
  <c r="B21" i="1"/>
  <c r="B22" i="1"/>
  <c r="B13" i="1"/>
  <c r="C29" i="3" l="1"/>
  <c r="C25" i="3"/>
  <c r="C41" i="3"/>
  <c r="C34" i="3"/>
  <c r="C33" i="3"/>
  <c r="C42" i="3"/>
  <c r="C37" i="3"/>
  <c r="C28" i="3"/>
  <c r="C39" i="3"/>
  <c r="C23" i="3"/>
  <c r="C38" i="3"/>
  <c r="C32" i="3"/>
  <c r="C27" i="3"/>
  <c r="C30" i="3"/>
  <c r="C26" i="3"/>
  <c r="C24" i="3"/>
  <c r="C40" i="3"/>
  <c r="C35" i="3"/>
  <c r="E20" i="1"/>
  <c r="E23" i="1"/>
  <c r="F23" i="1"/>
  <c r="K5" i="1" s="1"/>
  <c r="E22" i="1"/>
  <c r="G22" i="1" s="1"/>
  <c r="H22" i="1" s="1"/>
  <c r="E16" i="1"/>
  <c r="G16" i="1" s="1"/>
  <c r="H16" i="1" s="1"/>
  <c r="E19" i="1"/>
  <c r="G19" i="1" s="1"/>
  <c r="H19" i="1" s="1"/>
  <c r="G13" i="1"/>
  <c r="G17" i="1"/>
  <c r="H17" i="1" s="1"/>
  <c r="G20" i="1"/>
  <c r="H20" i="1" s="1"/>
  <c r="G14" i="1"/>
  <c r="H14" i="1" s="1"/>
  <c r="G21" i="1"/>
  <c r="H21" i="1" s="1"/>
  <c r="G18" i="1"/>
  <c r="H18" i="1" s="1"/>
  <c r="G15" i="1"/>
  <c r="H15" i="1" s="1"/>
  <c r="H13" i="1" l="1"/>
  <c r="H23" i="1" s="1"/>
  <c r="G23" i="1"/>
  <c r="E5" i="1"/>
  <c r="I23" i="1" l="1"/>
  <c r="I24" i="1" l="1"/>
  <c r="L5" i="1"/>
  <c r="N5" i="1" s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$2MM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list.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David Ennis has $4.5MM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This seems to be missing from David Ennis's sheet. There is a "JW Adherence" line item of $2,556,000 of uncommitted funds which probably contains this initiative (and other future programs).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19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E2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  <comment ref="A2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E22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Assume this equals the lowest measured ROI.</t>
        </r>
      </text>
    </comment>
  </commentList>
</comments>
</file>

<file path=xl/sharedStrings.xml><?xml version="1.0" encoding="utf-8"?>
<sst xmlns="http://schemas.openxmlformats.org/spreadsheetml/2006/main" count="121" uniqueCount="93">
  <si>
    <t>YEAR</t>
  </si>
  <si>
    <t>MEDIA TYPE</t>
  </si>
  <si>
    <t>PRE-TAX SPEND</t>
  </si>
  <si>
    <t>AFTER-TAX REVENUE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</si>
  <si>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</si>
  <si>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</si>
  <si>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</si>
  <si>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</si>
  <si>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</si>
  <si>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</si>
  <si>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</si>
  <si>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</si>
  <si>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</si>
  <si>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</si>
  <si>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</si>
  <si>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after-tax 3-year NPV/new patient</t>
  </si>
  <si>
    <t>NOTES</t>
  </si>
  <si>
    <t>Total planned 2013 spend (Ennis):</t>
  </si>
  <si>
    <t>FE&amp;A</t>
  </si>
  <si>
    <t xml:space="preserve">see "Chris1 2013 SAP Numbers (2)" Excel workbook in Diabetes Deep Dive folder on IPF team space for ROI estimates for first three entries </t>
  </si>
  <si>
    <t>Analogy</t>
  </si>
  <si>
    <t>2/21/2013 from Chris Yothers</t>
  </si>
  <si>
    <t>note: the numbers that Chris Yothers provided (HCC media planned investments) do not match the planned 2013 spend numbers on David Ennis' spreadsheet. This is likely a timing issue.</t>
  </si>
  <si>
    <t>Merck Diabetes Franchise Pharmacy Adherence Programs: Incremental NRx per Tactic with ROI, Spend and Incremental Revenue</t>
  </si>
  <si>
    <t>The sum of the program spends on Chris Yother's ROI spreadsheet matches the sum of the planned program spends on David Ennis's spreadsheet, but the particulars are slightly different.</t>
  </si>
  <si>
    <t>Total</t>
  </si>
  <si>
    <t>Open Question: Should the NRx gained here be considered as New Patient or should we use some other refill related NPV  or PGM values?</t>
  </si>
  <si>
    <t>Max Y Assumptions</t>
  </si>
  <si>
    <t>Pre-Tax Spend</t>
  </si>
  <si>
    <t>Includes the Consumer Media and Consumer Multicultural (MC) spends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</si>
  <si>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TRx</t>
    </r>
    <r>
      <rPr>
        <b/>
        <sz val="10"/>
        <color theme="1"/>
        <rFont val="Calibri"/>
        <family val="2"/>
        <scheme val="minor"/>
      </rPr>
      <t xml:space="preserve"> in 2012</t>
    </r>
  </si>
  <si>
    <t>PGM (pre-tax)</t>
  </si>
  <si>
    <t>PGM (after tax)</t>
  </si>
  <si>
    <r>
      <t xml:space="preserve">Total </t>
    </r>
    <r>
      <rPr>
        <b/>
        <sz val="10"/>
        <color rgb="FF0000FF"/>
        <rFont val="Calibri"/>
        <family val="2"/>
        <scheme val="minor"/>
      </rPr>
      <t>NPA NRx</t>
    </r>
    <r>
      <rPr>
        <b/>
        <sz val="10"/>
        <color theme="1"/>
        <rFont val="Calibri"/>
        <family val="2"/>
        <scheme val="minor"/>
      </rPr>
      <t xml:space="preserve"> in 2012</t>
    </r>
  </si>
  <si>
    <t>Estimated Incr. TRx</t>
  </si>
  <si>
    <t>Estimated Incr. TRx (as % of NPA TRx)</t>
  </si>
  <si>
    <t>Adherence programs Spend per Incr. TRx</t>
  </si>
  <si>
    <t>Anticipated Max Incr. TRx</t>
  </si>
  <si>
    <t>Anticipated Max Incr. TRx (in %) when Adherence spend is increased to infinity</t>
  </si>
  <si>
    <t>2013 Planned Spend for Adherence programs</t>
  </si>
  <si>
    <t>* Note: The above marroon colored values are used to construct lodish type response curve for Adherence</t>
  </si>
  <si>
    <t>Purpose</t>
  </si>
  <si>
    <t>Creates a S type curve given (Xcurr,Ycurr), Ymin, Ymax. Uses equation proposed by Lodish.</t>
  </si>
  <si>
    <t>Product</t>
  </si>
  <si>
    <t>Jantot</t>
  </si>
  <si>
    <t>X unit</t>
  </si>
  <si>
    <t>Spend $</t>
  </si>
  <si>
    <t>Note 1: YELLOW cells need user input (some or optional)</t>
  </si>
  <si>
    <t>Channel</t>
  </si>
  <si>
    <t>HCC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</si>
  <si>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</si>
  <si>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</si>
  <si>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</si>
  <si>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</si>
  <si>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</si>
  <si>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</si>
  <si>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</si>
  <si>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</si>
  <si>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</si>
  <si>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</si>
  <si>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</si>
  <si>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</si>
  <si>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</si>
  <si>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</si>
  <si>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</si>
  <si>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</si>
  <si>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</si>
  <si>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</si>
  <si>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</si>
  <si>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</si>
  <si>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</si>
  <si>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</si>
  <si>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</si>
  <si>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</si>
  <si>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</si>
  <si>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</si>
  <si>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</si>
  <si>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</si>
  <si>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</si>
  <si>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</si>
  <si>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</si>
  <si>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</si>
  <si>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</si>
  <si>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</si>
  <si>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</si>
  <si>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</si>
  <si>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X</t>
  </si>
  <si>
    <t>Y</t>
  </si>
  <si>
    <t>Incr. TRx</t>
  </si>
  <si>
    <t>TRx</t>
  </si>
  <si>
    <t xml:space="preserve">In terms of TRx, Ybase = Curr TRx; YLmin =  Curr TRx - Curr Incr. TRx(Yc).; YLMax = Curr TRx + Max Possible Incr. TRx (Ymax); Ymin = min Incr NRx for no investmet = 0; </t>
  </si>
  <si>
    <r>
      <t xml:space="preserve">INCREMENTAL </t>
    </r>
    <r>
      <rPr>
        <b/>
        <sz val="11"/>
        <color rgb="FF0000FF"/>
        <rFont val="Calibri"/>
        <family val="2"/>
        <scheme val="minor"/>
      </rPr>
      <t>TRX</t>
    </r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</si>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</sst>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#,##0.0_);\(#,##0.0\)"/>
    <numFmt numFmtId="168" formatCode="&quot;$&quot;#,##0"/>
    <numFmt numFmtId="169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0000FF"/>
      <name val="Segoe UI"/>
      <family val="2"/>
    </font>
    <font>
      <b/>
      <sz val="1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4" applyNumberFormat="0" applyAlignment="0" applyProtection="0"/>
    <xf numFmtId="0" fontId="16" fillId="10" borderId="5" applyNumberFormat="0" applyAlignment="0" applyProtection="0"/>
    <xf numFmtId="0" fontId="17" fillId="10" borderId="4" applyNumberFormat="0" applyAlignment="0" applyProtection="0"/>
    <xf numFmtId="0" fontId="18" fillId="0" borderId="6" applyNumberFormat="0" applyFill="0" applyAlignment="0" applyProtection="0"/>
    <xf numFmtId="0" fontId="2" fillId="11" borderId="7" applyNumberFormat="0" applyAlignment="0" applyProtection="0"/>
    <xf numFmtId="0" fontId="1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0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1" applyNumberFormat="1" applyFont="1"/>
    <xf numFmtId="0" fontId="3" fillId="2" borderId="0" xfId="2"/>
    <xf numFmtId="5" fontId="3" fillId="2" borderId="0" xfId="2" applyNumberFormat="1"/>
    <xf numFmtId="0" fontId="0" fillId="0" borderId="0" xfId="0" applyFill="1"/>
    <xf numFmtId="0" fontId="3" fillId="0" borderId="0" xfId="2" applyFill="1"/>
    <xf numFmtId="5" fontId="3" fillId="0" borderId="0" xfId="2" applyNumberFormat="1" applyFill="1"/>
    <xf numFmtId="0" fontId="6" fillId="4" borderId="0" xfId="4" applyFont="1"/>
    <xf numFmtId="0" fontId="6" fillId="0" borderId="0" xfId="0" applyFont="1"/>
    <xf numFmtId="0" fontId="1" fillId="5" borderId="0" xfId="5" applyBorder="1"/>
    <xf numFmtId="14" fontId="1" fillId="5" borderId="0" xfId="5" applyNumberFormat="1" applyBorder="1"/>
    <xf numFmtId="164" fontId="1" fillId="5" borderId="0" xfId="5" applyNumberFormat="1" applyBorder="1"/>
    <xf numFmtId="165" fontId="1" fillId="5" borderId="0" xfId="5" applyNumberFormat="1" applyBorder="1"/>
    <xf numFmtId="0" fontId="1" fillId="5" borderId="0" xfId="5" applyBorder="1" applyAlignment="1">
      <alignment horizontal="left" indent="2"/>
    </xf>
    <xf numFmtId="0" fontId="1" fillId="5" borderId="0" xfId="5" applyBorder="1" applyAlignment="1">
      <alignment horizontal="left" indent="4"/>
    </xf>
    <xf numFmtId="0" fontId="0" fillId="5" borderId="0" xfId="5" applyFont="1" applyBorder="1"/>
    <xf numFmtId="164" fontId="7" fillId="5" borderId="0" xfId="5" applyNumberFormat="1" applyFont="1" applyBorder="1"/>
    <xf numFmtId="0" fontId="0" fillId="33" borderId="0" xfId="0" applyFill="1"/>
    <xf numFmtId="164" fontId="0" fillId="33" borderId="0" xfId="0" applyNumberFormat="1" applyFill="1"/>
    <xf numFmtId="166" fontId="7" fillId="5" borderId="0" xfId="5" applyNumberFormat="1" applyFont="1" applyBorder="1"/>
    <xf numFmtId="167" fontId="7" fillId="33" borderId="0" xfId="0" applyNumberFormat="1" applyFont="1" applyFill="1"/>
    <xf numFmtId="10" fontId="7" fillId="33" borderId="10" xfId="7" applyNumberFormat="1" applyFont="1" applyFill="1" applyBorder="1"/>
    <xf numFmtId="165" fontId="7" fillId="33" borderId="0" xfId="0" applyNumberFormat="1" applyFont="1" applyFill="1"/>
    <xf numFmtId="0" fontId="0" fillId="0" borderId="0" xfId="0"/>
    <xf numFmtId="0" fontId="0" fillId="0" borderId="0" xfId="0" applyFill="1"/>
    <xf numFmtId="3" fontId="25" fillId="0" borderId="10" xfId="0" applyNumberFormat="1" applyFont="1" applyBorder="1"/>
    <xf numFmtId="0" fontId="23" fillId="34" borderId="10" xfId="0" applyFont="1" applyFill="1" applyBorder="1" applyAlignment="1">
      <alignment wrapText="1"/>
    </xf>
    <xf numFmtId="0" fontId="7" fillId="36" borderId="10" xfId="0" applyFont="1" applyFill="1" applyBorder="1" applyAlignment="1">
      <alignment horizontal="center" vertical="center" wrapText="1"/>
    </xf>
    <xf numFmtId="0" fontId="7" fillId="36" borderId="10" xfId="0" applyFont="1" applyFill="1" applyBorder="1" applyAlignment="1">
      <alignment wrapText="1"/>
    </xf>
    <xf numFmtId="44" fontId="7" fillId="36" borderId="10" xfId="1" applyFont="1" applyFill="1" applyBorder="1"/>
    <xf numFmtId="10" fontId="7" fillId="36" borderId="10" xfId="7" applyNumberFormat="1" applyFont="1" applyFill="1" applyBorder="1"/>
    <xf numFmtId="9" fontId="26" fillId="36" borderId="10" xfId="0" applyNumberFormat="1" applyFont="1" applyFill="1" applyBorder="1"/>
    <xf numFmtId="165" fontId="26" fillId="36" borderId="10" xfId="6" applyNumberFormat="1" applyFont="1" applyFill="1" applyBorder="1"/>
    <xf numFmtId="164" fontId="26" fillId="36" borderId="10" xfId="0" applyNumberFormat="1" applyFont="1" applyFill="1" applyBorder="1"/>
    <xf numFmtId="165" fontId="26" fillId="36" borderId="10" xfId="0" applyNumberFormat="1" applyFont="1" applyFill="1" applyBorder="1"/>
    <xf numFmtId="0" fontId="27" fillId="0" borderId="0" xfId="0" applyFont="1" applyFill="1"/>
    <xf numFmtId="0" fontId="29" fillId="4" borderId="0" xfId="4" applyFont="1"/>
    <xf numFmtId="164" fontId="28" fillId="36" borderId="10" xfId="0" applyNumberFormat="1" applyFont="1" applyFill="1" applyBorder="1" applyAlignment="1">
      <alignment horizontal="center"/>
    </xf>
    <xf numFmtId="44" fontId="7" fillId="36" borderId="10" xfId="1" applyFont="1" applyFill="1" applyBorder="1" applyAlignment="1">
      <alignment wrapText="1"/>
    </xf>
    <xf numFmtId="0" fontId="30" fillId="37" borderId="11" xfId="0" applyFont="1" applyFill="1" applyBorder="1"/>
    <xf numFmtId="0" fontId="31" fillId="0" borderId="0" xfId="0" applyFont="1"/>
    <xf numFmtId="0" fontId="30" fillId="37" borderId="12" xfId="0" applyFont="1" applyFill="1" applyBorder="1"/>
    <xf numFmtId="0" fontId="31" fillId="38" borderId="13" xfId="0" applyFont="1" applyFill="1" applyBorder="1"/>
    <xf numFmtId="0" fontId="30" fillId="37" borderId="13" xfId="0" applyFont="1" applyFill="1" applyBorder="1"/>
    <xf numFmtId="0" fontId="31" fillId="38" borderId="14" xfId="0" applyFont="1" applyFill="1" applyBorder="1"/>
    <xf numFmtId="0" fontId="31" fillId="38" borderId="15" xfId="0" applyFont="1" applyFill="1" applyBorder="1" applyAlignment="1">
      <alignment horizontal="left"/>
    </xf>
    <xf numFmtId="0" fontId="31" fillId="38" borderId="16" xfId="0" applyFont="1" applyFill="1" applyBorder="1" applyAlignment="1">
      <alignment horizontal="left"/>
    </xf>
    <xf numFmtId="0" fontId="31" fillId="38" borderId="17" xfId="0" applyFont="1" applyFill="1" applyBorder="1" applyAlignment="1">
      <alignment horizontal="left"/>
    </xf>
    <xf numFmtId="0" fontId="30" fillId="37" borderId="18" xfId="0" applyFont="1" applyFill="1" applyBorder="1"/>
    <xf numFmtId="0" fontId="31" fillId="38" borderId="11" xfId="0" applyFont="1" applyFill="1" applyBorder="1"/>
    <xf numFmtId="0" fontId="31" fillId="38" borderId="19" xfId="0" applyFont="1" applyFill="1" applyBorder="1"/>
    <xf numFmtId="0" fontId="30" fillId="37" borderId="20" xfId="0" applyFont="1" applyFill="1" applyBorder="1"/>
    <xf numFmtId="9" fontId="31" fillId="0" borderId="0" xfId="0" applyNumberFormat="1" applyFont="1"/>
    <xf numFmtId="0" fontId="30" fillId="37" borderId="10" xfId="0" applyFont="1" applyFill="1" applyBorder="1" applyAlignment="1">
      <alignment horizontal="center" vertical="center" wrapText="1"/>
    </xf>
    <xf numFmtId="0" fontId="30" fillId="37" borderId="29" xfId="0" applyFont="1" applyFill="1" applyBorder="1" applyAlignment="1">
      <alignment horizontal="center" vertical="center" wrapText="1"/>
    </xf>
    <xf numFmtId="0" fontId="30" fillId="37" borderId="30" xfId="0" applyFont="1" applyFill="1" applyBorder="1" applyAlignment="1">
      <alignment horizontal="center" vertical="center" wrapText="1"/>
    </xf>
    <xf numFmtId="0" fontId="30" fillId="37" borderId="17" xfId="0" applyFont="1" applyFill="1" applyBorder="1" applyAlignment="1">
      <alignment horizontal="center" vertical="center" wrapText="1"/>
    </xf>
    <xf numFmtId="0" fontId="30" fillId="37" borderId="31" xfId="0" applyFont="1" applyFill="1" applyBorder="1" applyAlignment="1">
      <alignment horizontal="center" vertical="center" wrapText="1"/>
    </xf>
    <xf numFmtId="164" fontId="31" fillId="38" borderId="33" xfId="1" applyNumberFormat="1" applyFont="1" applyFill="1" applyBorder="1"/>
    <xf numFmtId="164" fontId="32" fillId="39" borderId="34" xfId="1" applyNumberFormat="1" applyFont="1" applyFill="1" applyBorder="1"/>
    <xf numFmtId="3" fontId="32" fillId="39" borderId="35" xfId="0" applyNumberFormat="1" applyFont="1" applyFill="1" applyBorder="1"/>
    <xf numFmtId="3" fontId="31" fillId="38" borderId="33" xfId="0" applyNumberFormat="1" applyFont="1" applyFill="1" applyBorder="1"/>
    <xf numFmtId="0" fontId="30" fillId="37" borderId="13" xfId="0" applyFont="1" applyFill="1" applyBorder="1" applyAlignment="1">
      <alignment horizontal="center" vertical="center" wrapText="1"/>
    </xf>
    <xf numFmtId="0" fontId="30" fillId="37" borderId="14" xfId="0" applyFont="1" applyFill="1" applyBorder="1" applyAlignment="1">
      <alignment horizontal="center" vertical="center" wrapText="1"/>
    </xf>
    <xf numFmtId="0" fontId="31" fillId="38" borderId="33" xfId="0" applyFont="1" applyFill="1" applyBorder="1"/>
    <xf numFmtId="165" fontId="31" fillId="38" borderId="37" xfId="6" applyNumberFormat="1" applyFont="1" applyFill="1" applyBorder="1"/>
    <xf numFmtId="165" fontId="31" fillId="40" borderId="33" xfId="0" applyNumberFormat="1" applyFont="1" applyFill="1" applyBorder="1" applyAlignment="1">
      <alignment horizontal="center" vertical="center" wrapText="1"/>
    </xf>
    <xf numFmtId="164" fontId="31" fillId="40" borderId="33" xfId="1" applyNumberFormat="1" applyFont="1" applyFill="1" applyBorder="1" applyAlignment="1">
      <alignment horizontal="center" vertical="center" wrapText="1"/>
    </xf>
    <xf numFmtId="0" fontId="31" fillId="40" borderId="33" xfId="0" applyFont="1" applyFill="1" applyBorder="1" applyAlignment="1">
      <alignment horizontal="center" vertical="center" wrapText="1"/>
    </xf>
    <xf numFmtId="0" fontId="31" fillId="40" borderId="33" xfId="0" applyNumberFormat="1" applyFont="1" applyFill="1" applyBorder="1" applyAlignment="1">
      <alignment horizontal="center" vertical="center" wrapText="1"/>
    </xf>
    <xf numFmtId="165" fontId="31" fillId="40" borderId="37" xfId="0" applyNumberFormat="1" applyFont="1" applyFill="1" applyBorder="1" applyAlignment="1">
      <alignment horizontal="center" vertical="center" wrapText="1"/>
    </xf>
    <xf numFmtId="168" fontId="31" fillId="38" borderId="33" xfId="1" applyNumberFormat="1" applyFont="1" applyFill="1" applyBorder="1"/>
    <xf numFmtId="168" fontId="31" fillId="38" borderId="33" xfId="0" applyNumberFormat="1" applyFont="1" applyFill="1" applyBorder="1"/>
    <xf numFmtId="0" fontId="31" fillId="40" borderId="37" xfId="0" applyFont="1" applyFill="1" applyBorder="1"/>
    <xf numFmtId="0" fontId="31" fillId="0" borderId="10" xfId="0" applyFont="1" applyBorder="1"/>
    <xf numFmtId="169" fontId="31" fillId="0" borderId="0" xfId="0" applyNumberFormat="1" applyFont="1"/>
    <xf numFmtId="0" fontId="2" fillId="3" borderId="0" xfId="3" applyFont="1" applyAlignment="1">
      <alignment horizontal="center"/>
    </xf>
    <xf numFmtId="0" fontId="7" fillId="35" borderId="10" xfId="0" applyFont="1" applyFill="1" applyBorder="1" applyAlignment="1">
      <alignment horizontal="center" wrapText="1"/>
    </xf>
    <xf numFmtId="0" fontId="31" fillId="37" borderId="21" xfId="0" applyFont="1" applyFill="1" applyBorder="1" applyAlignment="1">
      <alignment horizontal="center" wrapText="1"/>
    </xf>
    <xf numFmtId="0" fontId="31" fillId="37" borderId="22" xfId="0" applyFont="1" applyFill="1" applyBorder="1" applyAlignment="1">
      <alignment horizontal="center" wrapText="1"/>
    </xf>
    <xf numFmtId="0" fontId="30" fillId="37" borderId="12" xfId="0" applyFont="1" applyFill="1" applyBorder="1" applyAlignment="1">
      <alignment horizontal="center" vertical="center" wrapText="1"/>
    </xf>
    <xf numFmtId="0" fontId="30" fillId="37" borderId="28" xfId="0" applyFont="1" applyFill="1" applyBorder="1" applyAlignment="1">
      <alignment horizontal="center" vertical="center" wrapText="1"/>
    </xf>
    <xf numFmtId="0" fontId="30" fillId="37" borderId="32" xfId="0" applyFont="1" applyFill="1" applyBorder="1" applyAlignment="1">
      <alignment horizontal="center" vertical="center" wrapText="1"/>
    </xf>
    <xf numFmtId="0" fontId="30" fillId="37" borderId="13" xfId="0" applyFont="1" applyFill="1" applyBorder="1" applyAlignment="1">
      <alignment horizontal="center" vertical="center" wrapText="1"/>
    </xf>
    <xf numFmtId="0" fontId="30" fillId="37" borderId="23" xfId="0" applyFont="1" applyFill="1" applyBorder="1" applyAlignment="1">
      <alignment horizontal="center" vertical="center" wrapText="1"/>
    </xf>
    <xf numFmtId="0" fontId="30" fillId="37" borderId="24" xfId="0" applyFont="1" applyFill="1" applyBorder="1" applyAlignment="1">
      <alignment horizontal="center" vertical="center" wrapText="1"/>
    </xf>
    <xf numFmtId="0" fontId="30" fillId="37" borderId="25" xfId="0" applyFont="1" applyFill="1" applyBorder="1" applyAlignment="1">
      <alignment horizontal="center" vertical="center" wrapText="1"/>
    </xf>
    <xf numFmtId="0" fontId="30" fillId="37" borderId="26" xfId="0" applyFont="1" applyFill="1" applyBorder="1" applyAlignment="1">
      <alignment horizontal="center" vertical="center" wrapText="1"/>
    </xf>
    <xf numFmtId="0" fontId="30" fillId="37" borderId="27" xfId="0" applyFont="1" applyFill="1" applyBorder="1" applyAlignment="1">
      <alignment horizontal="center" vertical="center" wrapText="1"/>
    </xf>
    <xf numFmtId="0" fontId="30" fillId="37" borderId="36" xfId="0" applyFont="1" applyFill="1" applyBorder="1" applyAlignment="1">
      <alignment horizontal="center" vertical="center" wrapText="1"/>
    </xf>
    <xf numFmtId="0" fontId="30" fillId="37" borderId="38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left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31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left" vertical="center" wrapText="1"/>
    </xf>
    <xf numFmtId="0" fontId="31" fillId="0" borderId="44" xfId="0" applyFont="1" applyBorder="1" applyAlignment="1">
      <alignment horizontal="left" vertical="center" wrapText="1"/>
    </xf>
    <xf numFmtId="0" fontId="30" fillId="37" borderId="10" xfId="0" applyFont="1" applyFill="1" applyBorder="1" applyAlignment="1">
      <alignment horizontal="center" vertical="center" wrapText="1"/>
    </xf>
  </cellXfs>
  <cellStyles count="53">
    <cellStyle name="20% - Accent1" xfId="26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39" builtinId="46" customBuiltin="1"/>
    <cellStyle name="20% - Accent6" xfId="43" builtinId="50" customBuiltin="1"/>
    <cellStyle name="40% - Accent1" xfId="27" builtinId="31" customBuiltin="1"/>
    <cellStyle name="40% - Accent2" xfId="30" builtinId="35" customBuiltin="1"/>
    <cellStyle name="40% - Accent3" xfId="34" builtinId="39" customBuiltin="1"/>
    <cellStyle name="40% - Accent4" xfId="5" builtinId="43" customBuiltin="1"/>
    <cellStyle name="40% - Accent5" xfId="40" builtinId="47" customBuiltin="1"/>
    <cellStyle name="40% - Accent6" xfId="44" builtinId="51" customBuiltin="1"/>
    <cellStyle name="60% - Accent1" xfId="2" builtinId="32" customBuiltin="1"/>
    <cellStyle name="60% - Accent2" xfId="31" builtinId="36" customBuiltin="1"/>
    <cellStyle name="60% - Accent3" xfId="35" builtinId="40" customBuiltin="1"/>
    <cellStyle name="60% - Accent4" xfId="3" builtinId="44" customBuiltin="1"/>
    <cellStyle name="60% - Accent5" xfId="41" builtinId="48" customBuiltin="1"/>
    <cellStyle name="60% - Accent6" xfId="4" builtinId="52" customBuiltin="1"/>
    <cellStyle name="Accent1" xfId="25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38" builtinId="45" customBuiltin="1"/>
    <cellStyle name="Accent6" xfId="42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6" builtinId="3"/>
    <cellStyle name="Comma 2" xfId="46"/>
    <cellStyle name="Comma 2 2" xfId="52"/>
    <cellStyle name="Comma 2 3" xfId="49"/>
    <cellStyle name="Currency" xfId="1" builtinId="4"/>
    <cellStyle name="Currency 2" xfId="47"/>
    <cellStyle name="Explanatory Text" xfId="23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45"/>
    <cellStyle name="Normal 2 2" xfId="51"/>
    <cellStyle name="Normal 2 3" xfId="48"/>
    <cellStyle name="Note" xfId="22" builtinId="10" customBuiltin="1"/>
    <cellStyle name="Output" xfId="17" builtinId="21" customBuiltin="1"/>
    <cellStyle name="Percent" xfId="7" builtinId="5"/>
    <cellStyle name="Percent 2" xfId="50"/>
    <cellStyle name="Title" xfId="8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Estimated SCurve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dLbls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'Adherence Response S Curve 3'!$B$12</c:f>
              <c:numCache>
                <c:formatCode>_("$"* #,##0_);_("$"* \(#,##0\);_("$"* "-"??_);_(@_)</c:formatCode>
                <c:ptCount val="1"/>
                <c:pt idx="0">
                  <c:v>15700000</c:v>
                </c:pt>
              </c:numCache>
            </c:numRef>
          </c:xVal>
          <c:yVal>
            <c:numRef>
              <c:f>'Adherence Response S Curve 3'!$C$12</c:f>
              <c:numCache>
                <c:formatCode>#,##0</c:formatCode>
                <c:ptCount val="1"/>
                <c:pt idx="0">
                  <c:v>360832.73711340211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'Adherence Response S Curve 3'!$D$3</c:f>
              <c:strCache>
                <c:ptCount val="1"/>
                <c:pt idx="0">
                  <c:v>Incr. TRx</c:v>
                </c:pt>
              </c:strCache>
            </c:strRef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'Adherence Response S Curve 3'!$A$22:$A$42</c:f>
              <c:numCache>
                <c:formatCode>General</c:formatCode>
                <c:ptCount val="21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  <c:pt idx="17">
                  <c:v>85000000</c:v>
                </c:pt>
                <c:pt idx="18">
                  <c:v>90000000</c:v>
                </c:pt>
                <c:pt idx="19">
                  <c:v>95000000</c:v>
                </c:pt>
                <c:pt idx="20">
                  <c:v>100000000</c:v>
                </c:pt>
              </c:numCache>
            </c:numRef>
          </c:xVal>
          <c:yVal>
            <c:numRef>
              <c:f>'Adherence Response S Curve 3'!$B$22:$B$42</c:f>
              <c:numCache>
                <c:formatCode>General</c:formatCode>
                <c:ptCount val="21"/>
                <c:pt idx="0">
                  <c:v>0</c:v>
                </c:pt>
                <c:pt idx="1">
                  <c:v>120994.72060368396</c:v>
                </c:pt>
                <c:pt idx="2">
                  <c:v>236241.44401214831</c:v>
                </c:pt>
                <c:pt idx="3">
                  <c:v>345913.38696239889</c:v>
                </c:pt>
                <c:pt idx="4">
                  <c:v>450189.87177247368</c:v>
                </c:pt>
                <c:pt idx="5">
                  <c:v>549254.72884996422</c:v>
                </c:pt>
                <c:pt idx="6">
                  <c:v>643294.8343712315</c:v>
                </c:pt>
                <c:pt idx="7">
                  <c:v>732498.78321923688</c:v>
                </c:pt>
                <c:pt idx="8">
                  <c:v>817055.69519616477</c:v>
                </c:pt>
                <c:pt idx="9">
                  <c:v>897154.15082335845</c:v>
                </c:pt>
                <c:pt idx="10">
                  <c:v>972981.25168112665</c:v>
                </c:pt>
                <c:pt idx="11">
                  <c:v>1044721.7991945017</c:v>
                </c:pt>
                <c:pt idx="12">
                  <c:v>1112557.585005708</c:v>
                </c:pt>
                <c:pt idx="13">
                  <c:v>1176666.7855561487</c:v>
                </c:pt>
                <c:pt idx="14">
                  <c:v>1237223.453196086</c:v>
                </c:pt>
                <c:pt idx="15">
                  <c:v>1294397.0960169062</c:v>
                </c:pt>
                <c:pt idx="16">
                  <c:v>1348352.3386276495</c:v>
                </c:pt>
                <c:pt idx="17">
                  <c:v>1399248.6562467143</c:v>
                </c:pt>
                <c:pt idx="18">
                  <c:v>1447240.1747251786</c:v>
                </c:pt>
                <c:pt idx="19">
                  <c:v>1492475.5294377916</c:v>
                </c:pt>
                <c:pt idx="20">
                  <c:v>1535097.7763512079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2128"/>
        <c:axId val="159802880"/>
      </c:scatterChart>
      <c:valAx>
        <c:axId val="15979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($ MM)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59802880"/>
        <c:crosses val="autoZero"/>
        <c:crossBetween val="midCat"/>
        <c:dispUnits>
          <c:builtInUnit val="millions"/>
        </c:dispUnits>
      </c:valAx>
      <c:valAx>
        <c:axId val="1598028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597921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12</xdr:row>
      <xdr:rowOff>0</xdr:rowOff>
    </xdr:from>
    <xdr:to>
      <xdr:col>14</xdr:col>
      <xdr:colOff>238125</xdr:colOff>
      <xdr:row>14</xdr:row>
      <xdr:rowOff>180975</xdr:rowOff>
    </xdr:to>
    <xdr:sp macro="" textlink="">
      <xdr:nvSpPr>
        <xdr:cNvPr id="2" name="Left Brace 1"/>
        <xdr:cNvSpPr/>
      </xdr:nvSpPr>
      <xdr:spPr>
        <a:xfrm>
          <a:off x="17964150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15</xdr:row>
      <xdr:rowOff>0</xdr:rowOff>
    </xdr:from>
    <xdr:to>
      <xdr:col>14</xdr:col>
      <xdr:colOff>238125</xdr:colOff>
      <xdr:row>17</xdr:row>
      <xdr:rowOff>180975</xdr:rowOff>
    </xdr:to>
    <xdr:sp macro="" textlink="">
      <xdr:nvSpPr>
        <xdr:cNvPr id="3" name="Left Brace 2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9525</xdr:colOff>
      <xdr:row>18</xdr:row>
      <xdr:rowOff>0</xdr:rowOff>
    </xdr:from>
    <xdr:to>
      <xdr:col>14</xdr:col>
      <xdr:colOff>238125</xdr:colOff>
      <xdr:row>20</xdr:row>
      <xdr:rowOff>180975</xdr:rowOff>
    </xdr:to>
    <xdr:sp macro="" textlink="">
      <xdr:nvSpPr>
        <xdr:cNvPr id="4" name="Left Brace 3"/>
        <xdr:cNvSpPr/>
      </xdr:nvSpPr>
      <xdr:spPr>
        <a:xfrm>
          <a:off x="18373725" y="1524000"/>
          <a:ext cx="228600" cy="56197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19</xdr:row>
      <xdr:rowOff>26670</xdr:rowOff>
    </xdr:from>
    <xdr:to>
      <xdr:col>9</xdr:col>
      <xdr:colOff>320040</xdr:colOff>
      <xdr:row>38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pace.merck.com/sites/USCSandP/Shared%20Documents/Investment%20Optimization/Phase%20II%20-%20Budget%202014/Promotion/Diabetes%20Deep%20Dive/DAVID2%20Diabetes%20February%2014%20v2%20(Jan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Area (Jane)"/>
      <sheetName val="Summary by Area"/>
      <sheetName val="Summary by Initial"/>
      <sheetName val="DAVID1 2013 SAP Numbers"/>
      <sheetName val="2013 AB Extract"/>
    </sheetNames>
    <sheetDataSet>
      <sheetData sheetId="0">
        <row r="63">
          <cell r="R63">
            <v>2850000</v>
          </cell>
        </row>
      </sheetData>
      <sheetData sheetId="1"/>
      <sheetData sheetId="2"/>
      <sheetData sheetId="3">
        <row r="29">
          <cell r="A29" t="str">
            <v>Catalina - POS</v>
          </cell>
          <cell r="E29">
            <v>2500000</v>
          </cell>
          <cell r="F29">
            <v>3</v>
          </cell>
        </row>
        <row r="30">
          <cell r="A30" t="str">
            <v xml:space="preserve">LDM - ScriptGuide (office comm) </v>
          </cell>
          <cell r="E30">
            <v>2250000</v>
          </cell>
          <cell r="F30">
            <v>10</v>
          </cell>
        </row>
        <row r="31">
          <cell r="A31" t="str">
            <v>LDM - CarePoints (POS)</v>
          </cell>
          <cell r="E31">
            <v>750000</v>
          </cell>
          <cell r="F31">
            <v>3</v>
          </cell>
        </row>
        <row r="32">
          <cell r="A32" t="str">
            <v>LDM - eRxing</v>
          </cell>
          <cell r="E32">
            <v>137610</v>
          </cell>
        </row>
        <row r="33">
          <cell r="A33" t="str">
            <v>Adheris - Letters from Pharmacy</v>
          </cell>
          <cell r="E33">
            <v>5000000</v>
          </cell>
          <cell r="F33">
            <v>3.9</v>
          </cell>
        </row>
        <row r="34">
          <cell r="A34" t="str">
            <v>CVS - Letters</v>
          </cell>
          <cell r="E34">
            <v>1418390</v>
          </cell>
          <cell r="F34">
            <v>3.9</v>
          </cell>
        </row>
        <row r="35">
          <cell r="A35" t="str">
            <v>Mscripts - mobile messaging</v>
          </cell>
          <cell r="E35">
            <v>419000</v>
          </cell>
        </row>
        <row r="36">
          <cell r="A36" t="str">
            <v>Ateb - IVR</v>
          </cell>
          <cell r="E36">
            <v>300000</v>
          </cell>
        </row>
        <row r="37">
          <cell r="A37" t="str">
            <v>Pleio - Consumer based call center</v>
          </cell>
          <cell r="E37">
            <v>2750000</v>
          </cell>
          <cell r="F37">
            <v>3.5</v>
          </cell>
        </row>
        <row r="38">
          <cell r="A38" t="str">
            <v>Dr. First/All Scripts - eRxing</v>
          </cell>
          <cell r="E38">
            <v>175000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selection activeCell="B4" sqref="B4"/>
    </sheetView>
  </sheetViews>
  <sheetFormatPr defaultRowHeight="14.4" x14ac:dyDescent="0.3"/>
  <cols>
    <col min="1" max="1" width="10.44140625" customWidth="1"/>
    <col min="2" max="2" width="37.44140625" bestFit="1" customWidth="1"/>
    <col min="3" max="3" width="8" bestFit="1" customWidth="1"/>
    <col min="4" max="4" width="40.33203125" customWidth="1"/>
    <col min="5" max="5" width="7.33203125" bestFit="1" customWidth="1"/>
    <col min="6" max="6" width="14.88671875" bestFit="1" customWidth="1"/>
    <col min="7" max="7" width="17.33203125" customWidth="1"/>
    <col min="8" max="8" width="19.44140625" customWidth="1"/>
    <col min="9" max="9" width="18" bestFit="1" customWidth="1"/>
    <col min="10" max="10" width="13.6640625" bestFit="1" customWidth="1"/>
    <col min="11" max="11" width="14.109375" bestFit="1" customWidth="1"/>
    <col min="12" max="12" width="12.33203125" customWidth="1"/>
    <col min="13" max="13" width="13.88671875" customWidth="1"/>
    <col min="14" max="14" width="20.88671875" customWidth="1"/>
    <col min="15" max="15" width="19.33203125" customWidth="1"/>
    <col min="16" max="16" width="10.44140625" bestFit="1" customWidth="1"/>
    <col min="17" max="17" width="20" customWidth="1"/>
  </cols>
  <sheetData>
    <row r="1" spans="1:17" ht="15" x14ac:dyDescent="0.25">
      <c r="A1" s="76" t="s">
        <v>23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3" spans="1:17" ht="15" customHeight="1" x14ac:dyDescent="0.3">
      <c r="C3" s="2" t="s">
        <v>14</v>
      </c>
      <c r="D3" s="2"/>
      <c r="E3" s="2"/>
      <c r="I3" s="23"/>
      <c r="J3" s="23"/>
      <c r="K3" s="77" t="s">
        <v>92</v>
      </c>
      <c r="L3" s="77"/>
      <c r="M3" s="77"/>
      <c r="N3" s="77"/>
      <c r="O3" s="77" t="s">
        <v>27</v>
      </c>
      <c r="P3" s="77"/>
      <c r="Q3" s="28" t="s">
        <v>39</v>
      </c>
    </row>
    <row r="4" spans="1:17" ht="64.8" customHeight="1" x14ac:dyDescent="0.3">
      <c r="C4" s="2"/>
      <c r="D4" s="2" t="s">
        <v>13</v>
      </c>
      <c r="E4" s="2">
        <v>0.4</v>
      </c>
      <c r="H4" s="26" t="s">
        <v>30</v>
      </c>
      <c r="I4" s="26" t="s">
        <v>33</v>
      </c>
      <c r="J4" s="23"/>
      <c r="K4" s="27" t="s">
        <v>28</v>
      </c>
      <c r="L4" s="27" t="s">
        <v>34</v>
      </c>
      <c r="M4" s="28" t="s">
        <v>35</v>
      </c>
      <c r="N4" s="38" t="s">
        <v>36</v>
      </c>
      <c r="O4" s="28" t="s">
        <v>38</v>
      </c>
      <c r="P4" s="28" t="s">
        <v>37</v>
      </c>
      <c r="Q4" s="28" t="s">
        <v>29</v>
      </c>
    </row>
    <row r="5" spans="1:17" s="4" customFormat="1" ht="15" customHeight="1" x14ac:dyDescent="0.35">
      <c r="C5" s="2">
        <v>2013</v>
      </c>
      <c r="D5" s="2" t="s">
        <v>15</v>
      </c>
      <c r="E5" s="3">
        <f>'[1] Summary'!$D$22</f>
        <v>1117.7796531072613</v>
      </c>
      <c r="H5" s="25">
        <v>14649000</v>
      </c>
      <c r="I5" s="25">
        <v>5165000</v>
      </c>
      <c r="J5" s="23"/>
      <c r="K5" s="33">
        <f>F23</f>
        <v>15700000</v>
      </c>
      <c r="L5" s="34">
        <f>I23</f>
        <v>360832.73711340211</v>
      </c>
      <c r="M5" s="30">
        <v>2.627286914246511E-2</v>
      </c>
      <c r="N5" s="29">
        <f>K5/L5</f>
        <v>43.51046450385077</v>
      </c>
      <c r="O5" s="31">
        <v>0.15</v>
      </c>
      <c r="P5" s="32">
        <f>O5*H5</f>
        <v>2197350</v>
      </c>
      <c r="Q5" s="37">
        <f>B27</f>
        <v>15700000</v>
      </c>
    </row>
    <row r="6" spans="1:17" s="4" customFormat="1" x14ac:dyDescent="0.3">
      <c r="C6" s="2">
        <v>2013</v>
      </c>
      <c r="D6" s="2" t="s">
        <v>31</v>
      </c>
      <c r="E6" s="3">
        <v>194</v>
      </c>
      <c r="I6" s="24"/>
      <c r="J6" s="24"/>
      <c r="K6" s="35" t="s">
        <v>40</v>
      </c>
      <c r="L6" s="24"/>
      <c r="M6" s="24"/>
      <c r="N6" s="24"/>
      <c r="O6" s="24"/>
      <c r="P6" s="24"/>
      <c r="Q6" s="24"/>
    </row>
    <row r="7" spans="1:17" s="24" customFormat="1" x14ac:dyDescent="0.3">
      <c r="C7" s="2">
        <v>2013</v>
      </c>
      <c r="D7" s="2" t="s">
        <v>32</v>
      </c>
      <c r="E7" s="3">
        <f>E6*(1-E4)</f>
        <v>116.39999999999999</v>
      </c>
      <c r="K7" s="35"/>
    </row>
    <row r="8" spans="1:17" s="4" customFormat="1" x14ac:dyDescent="0.3">
      <c r="C8" s="5"/>
      <c r="D8" s="5"/>
      <c r="E8" s="6"/>
    </row>
    <row r="9" spans="1:17" s="4" customFormat="1" x14ac:dyDescent="0.3">
      <c r="A9" s="4" t="s">
        <v>26</v>
      </c>
      <c r="C9" s="5"/>
      <c r="D9" s="5"/>
      <c r="E9" s="6"/>
    </row>
    <row r="10" spans="1:17" s="4" customFormat="1" x14ac:dyDescent="0.3">
      <c r="C10" s="5"/>
      <c r="D10" s="5"/>
      <c r="E10" s="6"/>
    </row>
    <row r="12" spans="1:17" s="8" customFormat="1" x14ac:dyDescent="0.3">
      <c r="A12" s="7" t="s">
        <v>0</v>
      </c>
      <c r="B12" s="7" t="s">
        <v>1</v>
      </c>
      <c r="C12" s="7" t="s">
        <v>6</v>
      </c>
      <c r="D12" s="7" t="s">
        <v>8</v>
      </c>
      <c r="E12" s="7" t="s">
        <v>7</v>
      </c>
      <c r="F12" s="7" t="s">
        <v>2</v>
      </c>
      <c r="G12" s="7" t="s">
        <v>9</v>
      </c>
      <c r="H12" s="7" t="s">
        <v>3</v>
      </c>
      <c r="I12" s="36" t="s">
        <v>91</v>
      </c>
      <c r="J12" s="7" t="s">
        <v>10</v>
      </c>
      <c r="K12" s="7" t="s">
        <v>11</v>
      </c>
      <c r="L12" s="7" t="s">
        <v>12</v>
      </c>
      <c r="M12" s="7" t="s">
        <v>4</v>
      </c>
      <c r="N12" s="7" t="s">
        <v>16</v>
      </c>
    </row>
    <row r="13" spans="1:17" s="9" customFormat="1" x14ac:dyDescent="0.3">
      <c r="A13" s="9">
        <v>2013</v>
      </c>
      <c r="B13" s="14" t="str">
        <f>'[2]DAVID1 2013 SAP Numbers'!$A29</f>
        <v>Catalina - POS</v>
      </c>
      <c r="C13" s="9" t="s">
        <v>18</v>
      </c>
      <c r="D13" s="10" t="s">
        <v>21</v>
      </c>
      <c r="E13" s="19">
        <f>'[2]DAVID1 2013 SAP Numbers'!$F29</f>
        <v>3</v>
      </c>
      <c r="F13" s="16">
        <f>'[2]DAVID1 2013 SAP Numbers'!$E29</f>
        <v>2500000</v>
      </c>
      <c r="G13" s="11">
        <f t="shared" ref="G13:G22" si="0">F13*E13</f>
        <v>7500000</v>
      </c>
      <c r="H13" s="11">
        <f t="shared" ref="H13:H22" si="1">G13*(1-$E$4)</f>
        <v>4500000</v>
      </c>
      <c r="I13" s="12">
        <f>H13/$E$7</f>
        <v>38659.793814432989</v>
      </c>
      <c r="J13" s="11"/>
      <c r="K13" s="11"/>
      <c r="L13" s="11"/>
      <c r="M13" s="9" t="s">
        <v>5</v>
      </c>
    </row>
    <row r="14" spans="1:17" s="9" customFormat="1" x14ac:dyDescent="0.3">
      <c r="A14" s="9">
        <v>2013</v>
      </c>
      <c r="B14" s="14" t="str">
        <f>'[2]DAVID1 2013 SAP Numbers'!$A30</f>
        <v xml:space="preserve">LDM - ScriptGuide (office comm) </v>
      </c>
      <c r="C14" s="9" t="s">
        <v>18</v>
      </c>
      <c r="D14" s="10" t="s">
        <v>21</v>
      </c>
      <c r="E14" s="19">
        <f>'[2]DAVID1 2013 SAP Numbers'!$F30</f>
        <v>10</v>
      </c>
      <c r="F14" s="16">
        <f>'[2]DAVID1 2013 SAP Numbers'!$E30</f>
        <v>2250000</v>
      </c>
      <c r="G14" s="11">
        <f t="shared" si="0"/>
        <v>22500000</v>
      </c>
      <c r="H14" s="11">
        <f t="shared" si="1"/>
        <v>13500000</v>
      </c>
      <c r="I14" s="12">
        <f t="shared" ref="I14:I22" si="2">H14/$E$7</f>
        <v>115979.38144329897</v>
      </c>
      <c r="J14" s="11"/>
      <c r="K14" s="11"/>
      <c r="L14" s="11"/>
      <c r="M14" s="9" t="s">
        <v>5</v>
      </c>
      <c r="O14" s="13" t="s">
        <v>19</v>
      </c>
    </row>
    <row r="15" spans="1:17" s="9" customFormat="1" x14ac:dyDescent="0.3">
      <c r="A15" s="9">
        <v>2013</v>
      </c>
      <c r="B15" s="14" t="str">
        <f>'[2]DAVID1 2013 SAP Numbers'!$A31</f>
        <v>LDM - CarePoints (POS)</v>
      </c>
      <c r="C15" s="9" t="s">
        <v>18</v>
      </c>
      <c r="D15" s="10" t="s">
        <v>21</v>
      </c>
      <c r="E15" s="19">
        <f>'[2]DAVID1 2013 SAP Numbers'!$F31</f>
        <v>3</v>
      </c>
      <c r="F15" s="16">
        <f>'[2]DAVID1 2013 SAP Numbers'!$E31</f>
        <v>750000</v>
      </c>
      <c r="G15" s="11">
        <f t="shared" si="0"/>
        <v>2250000</v>
      </c>
      <c r="H15" s="11">
        <f t="shared" si="1"/>
        <v>1350000</v>
      </c>
      <c r="I15" s="12">
        <f t="shared" si="2"/>
        <v>11597.938144329897</v>
      </c>
      <c r="J15" s="11"/>
      <c r="K15" s="11"/>
      <c r="L15" s="11"/>
      <c r="M15" s="9" t="s">
        <v>5</v>
      </c>
    </row>
    <row r="16" spans="1:17" s="9" customFormat="1" x14ac:dyDescent="0.3">
      <c r="A16" s="9">
        <v>2013</v>
      </c>
      <c r="B16" s="14" t="str">
        <f>'[2]DAVID1 2013 SAP Numbers'!$A32</f>
        <v>LDM - eRxing</v>
      </c>
      <c r="C16" s="15" t="s">
        <v>20</v>
      </c>
      <c r="D16" s="10" t="s">
        <v>21</v>
      </c>
      <c r="E16" s="19">
        <f>E13</f>
        <v>3</v>
      </c>
      <c r="F16" s="11">
        <f>'[2]DAVID1 2013 SAP Numbers'!$E32</f>
        <v>137610</v>
      </c>
      <c r="G16" s="11">
        <f t="shared" si="0"/>
        <v>412830</v>
      </c>
      <c r="H16" s="11">
        <f t="shared" si="1"/>
        <v>247698</v>
      </c>
      <c r="I16" s="12">
        <f t="shared" si="2"/>
        <v>2127.9896907216498</v>
      </c>
      <c r="J16" s="11"/>
      <c r="K16" s="11"/>
      <c r="L16" s="11"/>
      <c r="M16" s="9" t="s">
        <v>5</v>
      </c>
    </row>
    <row r="17" spans="1:15" s="9" customFormat="1" x14ac:dyDescent="0.3">
      <c r="A17" s="9">
        <v>2013</v>
      </c>
      <c r="B17" s="14" t="str">
        <f>'[2]DAVID1 2013 SAP Numbers'!$A33</f>
        <v>Adheris - Letters from Pharmacy</v>
      </c>
      <c r="C17" s="9" t="s">
        <v>18</v>
      </c>
      <c r="D17" s="10" t="s">
        <v>21</v>
      </c>
      <c r="E17" s="19">
        <f>'[2]DAVID1 2013 SAP Numbers'!$F33</f>
        <v>3.9</v>
      </c>
      <c r="F17" s="16">
        <f>'[2]DAVID1 2013 SAP Numbers'!$E33</f>
        <v>5000000</v>
      </c>
      <c r="G17" s="11">
        <f t="shared" si="0"/>
        <v>19500000</v>
      </c>
      <c r="H17" s="11">
        <f t="shared" si="1"/>
        <v>11700000</v>
      </c>
      <c r="I17" s="12">
        <f t="shared" si="2"/>
        <v>100515.46391752578</v>
      </c>
      <c r="J17" s="11"/>
      <c r="K17" s="11"/>
      <c r="L17" s="11"/>
      <c r="M17" s="9" t="s">
        <v>5</v>
      </c>
      <c r="O17" s="13" t="s">
        <v>19</v>
      </c>
    </row>
    <row r="18" spans="1:15" s="9" customFormat="1" x14ac:dyDescent="0.3">
      <c r="A18" s="9">
        <v>2013</v>
      </c>
      <c r="B18" s="14" t="str">
        <f>'[2]DAVID1 2013 SAP Numbers'!$A34</f>
        <v>CVS - Letters</v>
      </c>
      <c r="C18" s="9" t="s">
        <v>18</v>
      </c>
      <c r="D18" s="10" t="s">
        <v>21</v>
      </c>
      <c r="E18" s="19">
        <f>'[2]DAVID1 2013 SAP Numbers'!$F34</f>
        <v>3.9</v>
      </c>
      <c r="F18" s="11">
        <f>'[2]DAVID1 2013 SAP Numbers'!$E34</f>
        <v>1418390</v>
      </c>
      <c r="G18" s="11">
        <f t="shared" si="0"/>
        <v>5531721</v>
      </c>
      <c r="H18" s="11">
        <f t="shared" si="1"/>
        <v>3319032.6</v>
      </c>
      <c r="I18" s="12">
        <f t="shared" si="2"/>
        <v>28514.025773195881</v>
      </c>
      <c r="J18" s="11"/>
      <c r="K18" s="11"/>
      <c r="L18" s="11"/>
      <c r="M18" s="9" t="s">
        <v>5</v>
      </c>
    </row>
    <row r="19" spans="1:15" s="9" customFormat="1" x14ac:dyDescent="0.3">
      <c r="A19" s="9">
        <v>2013</v>
      </c>
      <c r="B19" s="14" t="str">
        <f>'[2]DAVID1 2013 SAP Numbers'!$A35</f>
        <v>Mscripts - mobile messaging</v>
      </c>
      <c r="C19" s="15" t="s">
        <v>20</v>
      </c>
      <c r="D19" s="10" t="s">
        <v>21</v>
      </c>
      <c r="E19" s="19">
        <f>E13</f>
        <v>3</v>
      </c>
      <c r="F19" s="16">
        <f>'[2]DAVID1 2013 SAP Numbers'!$E35</f>
        <v>419000</v>
      </c>
      <c r="G19" s="11">
        <f t="shared" si="0"/>
        <v>1257000</v>
      </c>
      <c r="H19" s="11">
        <f t="shared" si="1"/>
        <v>754200</v>
      </c>
      <c r="I19" s="12">
        <f t="shared" si="2"/>
        <v>6479.3814432989693</v>
      </c>
      <c r="J19" s="11"/>
      <c r="K19" s="11"/>
      <c r="L19" s="11"/>
      <c r="M19" s="9" t="s">
        <v>5</v>
      </c>
    </row>
    <row r="20" spans="1:15" s="9" customFormat="1" x14ac:dyDescent="0.3">
      <c r="A20" s="9">
        <v>2013</v>
      </c>
      <c r="B20" s="14" t="str">
        <f>'[2]DAVID1 2013 SAP Numbers'!$A36</f>
        <v>Ateb - IVR</v>
      </c>
      <c r="C20" s="15" t="s">
        <v>20</v>
      </c>
      <c r="D20" s="10" t="s">
        <v>21</v>
      </c>
      <c r="E20" s="19">
        <f>E13</f>
        <v>3</v>
      </c>
      <c r="F20" s="16">
        <f>'[2]DAVID1 2013 SAP Numbers'!$E36</f>
        <v>300000</v>
      </c>
      <c r="G20" s="11">
        <f t="shared" si="0"/>
        <v>900000</v>
      </c>
      <c r="H20" s="11">
        <f t="shared" si="1"/>
        <v>540000</v>
      </c>
      <c r="I20" s="12">
        <f t="shared" si="2"/>
        <v>4639.1752577319594</v>
      </c>
      <c r="J20" s="11"/>
      <c r="K20" s="11"/>
      <c r="L20" s="11"/>
      <c r="M20" s="9" t="s">
        <v>5</v>
      </c>
      <c r="O20" s="13" t="s">
        <v>19</v>
      </c>
    </row>
    <row r="21" spans="1:15" s="9" customFormat="1" x14ac:dyDescent="0.3">
      <c r="A21" s="9">
        <v>2013</v>
      </c>
      <c r="B21" s="14" t="str">
        <f>'[2]DAVID1 2013 SAP Numbers'!$A37</f>
        <v>Pleio - Consumer based call center</v>
      </c>
      <c r="C21" s="9" t="s">
        <v>18</v>
      </c>
      <c r="D21" s="10" t="s">
        <v>21</v>
      </c>
      <c r="E21" s="19">
        <f>'[2]DAVID1 2013 SAP Numbers'!$F37</f>
        <v>3.5</v>
      </c>
      <c r="F21" s="16">
        <f>'[2]DAVID1 2013 SAP Numbers'!$E37</f>
        <v>2750000</v>
      </c>
      <c r="G21" s="11">
        <f t="shared" si="0"/>
        <v>9625000</v>
      </c>
      <c r="H21" s="11">
        <f t="shared" si="1"/>
        <v>5775000</v>
      </c>
      <c r="I21" s="12">
        <f t="shared" si="2"/>
        <v>49613.402061855675</v>
      </c>
      <c r="J21" s="11"/>
      <c r="K21" s="11"/>
      <c r="L21" s="11"/>
      <c r="M21" s="9" t="s">
        <v>5</v>
      </c>
    </row>
    <row r="22" spans="1:15" s="9" customFormat="1" x14ac:dyDescent="0.3">
      <c r="A22" s="9">
        <v>2013</v>
      </c>
      <c r="B22" s="14" t="str">
        <f>'[2]DAVID1 2013 SAP Numbers'!$A38</f>
        <v>Dr. First/All Scripts - eRxing</v>
      </c>
      <c r="C22" s="15" t="s">
        <v>20</v>
      </c>
      <c r="D22" s="10" t="s">
        <v>21</v>
      </c>
      <c r="E22" s="19">
        <f>E13</f>
        <v>3</v>
      </c>
      <c r="F22" s="16">
        <f>'[2]DAVID1 2013 SAP Numbers'!$E38</f>
        <v>175000</v>
      </c>
      <c r="G22" s="11">
        <f t="shared" si="0"/>
        <v>525000</v>
      </c>
      <c r="H22" s="11">
        <f t="shared" si="1"/>
        <v>315000</v>
      </c>
      <c r="I22" s="12">
        <f t="shared" si="2"/>
        <v>2706.1855670103096</v>
      </c>
      <c r="J22" s="11"/>
      <c r="K22" s="11"/>
      <c r="L22" s="11"/>
      <c r="M22" s="9" t="s">
        <v>5</v>
      </c>
    </row>
    <row r="23" spans="1:15" x14ac:dyDescent="0.3">
      <c r="A23" s="17" t="s">
        <v>25</v>
      </c>
      <c r="B23" s="17"/>
      <c r="C23" s="17"/>
      <c r="D23" s="17"/>
      <c r="E23" s="20">
        <f>SUMPRODUCT(E13:E22,F13:F22)/SUM(F13:F22)</f>
        <v>4.4586975159235669</v>
      </c>
      <c r="F23" s="18">
        <f>SUM(F13:F22)</f>
        <v>15700000</v>
      </c>
      <c r="G23" s="18">
        <f>SUM(G13:G22)</f>
        <v>70001551</v>
      </c>
      <c r="H23" s="18">
        <f>SUM(H13:H22)</f>
        <v>42000930.600000001</v>
      </c>
      <c r="I23" s="22">
        <f>SUM(I13:I22)</f>
        <v>360832.73711340211</v>
      </c>
      <c r="J23" s="17"/>
      <c r="K23" s="17"/>
      <c r="L23" s="17"/>
      <c r="N23" t="s">
        <v>24</v>
      </c>
    </row>
    <row r="24" spans="1:15" x14ac:dyDescent="0.3">
      <c r="I24" s="21">
        <f>I23/H5</f>
        <v>2.4631902321892423E-2</v>
      </c>
    </row>
    <row r="26" spans="1:15" x14ac:dyDescent="0.3">
      <c r="A26" t="s">
        <v>17</v>
      </c>
    </row>
    <row r="27" spans="1:15" x14ac:dyDescent="0.3">
      <c r="B27" s="1">
        <v>15700000</v>
      </c>
      <c r="D27" t="s">
        <v>22</v>
      </c>
      <c r="F27" s="1"/>
    </row>
  </sheetData>
  <mergeCells count="3">
    <mergeCell ref="A1:M1"/>
    <mergeCell ref="K3:N3"/>
    <mergeCell ref="O3:P3"/>
  </mergeCells>
  <pageMargins left="0.7" right="0.7" top="0.75" bottom="0.75" header="0.3" footer="0.3"/>
  <pageSetup orientation="portrait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2"/>
  <sheetViews>
    <sheetView topLeftCell="A13" workbookViewId="0">
      <selection activeCell="K33" sqref="K33"/>
    </sheetView>
  </sheetViews>
  <sheetFormatPr defaultRowHeight="13.8" x14ac:dyDescent="0.3"/>
  <cols>
    <col min="1" max="1" width="12.109375" style="40" customWidth="1"/>
    <col min="2" max="2" width="13.5546875" style="40" customWidth="1"/>
    <col min="3" max="3" width="12.5546875" style="40" customWidth="1"/>
    <col min="4" max="4" width="13.77734375" style="40" customWidth="1"/>
    <col min="5" max="6" width="12.44140625" style="40" customWidth="1"/>
    <col min="7" max="7" width="12" style="40" customWidth="1"/>
    <col min="8" max="8" width="10.33203125" style="40" customWidth="1"/>
    <col min="9" max="9" width="12.77734375" style="40" customWidth="1"/>
    <col min="10" max="10" width="12.5546875" style="40" customWidth="1"/>
    <col min="11" max="11" width="14.33203125" style="40" bestFit="1" customWidth="1"/>
    <col min="12" max="13" width="12" style="40" bestFit="1" customWidth="1"/>
    <col min="14" max="14" width="11.44140625" style="40" bestFit="1" customWidth="1"/>
    <col min="15" max="15" width="11.109375" style="40" customWidth="1"/>
    <col min="16" max="16384" width="8.88671875" style="40"/>
  </cols>
  <sheetData>
    <row r="1" spans="1:15" ht="14.4" thickBot="1" x14ac:dyDescent="0.35">
      <c r="A1" s="39" t="s">
        <v>41</v>
      </c>
      <c r="B1" s="40" t="s">
        <v>42</v>
      </c>
    </row>
    <row r="2" spans="1:15" x14ac:dyDescent="0.3">
      <c r="A2" s="41" t="s">
        <v>43</v>
      </c>
      <c r="B2" s="42" t="s">
        <v>44</v>
      </c>
      <c r="C2" s="43" t="s">
        <v>45</v>
      </c>
      <c r="D2" s="44" t="s">
        <v>46</v>
      </c>
      <c r="H2" s="45" t="s">
        <v>47</v>
      </c>
      <c r="I2" s="46"/>
      <c r="J2" s="46"/>
      <c r="K2" s="46"/>
      <c r="L2" s="47"/>
    </row>
    <row r="3" spans="1:15" ht="14.4" thickBot="1" x14ac:dyDescent="0.35">
      <c r="A3" s="48" t="s">
        <v>48</v>
      </c>
      <c r="B3" s="49" t="s">
        <v>49</v>
      </c>
      <c r="C3" s="39" t="s">
        <v>50</v>
      </c>
      <c r="D3" s="50" t="s">
        <v>88</v>
      </c>
      <c r="E3" s="39" t="s">
        <v>51</v>
      </c>
      <c r="F3" s="50" t="s">
        <v>89</v>
      </c>
    </row>
    <row r="4" spans="1:15" ht="15" customHeight="1" thickBot="1" x14ac:dyDescent="0.35">
      <c r="A4" s="51" t="s">
        <v>52</v>
      </c>
      <c r="B4" s="78" t="s">
        <v>53</v>
      </c>
      <c r="C4" s="78"/>
      <c r="D4" s="78"/>
      <c r="E4" s="78"/>
      <c r="F4" s="79"/>
      <c r="H4" s="40" t="s">
        <v>54</v>
      </c>
    </row>
    <row r="5" spans="1:15" x14ac:dyDescent="0.3">
      <c r="H5" s="40" t="s">
        <v>90</v>
      </c>
    </row>
    <row r="6" spans="1:15" ht="14.4" thickBot="1" x14ac:dyDescent="0.35">
      <c r="B6" s="52">
        <v>0.5</v>
      </c>
      <c r="C6" s="52">
        <v>1.5</v>
      </c>
    </row>
    <row r="7" spans="1:15" ht="27.6" customHeight="1" x14ac:dyDescent="0.3">
      <c r="A7" s="80" t="s">
        <v>55</v>
      </c>
      <c r="B7" s="83" t="s">
        <v>56</v>
      </c>
      <c r="C7" s="84"/>
      <c r="D7" s="85" t="s">
        <v>57</v>
      </c>
      <c r="E7" s="86"/>
      <c r="F7" s="87" t="s">
        <v>58</v>
      </c>
      <c r="G7" s="88"/>
    </row>
    <row r="8" spans="1:15" ht="27.6" x14ac:dyDescent="0.3">
      <c r="A8" s="81"/>
      <c r="B8" s="53" t="s">
        <v>59</v>
      </c>
      <c r="C8" s="54" t="s">
        <v>60</v>
      </c>
      <c r="D8" s="55" t="s">
        <v>61</v>
      </c>
      <c r="E8" s="54" t="s">
        <v>62</v>
      </c>
      <c r="F8" s="56" t="s">
        <v>63</v>
      </c>
      <c r="G8" s="57" t="s">
        <v>64</v>
      </c>
    </row>
    <row r="9" spans="1:15" ht="14.4" thickBot="1" x14ac:dyDescent="0.35">
      <c r="A9" s="82"/>
      <c r="B9" s="58">
        <f>B6*B12</f>
        <v>7850000</v>
      </c>
      <c r="C9" s="58">
        <f>C6*B12</f>
        <v>23550000</v>
      </c>
      <c r="D9" s="59">
        <f>F9</f>
        <v>15700000</v>
      </c>
      <c r="E9" s="60">
        <f>(($O$12/(1+EXP($M$12+$N$12*D9)))-1) - ($F$12-$C$12)</f>
        <v>360832.73711340129</v>
      </c>
      <c r="F9" s="58">
        <f>B12</f>
        <v>15700000</v>
      </c>
      <c r="G9" s="61">
        <f>C12</f>
        <v>360832.73711340211</v>
      </c>
    </row>
    <row r="10" spans="1:15" ht="14.4" thickBot="1" x14ac:dyDescent="0.35"/>
    <row r="11" spans="1:15" ht="51.6" customHeight="1" x14ac:dyDescent="0.3">
      <c r="A11" s="80" t="s">
        <v>65</v>
      </c>
      <c r="B11" s="62" t="s">
        <v>66</v>
      </c>
      <c r="C11" s="62" t="s">
        <v>67</v>
      </c>
      <c r="D11" s="62" t="s">
        <v>68</v>
      </c>
      <c r="E11" s="62" t="s">
        <v>69</v>
      </c>
      <c r="F11" s="63" t="s">
        <v>70</v>
      </c>
      <c r="H11" s="89" t="s">
        <v>71</v>
      </c>
      <c r="I11" s="62" t="s">
        <v>72</v>
      </c>
      <c r="J11" s="62" t="s">
        <v>73</v>
      </c>
      <c r="K11" s="62" t="s">
        <v>74</v>
      </c>
      <c r="L11" s="62" t="s">
        <v>75</v>
      </c>
      <c r="M11" s="62" t="s">
        <v>76</v>
      </c>
      <c r="N11" s="62" t="s">
        <v>77</v>
      </c>
      <c r="O11" s="63" t="s">
        <v>78</v>
      </c>
    </row>
    <row r="12" spans="1:15" ht="15" customHeight="1" thickBot="1" x14ac:dyDescent="0.35">
      <c r="A12" s="82"/>
      <c r="B12" s="58">
        <v>15700000</v>
      </c>
      <c r="C12" s="61">
        <v>360832.73711340211</v>
      </c>
      <c r="D12" s="64">
        <v>0</v>
      </c>
      <c r="E12" s="61">
        <v>2197350</v>
      </c>
      <c r="F12" s="65">
        <v>14649000</v>
      </c>
      <c r="H12" s="90"/>
      <c r="I12" s="66">
        <f>F12-C12</f>
        <v>14288167.262886599</v>
      </c>
      <c r="J12" s="66">
        <f>I12+E12</f>
        <v>16485517.262886599</v>
      </c>
      <c r="K12" s="67">
        <f>B12</f>
        <v>15700000</v>
      </c>
      <c r="L12" s="66">
        <f>F12</f>
        <v>14649000</v>
      </c>
      <c r="M12" s="68">
        <f>LN((($J$12+1)/($I$12+1))-1)</f>
        <v>-1.8721797117208678</v>
      </c>
      <c r="N12" s="69">
        <f>(LN((($J$12+1)/($L$12+1))-1)-$M$12)/$K$12</f>
        <v>-1.3014104724433269E-8</v>
      </c>
      <c r="O12" s="70">
        <f>J12+1</f>
        <v>16485518.262886599</v>
      </c>
    </row>
    <row r="13" spans="1:15" ht="34.200000000000003" customHeight="1" x14ac:dyDescent="0.3">
      <c r="A13" s="91" t="s">
        <v>79</v>
      </c>
      <c r="B13" s="92"/>
      <c r="C13" s="92"/>
      <c r="D13" s="92"/>
      <c r="E13" s="92"/>
      <c r="F13" s="93"/>
      <c r="H13" s="91" t="s">
        <v>80</v>
      </c>
      <c r="I13" s="92"/>
      <c r="J13" s="92"/>
      <c r="K13" s="92"/>
      <c r="L13" s="92"/>
      <c r="M13" s="92"/>
      <c r="N13" s="92"/>
      <c r="O13" s="93"/>
    </row>
    <row r="14" spans="1:15" ht="33.6" customHeight="1" x14ac:dyDescent="0.3">
      <c r="A14" s="94"/>
      <c r="B14" s="95"/>
      <c r="C14" s="95"/>
      <c r="D14" s="95"/>
      <c r="E14" s="95"/>
      <c r="F14" s="96"/>
      <c r="H14" s="94"/>
      <c r="I14" s="95"/>
      <c r="J14" s="95"/>
      <c r="K14" s="95"/>
      <c r="L14" s="95"/>
      <c r="M14" s="95"/>
      <c r="N14" s="95"/>
      <c r="O14" s="96"/>
    </row>
    <row r="16" spans="1:15" ht="14.4" thickBot="1" x14ac:dyDescent="0.35"/>
    <row r="17" spans="1:4" ht="16.8" customHeight="1" x14ac:dyDescent="0.3">
      <c r="A17" s="89" t="s">
        <v>81</v>
      </c>
      <c r="B17" s="62" t="s">
        <v>82</v>
      </c>
      <c r="C17" s="62" t="s">
        <v>83</v>
      </c>
      <c r="D17" s="63" t="s">
        <v>84</v>
      </c>
    </row>
    <row r="18" spans="1:4" ht="23.4" customHeight="1" thickBot="1" x14ac:dyDescent="0.35">
      <c r="A18" s="90"/>
      <c r="B18" s="71">
        <v>0</v>
      </c>
      <c r="C18" s="72">
        <v>100000000</v>
      </c>
      <c r="D18" s="73">
        <v>20</v>
      </c>
    </row>
    <row r="20" spans="1:4" x14ac:dyDescent="0.3">
      <c r="A20" s="97" t="s">
        <v>85</v>
      </c>
      <c r="B20" s="97"/>
    </row>
    <row r="21" spans="1:4" x14ac:dyDescent="0.3">
      <c r="A21" s="53" t="s">
        <v>86</v>
      </c>
      <c r="B21" s="53" t="s">
        <v>87</v>
      </c>
    </row>
    <row r="22" spans="1:4" x14ac:dyDescent="0.3">
      <c r="A22" s="74">
        <f>B18</f>
        <v>0</v>
      </c>
      <c r="B22" s="74">
        <f>(($O$12/(1+EXP($M$12+$N$12*A22)))-1) - ($F$12-$C$12)</f>
        <v>0</v>
      </c>
    </row>
    <row r="23" spans="1:4" x14ac:dyDescent="0.3">
      <c r="A23" s="74">
        <f>A22+(($C$18-$B$18)/$D$18)</f>
        <v>5000000</v>
      </c>
      <c r="B23" s="74">
        <f t="shared" ref="B23:B42" si="0">(($O$12/(1+EXP($M$12+$N$12*A23)))-1) - ($F$12-$C$12)</f>
        <v>120994.72060368396</v>
      </c>
      <c r="C23" s="75">
        <f>(B23-B22)/A23</f>
        <v>2.4198944120736792E-2</v>
      </c>
    </row>
    <row r="24" spans="1:4" x14ac:dyDescent="0.3">
      <c r="A24" s="74">
        <f t="shared" ref="A24:A42" si="1">A23+(($C$18-$B$18)/$D$18)</f>
        <v>10000000</v>
      </c>
      <c r="B24" s="74">
        <f t="shared" si="0"/>
        <v>236241.44401214831</v>
      </c>
      <c r="C24" s="75">
        <f t="shared" ref="C24:C42" si="2">(B24-B23)/A24</f>
        <v>1.1524672340846434E-2</v>
      </c>
    </row>
    <row r="25" spans="1:4" x14ac:dyDescent="0.3">
      <c r="A25" s="74">
        <f t="shared" si="1"/>
        <v>15000000</v>
      </c>
      <c r="B25" s="74">
        <f t="shared" si="0"/>
        <v>345913.38696239889</v>
      </c>
      <c r="C25" s="75">
        <f t="shared" si="2"/>
        <v>7.3114628633500385E-3</v>
      </c>
    </row>
    <row r="26" spans="1:4" x14ac:dyDescent="0.3">
      <c r="A26" s="74">
        <f t="shared" si="1"/>
        <v>20000000</v>
      </c>
      <c r="B26" s="74">
        <f t="shared" si="0"/>
        <v>450189.87177247368</v>
      </c>
      <c r="C26" s="75">
        <f t="shared" si="2"/>
        <v>5.2138242405037399E-3</v>
      </c>
    </row>
    <row r="27" spans="1:4" x14ac:dyDescent="0.3">
      <c r="A27" s="74">
        <f t="shared" si="1"/>
        <v>25000000</v>
      </c>
      <c r="B27" s="74">
        <f t="shared" si="0"/>
        <v>549254.72884996422</v>
      </c>
      <c r="C27" s="75">
        <f t="shared" si="2"/>
        <v>3.9625942830996217E-3</v>
      </c>
    </row>
    <row r="28" spans="1:4" x14ac:dyDescent="0.3">
      <c r="A28" s="74">
        <f t="shared" si="1"/>
        <v>30000000</v>
      </c>
      <c r="B28" s="74">
        <f t="shared" si="0"/>
        <v>643294.8343712315</v>
      </c>
      <c r="C28" s="75">
        <f t="shared" si="2"/>
        <v>3.1346701840422428E-3</v>
      </c>
    </row>
    <row r="29" spans="1:4" x14ac:dyDescent="0.3">
      <c r="A29" s="74">
        <f t="shared" si="1"/>
        <v>35000000</v>
      </c>
      <c r="B29" s="74">
        <f t="shared" si="0"/>
        <v>732498.78321923688</v>
      </c>
      <c r="C29" s="75">
        <f t="shared" si="2"/>
        <v>2.5486842528001539E-3</v>
      </c>
    </row>
    <row r="30" spans="1:4" x14ac:dyDescent="0.3">
      <c r="A30" s="74">
        <f t="shared" si="1"/>
        <v>40000000</v>
      </c>
      <c r="B30" s="74">
        <f t="shared" si="0"/>
        <v>817055.69519616477</v>
      </c>
      <c r="C30" s="75">
        <f t="shared" si="2"/>
        <v>2.1139227994231972E-3</v>
      </c>
    </row>
    <row r="31" spans="1:4" x14ac:dyDescent="0.3">
      <c r="A31" s="74">
        <f t="shared" si="1"/>
        <v>45000000</v>
      </c>
      <c r="B31" s="74">
        <f t="shared" si="0"/>
        <v>897154.15082335845</v>
      </c>
      <c r="C31" s="75">
        <f t="shared" si="2"/>
        <v>1.7799656806043039E-3</v>
      </c>
    </row>
    <row r="32" spans="1:4" x14ac:dyDescent="0.3">
      <c r="A32" s="74">
        <f t="shared" si="1"/>
        <v>50000000</v>
      </c>
      <c r="B32" s="74">
        <f t="shared" si="0"/>
        <v>972981.25168112665</v>
      </c>
      <c r="C32" s="75">
        <f t="shared" si="2"/>
        <v>1.5165420171553642E-3</v>
      </c>
    </row>
    <row r="33" spans="1:3" x14ac:dyDescent="0.3">
      <c r="A33" s="74">
        <f t="shared" si="1"/>
        <v>55000000</v>
      </c>
      <c r="B33" s="74">
        <f t="shared" si="0"/>
        <v>1044721.7991945017</v>
      </c>
      <c r="C33" s="75">
        <f t="shared" si="2"/>
        <v>1.3043735911522738E-3</v>
      </c>
    </row>
    <row r="34" spans="1:3" x14ac:dyDescent="0.3">
      <c r="A34" s="74">
        <f>A33+(($C$18-$B$18)/$D$18)</f>
        <v>60000000</v>
      </c>
      <c r="B34" s="74">
        <f t="shared" si="0"/>
        <v>1112557.585005708</v>
      </c>
      <c r="C34" s="75">
        <f t="shared" si="2"/>
        <v>1.130596430186772E-3</v>
      </c>
    </row>
    <row r="35" spans="1:3" x14ac:dyDescent="0.3">
      <c r="A35" s="74">
        <f t="shared" si="1"/>
        <v>65000000</v>
      </c>
      <c r="B35" s="74">
        <f t="shared" si="0"/>
        <v>1176666.7855561487</v>
      </c>
      <c r="C35" s="75">
        <f t="shared" si="2"/>
        <v>9.8629539308370305E-4</v>
      </c>
    </row>
    <row r="36" spans="1:3" x14ac:dyDescent="0.3">
      <c r="A36" s="74">
        <f t="shared" si="1"/>
        <v>70000000</v>
      </c>
      <c r="B36" s="74">
        <f t="shared" si="0"/>
        <v>1237223.453196086</v>
      </c>
      <c r="C36" s="75">
        <f t="shared" si="2"/>
        <v>8.6509525199910363E-4</v>
      </c>
    </row>
    <row r="37" spans="1:3" x14ac:dyDescent="0.3">
      <c r="A37" s="74">
        <f t="shared" si="1"/>
        <v>75000000</v>
      </c>
      <c r="B37" s="74">
        <f t="shared" si="0"/>
        <v>1294397.0960169062</v>
      </c>
      <c r="C37" s="75">
        <f t="shared" si="2"/>
        <v>7.623152376109362E-4</v>
      </c>
    </row>
    <row r="38" spans="1:3" x14ac:dyDescent="0.3">
      <c r="A38" s="74">
        <f t="shared" si="1"/>
        <v>80000000</v>
      </c>
      <c r="B38" s="74">
        <f t="shared" si="0"/>
        <v>1348352.3386276495</v>
      </c>
      <c r="C38" s="75">
        <f t="shared" si="2"/>
        <v>6.7444053263429084E-4</v>
      </c>
    </row>
    <row r="39" spans="1:3" x14ac:dyDescent="0.3">
      <c r="A39" s="74">
        <f t="shared" si="1"/>
        <v>85000000</v>
      </c>
      <c r="B39" s="74">
        <f t="shared" si="0"/>
        <v>1399248.6562467143</v>
      </c>
      <c r="C39" s="75">
        <f t="shared" si="2"/>
        <v>5.9878020728311551E-4</v>
      </c>
    </row>
    <row r="40" spans="1:3" x14ac:dyDescent="0.3">
      <c r="A40" s="74">
        <f t="shared" si="1"/>
        <v>90000000</v>
      </c>
      <c r="B40" s="74">
        <f t="shared" si="0"/>
        <v>1447240.1747251786</v>
      </c>
      <c r="C40" s="75">
        <f t="shared" si="2"/>
        <v>5.3323909420515932E-4</v>
      </c>
    </row>
    <row r="41" spans="1:3" x14ac:dyDescent="0.3">
      <c r="A41" s="74">
        <f>A40+(($C$18-$B$18)/$D$18)</f>
        <v>95000000</v>
      </c>
      <c r="B41" s="74">
        <f t="shared" si="0"/>
        <v>1492475.5294377916</v>
      </c>
      <c r="C41" s="75">
        <f t="shared" si="2"/>
        <v>4.7616162855382028E-4</v>
      </c>
    </row>
    <row r="42" spans="1:3" x14ac:dyDescent="0.3">
      <c r="A42" s="74">
        <f t="shared" si="1"/>
        <v>100000000</v>
      </c>
      <c r="B42" s="74">
        <f t="shared" si="0"/>
        <v>1535097.7763512079</v>
      </c>
      <c r="C42" s="75">
        <f t="shared" si="2"/>
        <v>4.2622246913416313E-4</v>
      </c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Adherence Response S Curve 3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2013-03-26T11:28:18Z</dcterms:created>
  <dcterms:modified xsi:type="dcterms:W3CDTF">2013-04-19T23:14:05Z</dcterms:modified>
</cp:coreProperties>
</file>