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36" windowWidth="10116" windowHeight="7812" activeTab="1"/>
  </bookViews>
  <sheets>
    <sheet name="Data" sheetId="1" r:id="rId1"/>
    <sheet name="HCC Response S Curve 3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Q5" i="1" l="1"/>
  <c r="I15" i="1"/>
  <c r="I16" i="1"/>
  <c r="I17" i="1"/>
  <c r="G15" i="1"/>
  <c r="H15" i="1" s="1"/>
  <c r="G16" i="1"/>
  <c r="H16" i="1" s="1"/>
  <c r="G17" i="1"/>
  <c r="H17" i="1" s="1"/>
  <c r="H12" i="3" l="1"/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N12" i="3"/>
  <c r="M12" i="3"/>
  <c r="K12" i="3"/>
  <c r="L12" i="3" s="1"/>
  <c r="H9" i="3"/>
  <c r="G9" i="3"/>
  <c r="D9" i="3" s="1"/>
  <c r="C9" i="3"/>
  <c r="B9" i="3"/>
  <c r="P5" i="1"/>
  <c r="Q12" i="3" l="1"/>
  <c r="O12" i="3"/>
  <c r="P12" i="3" s="1"/>
  <c r="F18" i="1"/>
  <c r="G18" i="1" s="1"/>
  <c r="H18" i="1" s="1"/>
  <c r="B18" i="1"/>
  <c r="F14" i="1"/>
  <c r="G14" i="1" s="1"/>
  <c r="H14" i="1" s="1"/>
  <c r="B14" i="1"/>
  <c r="G13" i="1"/>
  <c r="H13" i="1" s="1"/>
  <c r="B13" i="1"/>
  <c r="F12" i="1"/>
  <c r="B12" i="1"/>
  <c r="B42" i="3" l="1"/>
  <c r="B38" i="3"/>
  <c r="B34" i="3"/>
  <c r="B30" i="3"/>
  <c r="B26" i="3"/>
  <c r="B39" i="3"/>
  <c r="B35" i="3"/>
  <c r="B31" i="3"/>
  <c r="B27" i="3"/>
  <c r="B23" i="3"/>
  <c r="B40" i="3"/>
  <c r="B36" i="3"/>
  <c r="B32" i="3"/>
  <c r="B28" i="3"/>
  <c r="B24" i="3"/>
  <c r="E9" i="3"/>
  <c r="F9" i="3" s="1"/>
  <c r="B41" i="3"/>
  <c r="B37" i="3"/>
  <c r="B33" i="3"/>
  <c r="B29" i="3"/>
  <c r="B25" i="3"/>
  <c r="B22" i="3"/>
  <c r="C22" i="3" s="1"/>
  <c r="G12" i="1"/>
  <c r="F19" i="1"/>
  <c r="K5" i="1" s="1"/>
  <c r="E19" i="1"/>
  <c r="E5" i="1"/>
  <c r="I14" i="1" s="1"/>
  <c r="D24" i="3" l="1"/>
  <c r="C24" i="3"/>
  <c r="D35" i="3"/>
  <c r="C35" i="3"/>
  <c r="C25" i="3"/>
  <c r="D25" i="3"/>
  <c r="C41" i="3"/>
  <c r="D41" i="3"/>
  <c r="D32" i="3"/>
  <c r="C32" i="3"/>
  <c r="D27" i="3"/>
  <c r="C27" i="3"/>
  <c r="C26" i="3"/>
  <c r="D26" i="3"/>
  <c r="C42" i="3"/>
  <c r="D42" i="3"/>
  <c r="C29" i="3"/>
  <c r="D29" i="3"/>
  <c r="D36" i="3"/>
  <c r="C36" i="3"/>
  <c r="D31" i="3"/>
  <c r="C31" i="3"/>
  <c r="C30" i="3"/>
  <c r="D30" i="3"/>
  <c r="C33" i="3"/>
  <c r="D33" i="3"/>
  <c r="D40" i="3"/>
  <c r="C40" i="3"/>
  <c r="C34" i="3"/>
  <c r="D34" i="3"/>
  <c r="C37" i="3"/>
  <c r="D37" i="3"/>
  <c r="D28" i="3"/>
  <c r="C28" i="3"/>
  <c r="D23" i="3"/>
  <c r="C23" i="3"/>
  <c r="D39" i="3"/>
  <c r="C39" i="3"/>
  <c r="C38" i="3"/>
  <c r="D38" i="3"/>
  <c r="H12" i="1"/>
  <c r="H19" i="1" s="1"/>
  <c r="G19" i="1"/>
  <c r="I18" i="1"/>
  <c r="I13" i="1"/>
  <c r="I12" i="1" l="1"/>
  <c r="I19" i="1" s="1"/>
  <c r="I20" i="1" l="1"/>
  <c r="L5" i="1"/>
  <c r="S5" i="1" s="1"/>
  <c r="T5" i="1" s="1"/>
  <c r="M5" i="1" l="1"/>
  <c r="N5" i="1"/>
</calcChain>
</file>

<file path=xl/comments1.xml><?xml version="1.0" encoding="utf-8"?>
<comments xmlns="http://schemas.openxmlformats.org/spreadsheetml/2006/main">
  <authors>
    <author>Merck &amp; Co., Inc.</author>
    <author>Jane Folske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F12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Ennis's sheet shows a total of $1.3MM for the first two line items shown here.</t>
        </r>
      </text>
    </comment>
    <comment ref="F14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Ennis's sheet shows $680k for RxEdge</t>
        </r>
      </text>
    </comment>
  </commentList>
</comments>
</file>

<file path=xl/sharedStrings.xml><?xml version="1.0" encoding="utf-8"?>
<sst xmlns="http://schemas.openxmlformats.org/spreadsheetml/2006/main" count="142" uniqueCount="133">
  <si>
    <t>YEAR</t>
  </si>
  <si>
    <t>MEDIA TYPE</t>
  </si>
  <si>
    <t>PRE-TAX SPEND</t>
  </si>
  <si>
    <t>AFTER-TAX REVENUE</t>
  </si>
  <si>
    <t>INCREMENTAL NRX</t>
  </si>
  <si>
    <t>CURVE TYPE</t>
  </si>
  <si>
    <t>assumed</t>
  </si>
  <si>
    <t>SOURCE</t>
  </si>
  <si>
    <t>ROI</t>
  </si>
  <si>
    <t>VERSION</t>
  </si>
  <si>
    <t>PRE-TAX REVENUE</t>
  </si>
  <si>
    <t>MIN PT SPEND</t>
  </si>
  <si>
    <t>MAX PT SPEND</t>
  </si>
  <si>
    <t>MAX Y</t>
  </si>
  <si>
    <t>tax rate on revenue</t>
  </si>
  <si>
    <t>Parameters for back-calculation of Incremental NRx</t>
  </si>
  <si>
    <t>after-tax 3-year NPV/new patient</t>
  </si>
  <si>
    <t>NOTES</t>
  </si>
  <si>
    <t>Total planned 2013 spend (Ennis):</t>
  </si>
  <si>
    <t>Merck Diabetes Franchise Pharmacy Acquisition Programs: Incremental NRx per Tactic with ROI, Spend and Incremental Revenue</t>
  </si>
  <si>
    <t>FE&amp;A</t>
  </si>
  <si>
    <t xml:space="preserve">see "Chris1 2013 SAP Numbers (2)" Excel workbook in Diabetes Deep Dive folder on IPF team space for ROI estimates for first three entries </t>
  </si>
  <si>
    <t>Analogy</t>
  </si>
  <si>
    <t>based on multi-cultural pilot 2nd report out</t>
  </si>
  <si>
    <t>note: the numbers that Chris Yothers provided (HCC media planned investments) do not match the planned 2013 spend numbers on David Ennis' spreadsheet. This is likely a timing issue.</t>
  </si>
  <si>
    <t>Total</t>
  </si>
  <si>
    <t>Max Y Assumptions</t>
  </si>
  <si>
    <t>2013 Planned Spend for HCC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</si>
  <si>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NRx in 2012</t>
    </r>
  </si>
  <si>
    <t>Pre-Tax Spend</t>
  </si>
  <si>
    <t>Estimated Incr. NRx</t>
  </si>
  <si>
    <t>Estimated Incr. NRx (as % of NPA NRx)</t>
  </si>
  <si>
    <t>Anticipated Max Incr. NRx</t>
  </si>
  <si>
    <t>Includes the Consumer Media and Consumer Multicultural (MC) spends</t>
  </si>
  <si>
    <t>HCC Pharmacy Acquisition Spend per Incr. NRx</t>
  </si>
  <si>
    <t>Anticipated Max Incr. NRx (in %) when HCC spend is increased to infinity</t>
  </si>
  <si>
    <t>Purpose</t>
  </si>
  <si>
    <t>Creates a S type curve given (Xcurr,Ycurr), Ymin, Ymax. Uses equation proposed by Lodish.</t>
  </si>
  <si>
    <t>Product</t>
  </si>
  <si>
    <t>Jantot</t>
  </si>
  <si>
    <t>X unit</t>
  </si>
  <si>
    <t>Spend $</t>
  </si>
  <si>
    <t>Note 1: YELLOW cells need user input (some or optional)</t>
  </si>
  <si>
    <t>Channel</t>
  </si>
  <si>
    <t>Y unit</t>
  </si>
  <si>
    <t>Incr. NRx</t>
  </si>
  <si>
    <t>Ybase</t>
  </si>
  <si>
    <t xml:space="preserve"> NRx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</si>
  <si>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</si>
  <si>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</si>
  <si>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</si>
  <si>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</si>
  <si>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</si>
  <si>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</si>
  <si>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</si>
  <si>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</si>
  <si>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</si>
  <si>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</si>
  <si>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</si>
  <si>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</si>
  <si>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</si>
  <si>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</si>
  <si>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</si>
  <si>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</si>
  <si>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</si>
  <si>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</si>
  <si>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</si>
  <si>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</si>
  <si>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</si>
  <si>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</si>
  <si>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</si>
  <si>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</si>
  <si>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</si>
  <si>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</si>
  <si>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</si>
  <si>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</si>
  <si>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</si>
  <si>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</si>
  <si>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</si>
  <si>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</si>
  <si>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</si>
  <si>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</si>
  <si>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</si>
  <si>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X</t>
  </si>
  <si>
    <t>YT unit</t>
  </si>
  <si>
    <t>Incr. TRx</t>
  </si>
  <si>
    <t>HCC Pharmacy Acquisition</t>
  </si>
  <si>
    <t>Optimal YT value</t>
  </si>
  <si>
    <t>Multiplication Factor (3yr Adherence Rxs)</t>
  </si>
  <si>
    <t>YT Current</t>
  </si>
  <si>
    <t>YT (Incr. TRx)</t>
  </si>
  <si>
    <t>Y (Incr. NRx)</t>
  </si>
  <si>
    <t>3-Year Adherence Rxs of a New patient</t>
  </si>
  <si>
    <t>Estimated Incr. TRx</t>
  </si>
  <si>
    <t>HCC Spend per Incr. TRx</t>
  </si>
  <si>
    <t>* Note: The above marroon colored values are used to construct lodish type response curve for Acquisition programs</t>
  </si>
  <si>
    <t>Summary</t>
  </si>
  <si>
    <r>
      <rPr>
        <b/>
        <sz val="11"/>
        <color theme="1"/>
        <rFont val="Calibri"/>
        <family val="2"/>
        <scheme val="minor"/>
      </rPr>
      <t>5/10/2013</t>
    </r>
    <r>
      <rPr>
        <sz val="11"/>
        <color theme="1"/>
        <rFont val="Calibri"/>
        <family val="2"/>
        <scheme val="minor"/>
      </rPr>
      <t xml:space="preserve"> from Chris Yothers</t>
    </r>
  </si>
  <si>
    <t>SU Mono</t>
  </si>
  <si>
    <t>Glyburide Mono</t>
  </si>
  <si>
    <t>Glyburide + any ODA (excluding DPP4)</t>
  </si>
  <si>
    <t>2/21/2013 &amp; 5/10/2013  from Chris Yothers</t>
  </si>
  <si>
    <t>Chris</t>
  </si>
  <si>
    <r>
      <rPr>
        <b/>
        <sz val="11"/>
        <color theme="1"/>
        <rFont val="Calibri"/>
        <family val="2"/>
        <scheme val="minor"/>
      </rPr>
      <t>5/10/2013</t>
    </r>
    <r>
      <rPr>
        <sz val="11"/>
        <color theme="1"/>
        <rFont val="Calibri"/>
        <family val="2"/>
        <scheme val="minor"/>
      </rPr>
      <t xml:space="preserve"> from Chris Yothers (3 to 4 ROI)</t>
    </r>
  </si>
  <si>
    <r>
      <t xml:space="preserve">5/10/2013 </t>
    </r>
    <r>
      <rPr>
        <sz val="11"/>
        <color theme="1"/>
        <rFont val="Calibri"/>
        <family val="2"/>
        <scheme val="minor"/>
      </rPr>
      <t>from Chris Yothers (3 to 4 ROI)</t>
    </r>
  </si>
  <si>
    <t>Pharmacy Acquisition ROI’s:</t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</si>
  <si>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 xml:space="preserve">Met+SU: 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</si>
  <si>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1 YR Projected ROI: 4.42:1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</si>
  <si>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3 YR Projected ROI: 8.44: 1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</si>
  <si>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SU Mono: Would recommend keeping it at a 3 or 4:1 ROI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</si>
  <si>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 xml:space="preserve">Glyburide Mono: 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</si>
  <si>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3 Yr Projected ROI: 3 or 4:1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</si>
  <si>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Glyburide+ any ODA (excluding DPP4s)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</si>
  <si>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Met-Mono: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</si>
  <si>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3 Yr Projected ROI: 2 or 3: 1 ROI</t>
    </r>
  </si>
  <si>
    <t xml:space="preserve">Pharmacy Acquisition Investment Costs (2013): Total: $3,535,945  </t>
  </si>
  <si>
    <t>Catalina: (Total: $2.145,899)</t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</si>
  <si>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Met+Mono: $1.2MM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</si>
  <si>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Met+SU: $496,126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</si>
  <si>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SU Mono: $340,200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</si>
  <si>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Glyburide Mono: $16,401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</si>
  <si>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Glyburide + Any ODA (Excluding DPP4s): $93,172</t>
    </r>
  </si>
  <si>
    <t>LDM: (Total: $304,380)</t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</si>
  <si>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Glyburide Mono: $39,569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</si>
  <si>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Glyburide + Any ODA (Excluding DPP4s): $264,811</t>
    </r>
  </si>
  <si>
    <t>RxEdge: $783K</t>
  </si>
  <si>
    <t>Hispanic Pharmacy: $302,666</t>
  </si>
  <si>
    <t>In terms of the min/max for Pharmacy Acquisition: lets go with ~$3.5 to $4.0MM min with a max of $5.0MM</t>
  </si>
  <si>
    <t>For adherence, let’s use the min of $12MM and max of $16MM or $17MM</t>
  </si>
  <si>
    <t>From 5/10/2013 email from Chris:</t>
  </si>
  <si>
    <t>Total planned 2013 spend (Chris Yothers on 5/10/2013):</t>
  </si>
  <si>
    <t>USE ths latest numbers as the 2013 budget.</t>
  </si>
  <si>
    <t>Projection to Incr. TRx scale (2013 spend)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</si>
</sst>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&quot;$&quot;#,##0"/>
    <numFmt numFmtId="168" formatCode="#,##0.0_);\(#,##0.0\)"/>
    <numFmt numFmtId="169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0000FF"/>
      <name val="Segoe UI"/>
      <family val="2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Symbol"/>
      <family val="1"/>
      <charset val="2"/>
    </font>
    <font>
      <sz val="7"/>
      <color rgb="FF1F497D"/>
      <name val="Times New Roman"/>
      <family val="1"/>
    </font>
    <font>
      <sz val="11"/>
      <color rgb="FF1F497D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/>
    <xf numFmtId="9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35" applyNumberFormat="0" applyFill="0" applyAlignment="0" applyProtection="0"/>
    <xf numFmtId="0" fontId="22" fillId="0" borderId="36" applyNumberFormat="0" applyFill="0" applyAlignment="0" applyProtection="0"/>
    <xf numFmtId="0" fontId="23" fillId="0" borderId="37" applyNumberFormat="0" applyFill="0" applyAlignment="0" applyProtection="0"/>
    <xf numFmtId="0" fontId="23" fillId="0" borderId="0" applyNumberFormat="0" applyFill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38" applyNumberFormat="0" applyAlignment="0" applyProtection="0"/>
    <xf numFmtId="0" fontId="28" fillId="19" borderId="39" applyNumberFormat="0" applyAlignment="0" applyProtection="0"/>
    <xf numFmtId="0" fontId="29" fillId="19" borderId="38" applyNumberFormat="0" applyAlignment="0" applyProtection="0"/>
    <xf numFmtId="0" fontId="30" fillId="0" borderId="40" applyNumberFormat="0" applyFill="0" applyAlignment="0" applyProtection="0"/>
    <xf numFmtId="0" fontId="2" fillId="20" borderId="41" applyNumberFormat="0" applyAlignment="0" applyProtection="0"/>
    <xf numFmtId="0" fontId="31" fillId="0" borderId="0" applyNumberFormat="0" applyFill="0" applyBorder="0" applyAlignment="0" applyProtection="0"/>
    <xf numFmtId="0" fontId="1" fillId="21" borderId="42" applyNumberFormat="0" applyFont="0" applyAlignment="0" applyProtection="0"/>
    <xf numFmtId="0" fontId="32" fillId="0" borderId="0" applyNumberFormat="0" applyFill="0" applyBorder="0" applyAlignment="0" applyProtection="0"/>
    <xf numFmtId="0" fontId="7" fillId="0" borderId="43" applyNumberFormat="0" applyFill="0" applyAlignment="0" applyProtection="0"/>
    <xf numFmtId="0" fontId="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" fillId="34" borderId="0" applyNumberFormat="0" applyBorder="0" applyAlignment="0" applyProtection="0"/>
    <xf numFmtId="0" fontId="3" fillId="35" borderId="0" applyNumberFormat="0" applyBorder="0" applyAlignment="0" applyProtection="0"/>
    <xf numFmtId="0" fontId="1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28">
    <xf numFmtId="0" fontId="0" fillId="0" borderId="0" xfId="0"/>
    <xf numFmtId="164" fontId="0" fillId="0" borderId="0" xfId="1" applyNumberFormat="1" applyFont="1"/>
    <xf numFmtId="0" fontId="3" fillId="2" borderId="0" xfId="2"/>
    <xf numFmtId="5" fontId="3" fillId="2" borderId="0" xfId="2" applyNumberFormat="1"/>
    <xf numFmtId="0" fontId="0" fillId="0" borderId="0" xfId="0" applyFill="1"/>
    <xf numFmtId="0" fontId="3" fillId="0" borderId="0" xfId="2" applyFill="1"/>
    <xf numFmtId="5" fontId="3" fillId="0" borderId="0" xfId="2" applyNumberFormat="1" applyFill="1"/>
    <xf numFmtId="0" fontId="6" fillId="4" borderId="0" xfId="4" applyFont="1"/>
    <xf numFmtId="0" fontId="6" fillId="0" borderId="0" xfId="0" applyFont="1"/>
    <xf numFmtId="0" fontId="1" fillId="5" borderId="0" xfId="5"/>
    <xf numFmtId="164" fontId="1" fillId="5" borderId="0" xfId="5" applyNumberFormat="1"/>
    <xf numFmtId="165" fontId="1" fillId="5" borderId="0" xfId="5" applyNumberFormat="1"/>
    <xf numFmtId="0" fontId="0" fillId="5" borderId="0" xfId="5" applyFont="1"/>
    <xf numFmtId="0" fontId="0" fillId="5" borderId="0" xfId="5" applyFont="1" applyAlignment="1">
      <alignment horizontal="left" indent="2"/>
    </xf>
    <xf numFmtId="0" fontId="1" fillId="6" borderId="0" xfId="6"/>
    <xf numFmtId="0" fontId="0" fillId="6" borderId="0" xfId="6" applyFont="1"/>
    <xf numFmtId="14" fontId="0" fillId="5" borderId="0" xfId="5" applyNumberFormat="1" applyFont="1"/>
    <xf numFmtId="164" fontId="1" fillId="6" borderId="0" xfId="1" applyNumberFormat="1" applyFill="1"/>
    <xf numFmtId="0" fontId="0" fillId="7" borderId="0" xfId="0" applyFill="1"/>
    <xf numFmtId="0" fontId="7" fillId="7" borderId="0" xfId="0" applyFont="1" applyFill="1"/>
    <xf numFmtId="3" fontId="1" fillId="6" borderId="0" xfId="6" applyNumberFormat="1"/>
    <xf numFmtId="166" fontId="7" fillId="5" borderId="0" xfId="5" applyNumberFormat="1" applyFont="1"/>
    <xf numFmtId="0" fontId="7" fillId="6" borderId="0" xfId="6" applyFont="1"/>
    <xf numFmtId="164" fontId="0" fillId="7" borderId="0" xfId="0" applyNumberFormat="1" applyFill="1"/>
    <xf numFmtId="164" fontId="7" fillId="7" borderId="0" xfId="0" applyNumberFormat="1" applyFont="1" applyFill="1"/>
    <xf numFmtId="165" fontId="7" fillId="7" borderId="0" xfId="0" applyNumberFormat="1" applyFont="1" applyFill="1"/>
    <xf numFmtId="0" fontId="8" fillId="4" borderId="0" xfId="4" applyFont="1"/>
    <xf numFmtId="0" fontId="7" fillId="9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7" fillId="9" borderId="1" xfId="0" applyFont="1" applyFill="1" applyBorder="1" applyAlignment="1">
      <alignment horizontal="center" vertical="center" wrapText="1"/>
    </xf>
    <xf numFmtId="44" fontId="7" fillId="9" borderId="1" xfId="1" applyFont="1" applyFill="1" applyBorder="1"/>
    <xf numFmtId="3" fontId="11" fillId="0" borderId="1" xfId="0" applyNumberFormat="1" applyFont="1" applyBorder="1"/>
    <xf numFmtId="164" fontId="12" fillId="9" borderId="1" xfId="0" applyNumberFormat="1" applyFont="1" applyFill="1" applyBorder="1"/>
    <xf numFmtId="165" fontId="12" fillId="9" borderId="1" xfId="0" applyNumberFormat="1" applyFont="1" applyFill="1" applyBorder="1"/>
    <xf numFmtId="10" fontId="7" fillId="9" borderId="1" xfId="8" applyNumberFormat="1" applyFont="1" applyFill="1" applyBorder="1"/>
    <xf numFmtId="165" fontId="12" fillId="9" borderId="1" xfId="7" applyNumberFormat="1" applyFont="1" applyFill="1" applyBorder="1"/>
    <xf numFmtId="0" fontId="14" fillId="0" borderId="0" xfId="0" applyFont="1" applyFill="1"/>
    <xf numFmtId="10" fontId="7" fillId="7" borderId="1" xfId="8" applyNumberFormat="1" applyFont="1" applyFill="1" applyBorder="1"/>
    <xf numFmtId="164" fontId="13" fillId="9" borderId="1" xfId="0" applyNumberFormat="1" applyFont="1" applyFill="1" applyBorder="1" applyAlignment="1">
      <alignment horizontal="center"/>
    </xf>
    <xf numFmtId="44" fontId="7" fillId="9" borderId="1" xfId="1" applyFont="1" applyFill="1" applyBorder="1" applyAlignment="1">
      <alignment wrapText="1"/>
    </xf>
    <xf numFmtId="0" fontId="15" fillId="11" borderId="2" xfId="0" applyFont="1" applyFill="1" applyBorder="1"/>
    <xf numFmtId="0" fontId="16" fillId="0" borderId="0" xfId="0" applyFont="1"/>
    <xf numFmtId="0" fontId="15" fillId="11" borderId="3" xfId="0" applyFont="1" applyFill="1" applyBorder="1"/>
    <xf numFmtId="0" fontId="16" fillId="12" borderId="4" xfId="0" applyFont="1" applyFill="1" applyBorder="1"/>
    <xf numFmtId="0" fontId="15" fillId="11" borderId="4" xfId="0" applyFont="1" applyFill="1" applyBorder="1"/>
    <xf numFmtId="0" fontId="16" fillId="12" borderId="5" xfId="0" applyFont="1" applyFill="1" applyBorder="1"/>
    <xf numFmtId="0" fontId="16" fillId="12" borderId="6" xfId="0" applyFont="1" applyFill="1" applyBorder="1" applyAlignment="1">
      <alignment horizontal="left"/>
    </xf>
    <xf numFmtId="0" fontId="16" fillId="12" borderId="7" xfId="0" applyFont="1" applyFill="1" applyBorder="1" applyAlignment="1">
      <alignment horizontal="left"/>
    </xf>
    <xf numFmtId="0" fontId="16" fillId="12" borderId="8" xfId="0" applyFont="1" applyFill="1" applyBorder="1" applyAlignment="1">
      <alignment horizontal="left"/>
    </xf>
    <xf numFmtId="0" fontId="15" fillId="11" borderId="9" xfId="0" applyFont="1" applyFill="1" applyBorder="1"/>
    <xf numFmtId="0" fontId="16" fillId="12" borderId="10" xfId="0" applyFont="1" applyFill="1" applyBorder="1"/>
    <xf numFmtId="0" fontId="15" fillId="11" borderId="11" xfId="0" applyFont="1" applyFill="1" applyBorder="1"/>
    <xf numFmtId="9" fontId="16" fillId="0" borderId="0" xfId="0" applyNumberFormat="1" applyFont="1"/>
    <xf numFmtId="0" fontId="15" fillId="11" borderId="1" xfId="0" applyFont="1" applyFill="1" applyBorder="1" applyAlignment="1">
      <alignment horizontal="center" vertical="center" wrapText="1"/>
    </xf>
    <xf numFmtId="164" fontId="16" fillId="12" borderId="24" xfId="1" applyNumberFormat="1" applyFont="1" applyFill="1" applyBorder="1"/>
    <xf numFmtId="3" fontId="16" fillId="12" borderId="24" xfId="0" applyNumberFormat="1" applyFont="1" applyFill="1" applyBorder="1"/>
    <xf numFmtId="0" fontId="15" fillId="11" borderId="4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6" fillId="12" borderId="24" xfId="0" applyFont="1" applyFill="1" applyBorder="1"/>
    <xf numFmtId="165" fontId="16" fillId="12" borderId="27" xfId="7" applyNumberFormat="1" applyFont="1" applyFill="1" applyBorder="1"/>
    <xf numFmtId="167" fontId="16" fillId="12" borderId="24" xfId="1" applyNumberFormat="1" applyFont="1" applyFill="1" applyBorder="1"/>
    <xf numFmtId="167" fontId="16" fillId="12" borderId="24" xfId="0" applyNumberFormat="1" applyFont="1" applyFill="1" applyBorder="1"/>
    <xf numFmtId="0" fontId="16" fillId="14" borderId="27" xfId="0" applyFont="1" applyFill="1" applyBorder="1"/>
    <xf numFmtId="0" fontId="16" fillId="0" borderId="1" xfId="0" applyFont="1" applyBorder="1"/>
    <xf numFmtId="37" fontId="16" fillId="0" borderId="1" xfId="0" applyNumberFormat="1" applyFont="1" applyBorder="1"/>
    <xf numFmtId="0" fontId="16" fillId="12" borderId="2" xfId="0" applyFont="1" applyFill="1" applyBorder="1" applyAlignment="1">
      <alignment wrapText="1"/>
    </xf>
    <xf numFmtId="37" fontId="7" fillId="9" borderId="1" xfId="1" applyNumberFormat="1" applyFont="1" applyFill="1" applyBorder="1"/>
    <xf numFmtId="0" fontId="15" fillId="11" borderId="4" xfId="0" applyFont="1" applyFill="1" applyBorder="1"/>
    <xf numFmtId="0" fontId="16" fillId="12" borderId="5" xfId="0" applyFont="1" applyFill="1" applyBorder="1"/>
    <xf numFmtId="0" fontId="15" fillId="11" borderId="1" xfId="0" applyFont="1" applyFill="1" applyBorder="1" applyAlignment="1">
      <alignment horizontal="center" vertical="center" wrapText="1"/>
    </xf>
    <xf numFmtId="0" fontId="15" fillId="11" borderId="20" xfId="0" applyFont="1" applyFill="1" applyBorder="1" applyAlignment="1">
      <alignment horizontal="center" vertical="center" wrapText="1"/>
    </xf>
    <xf numFmtId="0" fontId="15" fillId="11" borderId="21" xfId="0" applyFont="1" applyFill="1" applyBorder="1" applyAlignment="1">
      <alignment horizontal="center" vertical="center" wrapText="1"/>
    </xf>
    <xf numFmtId="0" fontId="15" fillId="11" borderId="8" xfId="0" applyFont="1" applyFill="1" applyBorder="1" applyAlignment="1">
      <alignment horizontal="center" vertical="center" wrapText="1"/>
    </xf>
    <xf numFmtId="0" fontId="15" fillId="11" borderId="22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6" fillId="14" borderId="24" xfId="0" applyFont="1" applyFill="1" applyBorder="1" applyAlignment="1">
      <alignment horizontal="center" vertical="center" wrapText="1"/>
    </xf>
    <xf numFmtId="164" fontId="16" fillId="12" borderId="24" xfId="1" applyNumberFormat="1" applyFont="1" applyFill="1" applyBorder="1"/>
    <xf numFmtId="164" fontId="17" fillId="13" borderId="25" xfId="1" applyNumberFormat="1" applyFont="1" applyFill="1" applyBorder="1"/>
    <xf numFmtId="165" fontId="16" fillId="14" borderId="24" xfId="0" applyNumberFormat="1" applyFont="1" applyFill="1" applyBorder="1" applyAlignment="1">
      <alignment horizontal="center" vertical="center" wrapText="1"/>
    </xf>
    <xf numFmtId="164" fontId="16" fillId="14" borderId="24" xfId="1" applyNumberFormat="1" applyFont="1" applyFill="1" applyBorder="1" applyAlignment="1">
      <alignment horizontal="center" vertical="center" wrapText="1"/>
    </xf>
    <xf numFmtId="0" fontId="16" fillId="14" borderId="24" xfId="0" applyNumberFormat="1" applyFont="1" applyFill="1" applyBorder="1" applyAlignment="1">
      <alignment horizontal="center" vertical="center" wrapText="1"/>
    </xf>
    <xf numFmtId="165" fontId="16" fillId="14" borderId="27" xfId="0" applyNumberFormat="1" applyFont="1" applyFill="1" applyBorder="1" applyAlignment="1">
      <alignment horizontal="center" vertical="center" wrapText="1"/>
    </xf>
    <xf numFmtId="0" fontId="15" fillId="11" borderId="44" xfId="0" applyFont="1" applyFill="1" applyBorder="1" applyAlignment="1">
      <alignment horizontal="center" vertical="center" wrapText="1"/>
    </xf>
    <xf numFmtId="3" fontId="17" fillId="13" borderId="45" xfId="0" applyNumberFormat="1" applyFont="1" applyFill="1" applyBorder="1"/>
    <xf numFmtId="3" fontId="17" fillId="13" borderId="24" xfId="0" applyNumberFormat="1" applyFont="1" applyFill="1" applyBorder="1"/>
    <xf numFmtId="3" fontId="16" fillId="12" borderId="27" xfId="0" applyNumberFormat="1" applyFont="1" applyFill="1" applyBorder="1"/>
    <xf numFmtId="168" fontId="7" fillId="7" borderId="0" xfId="0" applyNumberFormat="1" applyFont="1" applyFill="1"/>
    <xf numFmtId="0" fontId="16" fillId="0" borderId="0" xfId="0" applyFont="1"/>
    <xf numFmtId="0" fontId="15" fillId="11" borderId="1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165" fontId="16" fillId="14" borderId="24" xfId="0" applyNumberFormat="1" applyFont="1" applyFill="1" applyBorder="1" applyAlignment="1">
      <alignment horizontal="center" vertical="center" wrapText="1"/>
    </xf>
    <xf numFmtId="43" fontId="16" fillId="12" borderId="27" xfId="7" applyNumberFormat="1" applyFont="1" applyFill="1" applyBorder="1"/>
    <xf numFmtId="44" fontId="7" fillId="9" borderId="1" xfId="1" applyFont="1" applyFill="1" applyBorder="1"/>
    <xf numFmtId="44" fontId="7" fillId="9" borderId="1" xfId="1" applyFont="1" applyFill="1" applyBorder="1" applyAlignment="1">
      <alignment wrapText="1"/>
    </xf>
    <xf numFmtId="39" fontId="7" fillId="9" borderId="1" xfId="1" applyNumberFormat="1" applyFont="1" applyFill="1" applyBorder="1"/>
    <xf numFmtId="14" fontId="7" fillId="5" borderId="0" xfId="5" applyNumberFormat="1" applyFont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left" vertical="center" indent="5"/>
    </xf>
    <xf numFmtId="0" fontId="37" fillId="0" borderId="0" xfId="0" applyFont="1" applyAlignment="1">
      <alignment horizontal="left" vertical="center" indent="10"/>
    </xf>
    <xf numFmtId="0" fontId="34" fillId="0" borderId="0" xfId="0" applyFont="1" applyAlignment="1">
      <alignment horizontal="left" vertical="center" indent="2"/>
    </xf>
    <xf numFmtId="0" fontId="33" fillId="0" borderId="0" xfId="0" applyFont="1" applyAlignment="1">
      <alignment horizontal="left" vertical="center" indent="5"/>
    </xf>
    <xf numFmtId="169" fontId="12" fillId="9" borderId="1" xfId="0" applyNumberFormat="1" applyFont="1" applyFill="1" applyBorder="1"/>
    <xf numFmtId="0" fontId="2" fillId="3" borderId="0" xfId="3" applyFont="1" applyAlignment="1">
      <alignment horizontal="center"/>
    </xf>
    <xf numFmtId="0" fontId="7" fillId="8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16" fillId="11" borderId="12" xfId="0" applyFont="1" applyFill="1" applyBorder="1" applyAlignment="1">
      <alignment horizontal="center" wrapText="1"/>
    </xf>
    <xf numFmtId="0" fontId="16" fillId="11" borderId="13" xfId="0" applyFont="1" applyFill="1" applyBorder="1" applyAlignment="1">
      <alignment horizontal="center" wrapText="1"/>
    </xf>
    <xf numFmtId="0" fontId="15" fillId="11" borderId="3" xfId="0" applyFont="1" applyFill="1" applyBorder="1" applyAlignment="1">
      <alignment horizontal="center" vertical="center" wrapText="1"/>
    </xf>
    <xf numFmtId="0" fontId="15" fillId="11" borderId="19" xfId="0" applyFont="1" applyFill="1" applyBorder="1" applyAlignment="1">
      <alignment horizontal="center" vertical="center" wrapText="1"/>
    </xf>
    <xf numFmtId="0" fontId="15" fillId="11" borderId="23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horizontal="center" vertical="center" wrapText="1"/>
    </xf>
    <xf numFmtId="0" fontId="15" fillId="11" borderId="15" xfId="0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0" fontId="15" fillId="11" borderId="16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31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 wrapText="1"/>
    </xf>
    <xf numFmtId="0" fontId="15" fillId="11" borderId="26" xfId="0" applyFont="1" applyFill="1" applyBorder="1" applyAlignment="1">
      <alignment horizontal="center" vertical="center" wrapText="1"/>
    </xf>
    <xf numFmtId="0" fontId="15" fillId="11" borderId="28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8" xfId="0" applyFont="1" applyFill="1" applyBorder="1" applyAlignment="1">
      <alignment horizontal="center" vertical="center" wrapText="1"/>
    </xf>
  </cellXfs>
  <cellStyles count="53">
    <cellStyle name="20% - Accent1" xfId="35" builtinId="30" customBuiltin="1"/>
    <cellStyle name="20% - Accent2" xfId="38" builtinId="34" customBuiltin="1"/>
    <cellStyle name="20% - Accent3" xfId="42" builtinId="38" customBuiltin="1"/>
    <cellStyle name="20% - Accent4" xfId="46" builtinId="42" customBuiltin="1"/>
    <cellStyle name="20% - Accent5" xfId="48" builtinId="46" customBuiltin="1"/>
    <cellStyle name="20% - Accent6" xfId="51" builtinId="50" customBuiltin="1"/>
    <cellStyle name="40% - Accent1" xfId="36" builtinId="31" customBuiltin="1"/>
    <cellStyle name="40% - Accent2" xfId="39" builtinId="35" customBuiltin="1"/>
    <cellStyle name="40% - Accent3" xfId="43" builtinId="39" customBuiltin="1"/>
    <cellStyle name="40% - Accent4" xfId="5" builtinId="43" customBuiltin="1"/>
    <cellStyle name="40% - Accent5" xfId="6" builtinId="47" customBuiltin="1"/>
    <cellStyle name="40% - Accent6" xfId="52" builtinId="51" customBuiltin="1"/>
    <cellStyle name="60% - Accent1" xfId="2" builtinId="32" customBuiltin="1"/>
    <cellStyle name="60% - Accent2" xfId="40" builtinId="36" customBuiltin="1"/>
    <cellStyle name="60% - Accent3" xfId="44" builtinId="40" customBuiltin="1"/>
    <cellStyle name="60% - Accent4" xfId="3" builtinId="44" customBuiltin="1"/>
    <cellStyle name="60% - Accent5" xfId="49" builtinId="48" customBuiltin="1"/>
    <cellStyle name="60% - Accent6" xfId="4" builtinId="52" customBuiltin="1"/>
    <cellStyle name="Accent1" xfId="34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7" builtinId="45" customBuiltin="1"/>
    <cellStyle name="Accent6" xfId="50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Comma" xfId="7" builtinId="3"/>
    <cellStyle name="Comma 2" xfId="9"/>
    <cellStyle name="Comma 2 2" xfId="10"/>
    <cellStyle name="Comma 2 3" xfId="11"/>
    <cellStyle name="Currency" xfId="1" builtinId="4"/>
    <cellStyle name="Currency 2" xfId="12"/>
    <cellStyle name="Explanatory Text" xfId="32" builtinId="53" customBuilti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13"/>
    <cellStyle name="Normal 2 2" xfId="14"/>
    <cellStyle name="Normal 2 3" xfId="15"/>
    <cellStyle name="Note" xfId="31" builtinId="10" customBuiltin="1"/>
    <cellStyle name="Output" xfId="26" builtinId="21" customBuiltin="1"/>
    <cellStyle name="Percent" xfId="8" builtinId="5"/>
    <cellStyle name="Percent 2" xfId="16"/>
    <cellStyle name="Title" xfId="17" builtinId="15" customBuiltin="1"/>
    <cellStyle name="Total" xfId="33" builtinId="25" customBuiltin="1"/>
    <cellStyle name="Warning Text" xfId="3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NRx)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3'!$B$12</c:f>
              <c:numCache>
                <c:formatCode>_("$"* #,##0_);_("$"* \(#,##0\);_("$"* "-"??_);_(@_)</c:formatCode>
                <c:ptCount val="1"/>
                <c:pt idx="0">
                  <c:v>3535945</c:v>
                </c:pt>
              </c:numCache>
            </c:numRef>
          </c:xVal>
          <c:yVal>
            <c:numRef>
              <c:f>'HCC Response S Curve 3'!$C$12</c:f>
              <c:numCache>
                <c:formatCode>#,##0</c:formatCode>
                <c:ptCount val="1"/>
                <c:pt idx="0">
                  <c:v>7217.0236607678644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3'!$D$3</c:f>
              <c:strCache>
                <c:ptCount val="1"/>
                <c:pt idx="0">
                  <c:v>Incr. NRx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1500000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7500000</c:v>
                </c:pt>
                <c:pt idx="6">
                  <c:v>9000000</c:v>
                </c:pt>
                <c:pt idx="7">
                  <c:v>10500000</c:v>
                </c:pt>
                <c:pt idx="8">
                  <c:v>12000000</c:v>
                </c:pt>
                <c:pt idx="9">
                  <c:v>13500000</c:v>
                </c:pt>
                <c:pt idx="10">
                  <c:v>15000000</c:v>
                </c:pt>
                <c:pt idx="11">
                  <c:v>16500000</c:v>
                </c:pt>
                <c:pt idx="12">
                  <c:v>18000000</c:v>
                </c:pt>
                <c:pt idx="13">
                  <c:v>19500000</c:v>
                </c:pt>
                <c:pt idx="14">
                  <c:v>21000000</c:v>
                </c:pt>
                <c:pt idx="15">
                  <c:v>22500000</c:v>
                </c:pt>
                <c:pt idx="16">
                  <c:v>24000000</c:v>
                </c:pt>
                <c:pt idx="17">
                  <c:v>25500000</c:v>
                </c:pt>
                <c:pt idx="18">
                  <c:v>27000000</c:v>
                </c:pt>
                <c:pt idx="19">
                  <c:v>28500000</c:v>
                </c:pt>
                <c:pt idx="20">
                  <c:v>30000000</c:v>
                </c:pt>
              </c:numCache>
            </c:numRef>
          </c:xVal>
          <c:yVal>
            <c:numRef>
              <c:f>'HCC Response S Curve 3'!$B$22:$B$42</c:f>
              <c:numCache>
                <c:formatCode>General</c:formatCode>
                <c:ptCount val="21"/>
                <c:pt idx="0">
                  <c:v>0</c:v>
                </c:pt>
                <c:pt idx="1">
                  <c:v>3146.7048505647108</c:v>
                </c:pt>
                <c:pt idx="2">
                  <c:v>6167.3708850787953</c:v>
                </c:pt>
                <c:pt idx="3">
                  <c:v>9066.905671833083</c:v>
                </c:pt>
                <c:pt idx="4">
                  <c:v>11850.036930706352</c:v>
                </c:pt>
                <c:pt idx="5">
                  <c:v>14521.318218343891</c:v>
                </c:pt>
                <c:pt idx="6">
                  <c:v>17085.134509236552</c:v>
                </c:pt>
                <c:pt idx="7">
                  <c:v>19545.707667482086</c:v>
                </c:pt>
                <c:pt idx="8">
                  <c:v>21907.101804981008</c:v>
                </c:pt>
                <c:pt idx="9">
                  <c:v>24173.228522458114</c:v>
                </c:pt>
                <c:pt idx="10">
                  <c:v>26347.852030555718</c:v>
                </c:pt>
                <c:pt idx="11">
                  <c:v>28434.594148796052</c:v>
                </c:pt>
                <c:pt idx="12">
                  <c:v>30436.93918087054</c:v>
                </c:pt>
                <c:pt idx="13">
                  <c:v>32358.238665181212</c:v>
                </c:pt>
                <c:pt idx="14">
                  <c:v>34201.71600010246</c:v>
                </c:pt>
                <c:pt idx="15">
                  <c:v>35970.470943828113</c:v>
                </c:pt>
                <c:pt idx="16">
                  <c:v>37667.483989051543</c:v>
                </c:pt>
                <c:pt idx="17">
                  <c:v>39295.620613097213</c:v>
                </c:pt>
                <c:pt idx="18">
                  <c:v>40857.635404410772</c:v>
                </c:pt>
                <c:pt idx="19">
                  <c:v>42356.176066589542</c:v>
                </c:pt>
                <c:pt idx="20">
                  <c:v>43793.787301381119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0144"/>
        <c:axId val="95500160"/>
      </c:scatterChart>
      <c:valAx>
        <c:axId val="42630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95500160"/>
        <c:crosses val="autoZero"/>
        <c:crossBetween val="midCat"/>
        <c:dispUnits>
          <c:builtInUnit val="millions"/>
        </c:dispUnits>
      </c:valAx>
      <c:valAx>
        <c:axId val="955001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2630144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TRx)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3'!$B$12</c:f>
              <c:numCache>
                <c:formatCode>_("$"* #,##0_);_("$"* \(#,##0\);_("$"* "-"??_);_(@_)</c:formatCode>
                <c:ptCount val="1"/>
                <c:pt idx="0">
                  <c:v>3535945</c:v>
                </c:pt>
              </c:numCache>
            </c:numRef>
          </c:xVal>
          <c:yVal>
            <c:numRef>
              <c:f>'HCC Response S Curve 3'!$H$12</c:f>
              <c:numCache>
                <c:formatCode>_(* #,##0_);_(* \(#,##0\);_(* "-"??_);_(@_)</c:formatCode>
                <c:ptCount val="1"/>
                <c:pt idx="0">
                  <c:v>105224.20497399547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3'!$F$2</c:f>
              <c:strCache>
                <c:ptCount val="1"/>
                <c:pt idx="0">
                  <c:v>Incr. TRx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1500000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7500000</c:v>
                </c:pt>
                <c:pt idx="6">
                  <c:v>9000000</c:v>
                </c:pt>
                <c:pt idx="7">
                  <c:v>10500000</c:v>
                </c:pt>
                <c:pt idx="8">
                  <c:v>12000000</c:v>
                </c:pt>
                <c:pt idx="9">
                  <c:v>13500000</c:v>
                </c:pt>
                <c:pt idx="10">
                  <c:v>15000000</c:v>
                </c:pt>
                <c:pt idx="11">
                  <c:v>16500000</c:v>
                </c:pt>
                <c:pt idx="12">
                  <c:v>18000000</c:v>
                </c:pt>
                <c:pt idx="13">
                  <c:v>19500000</c:v>
                </c:pt>
                <c:pt idx="14">
                  <c:v>21000000</c:v>
                </c:pt>
                <c:pt idx="15">
                  <c:v>22500000</c:v>
                </c:pt>
                <c:pt idx="16">
                  <c:v>24000000</c:v>
                </c:pt>
                <c:pt idx="17">
                  <c:v>25500000</c:v>
                </c:pt>
                <c:pt idx="18">
                  <c:v>27000000</c:v>
                </c:pt>
                <c:pt idx="19">
                  <c:v>28500000</c:v>
                </c:pt>
                <c:pt idx="20">
                  <c:v>30000000</c:v>
                </c:pt>
              </c:numCache>
            </c:numRef>
          </c:xVal>
          <c:yVal>
            <c:numRef>
              <c:f>'HCC Response S Curve 3'!$C$22:$C$42</c:f>
              <c:numCache>
                <c:formatCode>#,##0_);\(#,##0\)</c:formatCode>
                <c:ptCount val="21"/>
                <c:pt idx="0">
                  <c:v>0</c:v>
                </c:pt>
                <c:pt idx="1">
                  <c:v>45878.95672123348</c:v>
                </c:pt>
                <c:pt idx="2">
                  <c:v>89920.267504448842</c:v>
                </c:pt>
                <c:pt idx="3">
                  <c:v>132195.48469532636</c:v>
                </c:pt>
                <c:pt idx="4">
                  <c:v>172773.53844969862</c:v>
                </c:pt>
                <c:pt idx="5">
                  <c:v>211720.81962345392</c:v>
                </c:pt>
                <c:pt idx="6">
                  <c:v>249101.26114466894</c:v>
                </c:pt>
                <c:pt idx="7">
                  <c:v>284976.41779188882</c:v>
                </c:pt>
                <c:pt idx="8">
                  <c:v>319405.54431662313</c:v>
                </c:pt>
                <c:pt idx="9">
                  <c:v>352445.67185743927</c:v>
                </c:pt>
                <c:pt idx="10">
                  <c:v>384151.68260550237</c:v>
                </c:pt>
                <c:pt idx="11">
                  <c:v>414576.38268944644</c:v>
                </c:pt>
                <c:pt idx="12">
                  <c:v>443770.5732570925</c:v>
                </c:pt>
                <c:pt idx="13">
                  <c:v>471783.11973834207</c:v>
                </c:pt>
                <c:pt idx="14">
                  <c:v>498661.01928149385</c:v>
                </c:pt>
                <c:pt idx="15">
                  <c:v>524449.46636101394</c:v>
                </c:pt>
                <c:pt idx="16">
                  <c:v>549191.91656037152</c:v>
                </c:pt>
                <c:pt idx="17">
                  <c:v>572930.14853895735</c:v>
                </c:pt>
                <c:pt idx="18">
                  <c:v>595704.32419630908</c:v>
                </c:pt>
                <c:pt idx="19">
                  <c:v>617553.0470508755</c:v>
                </c:pt>
                <c:pt idx="20">
                  <c:v>638513.41885413672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9360"/>
        <c:axId val="265510912"/>
      </c:scatterChart>
      <c:valAx>
        <c:axId val="263759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65510912"/>
        <c:crosses val="autoZero"/>
        <c:crossBetween val="midCat"/>
        <c:dispUnits>
          <c:builtInUnit val="millions"/>
        </c:dispUnits>
      </c:valAx>
      <c:valAx>
        <c:axId val="2655109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YT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637593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11</xdr:row>
      <xdr:rowOff>0</xdr:rowOff>
    </xdr:from>
    <xdr:to>
      <xdr:col>14</xdr:col>
      <xdr:colOff>238125</xdr:colOff>
      <xdr:row>13</xdr:row>
      <xdr:rowOff>180975</xdr:rowOff>
    </xdr:to>
    <xdr:sp macro="" textlink="">
      <xdr:nvSpPr>
        <xdr:cNvPr id="2" name="Left Brace 1"/>
        <xdr:cNvSpPr/>
      </xdr:nvSpPr>
      <xdr:spPr>
        <a:xfrm>
          <a:off x="17964150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19</xdr:row>
      <xdr:rowOff>41910</xdr:rowOff>
    </xdr:from>
    <xdr:to>
      <xdr:col>10</xdr:col>
      <xdr:colOff>365760</xdr:colOff>
      <xdr:row>34</xdr:row>
      <xdr:rowOff>156210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35</xdr:row>
      <xdr:rowOff>114300</xdr:rowOff>
    </xdr:from>
    <xdr:to>
      <xdr:col>10</xdr:col>
      <xdr:colOff>434340</xdr:colOff>
      <xdr:row>51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pace.merck.com/sites/USCSandP/Shared%20Documents/Investment%20Optimization/Phase%20II%20-%20Budget%202014/Promotion/Diabetes%20Deep%20Dive/DAVID2%20Diabetes%20February%2014%20v2%20(Jan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Area (Jane)"/>
      <sheetName val="Summary by Area"/>
      <sheetName val="Summary by Initial"/>
      <sheetName val="DAVID1 2013 SAP Numbers"/>
      <sheetName val="2013 AB Extract"/>
    </sheetNames>
    <sheetDataSet>
      <sheetData sheetId="0">
        <row r="63">
          <cell r="R63">
            <v>2850000</v>
          </cell>
        </row>
        <row r="88">
          <cell r="C88" t="str">
            <v>J GS Hispanic Pharmacy</v>
          </cell>
          <cell r="R88">
            <v>302666</v>
          </cell>
        </row>
      </sheetData>
      <sheetData sheetId="1"/>
      <sheetData sheetId="2"/>
      <sheetData sheetId="3">
        <row r="24">
          <cell r="A24" t="str">
            <v>Met-Mono POS (Catalina)</v>
          </cell>
          <cell r="D24">
            <v>1200000</v>
          </cell>
        </row>
        <row r="25">
          <cell r="A25" t="str">
            <v>Met+SU (Catalina)</v>
          </cell>
        </row>
        <row r="26">
          <cell r="A26" t="str">
            <v>Rx Edge</v>
          </cell>
          <cell r="D26">
            <v>783000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1"/>
  <sheetViews>
    <sheetView topLeftCell="M1" zoomScaleNormal="100" workbookViewId="0">
      <selection activeCell="R5" sqref="R5"/>
    </sheetView>
  </sheetViews>
  <sheetFormatPr defaultRowHeight="14.4" x14ac:dyDescent="0.3"/>
  <cols>
    <col min="1" max="1" width="6" bestFit="1" customWidth="1"/>
    <col min="2" max="2" width="31.33203125" customWidth="1"/>
    <col min="3" max="3" width="8" bestFit="1" customWidth="1"/>
    <col min="4" max="4" width="40.33203125" customWidth="1"/>
    <col min="5" max="5" width="7.33203125" bestFit="1" customWidth="1"/>
    <col min="6" max="6" width="14.88671875" bestFit="1" customWidth="1"/>
    <col min="7" max="7" width="17.33203125" customWidth="1"/>
    <col min="8" max="8" width="19.44140625" customWidth="1"/>
    <col min="9" max="9" width="18" bestFit="1" customWidth="1"/>
    <col min="10" max="10" width="13.6640625" bestFit="1" customWidth="1"/>
    <col min="11" max="11" width="14.109375" bestFit="1" customWidth="1"/>
    <col min="12" max="12" width="12.33203125" customWidth="1"/>
    <col min="13" max="13" width="12.109375" customWidth="1"/>
    <col min="14" max="14" width="14.33203125" customWidth="1"/>
    <col min="15" max="15" width="15.109375" customWidth="1"/>
    <col min="17" max="17" width="19.21875" customWidth="1"/>
    <col min="18" max="18" width="10.109375" customWidth="1"/>
    <col min="19" max="19" width="12.6640625" customWidth="1"/>
    <col min="20" max="20" width="10.88671875" customWidth="1"/>
  </cols>
  <sheetData>
    <row r="1" spans="1:20" ht="15" x14ac:dyDescent="0.25">
      <c r="A1" s="105" t="s">
        <v>19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3" spans="1:20" ht="28.8" x14ac:dyDescent="0.3">
      <c r="C3" s="2" t="s">
        <v>15</v>
      </c>
      <c r="D3" s="2"/>
      <c r="E3" s="2"/>
      <c r="K3" s="106" t="s">
        <v>96</v>
      </c>
      <c r="L3" s="106"/>
      <c r="M3" s="106"/>
      <c r="N3" s="106"/>
      <c r="O3" s="106" t="s">
        <v>26</v>
      </c>
      <c r="P3" s="106"/>
      <c r="Q3" s="27" t="s">
        <v>27</v>
      </c>
      <c r="R3" s="107" t="s">
        <v>132</v>
      </c>
      <c r="S3" s="107"/>
      <c r="T3" s="107"/>
    </row>
    <row r="4" spans="1:20" ht="76.8" customHeight="1" x14ac:dyDescent="0.3">
      <c r="C4" s="2"/>
      <c r="D4" s="2" t="s">
        <v>14</v>
      </c>
      <c r="E4" s="2">
        <v>0.4</v>
      </c>
      <c r="I4" s="28" t="s">
        <v>28</v>
      </c>
      <c r="K4" s="29" t="s">
        <v>29</v>
      </c>
      <c r="L4" s="29" t="s">
        <v>30</v>
      </c>
      <c r="M4" s="27" t="s">
        <v>31</v>
      </c>
      <c r="N4" s="39" t="s">
        <v>34</v>
      </c>
      <c r="O4" s="27" t="s">
        <v>35</v>
      </c>
      <c r="P4" s="27" t="s">
        <v>32</v>
      </c>
      <c r="Q4" s="27" t="s">
        <v>33</v>
      </c>
      <c r="R4" s="95" t="s">
        <v>92</v>
      </c>
      <c r="S4" s="95" t="s">
        <v>93</v>
      </c>
      <c r="T4" s="95" t="s">
        <v>94</v>
      </c>
    </row>
    <row r="5" spans="1:20" s="4" customFormat="1" ht="15" x14ac:dyDescent="0.35">
      <c r="C5" s="2">
        <v>2013</v>
      </c>
      <c r="D5" s="2" t="s">
        <v>16</v>
      </c>
      <c r="E5" s="3">
        <f>'[1] Summary'!$D$22</f>
        <v>1117.7796531072613</v>
      </c>
      <c r="I5" s="31">
        <v>5165000</v>
      </c>
      <c r="J5"/>
      <c r="K5" s="32">
        <f>F19</f>
        <v>3535945</v>
      </c>
      <c r="L5" s="33">
        <f>I19</f>
        <v>7217.0236607678644</v>
      </c>
      <c r="M5" s="34">
        <f>L5/I5</f>
        <v>1.3972940291902933E-3</v>
      </c>
      <c r="N5" s="30">
        <f>K5/L5</f>
        <v>489.945047460713</v>
      </c>
      <c r="O5" s="104">
        <v>1.4999999999999999E-2</v>
      </c>
      <c r="P5" s="35">
        <f>O5*I5</f>
        <v>77475</v>
      </c>
      <c r="Q5" s="38">
        <f>B25</f>
        <v>3535945</v>
      </c>
      <c r="R5" s="96">
        <v>14.58</v>
      </c>
      <c r="S5" s="66">
        <f>L5*R5</f>
        <v>105224.20497399547</v>
      </c>
      <c r="T5" s="94">
        <f>K5/S5</f>
        <v>33.603912720213508</v>
      </c>
    </row>
    <row r="6" spans="1:20" s="4" customFormat="1" x14ac:dyDescent="0.3">
      <c r="C6" s="5"/>
      <c r="D6" s="5"/>
      <c r="E6" s="6"/>
      <c r="K6" s="36" t="s">
        <v>95</v>
      </c>
    </row>
    <row r="7" spans="1:20" s="4" customFormat="1" x14ac:dyDescent="0.3">
      <c r="C7" s="5"/>
      <c r="D7" s="5"/>
      <c r="E7" s="6"/>
    </row>
    <row r="8" spans="1:20" s="4" customFormat="1" x14ac:dyDescent="0.3">
      <c r="C8" s="5"/>
      <c r="D8" s="5"/>
      <c r="E8" s="6"/>
    </row>
    <row r="9" spans="1:20" s="4" customFormat="1" x14ac:dyDescent="0.3">
      <c r="C9" s="5"/>
      <c r="D9" s="5"/>
      <c r="E9" s="6"/>
    </row>
    <row r="11" spans="1:20" s="8" customFormat="1" x14ac:dyDescent="0.3">
      <c r="A11" s="7" t="s">
        <v>0</v>
      </c>
      <c r="B11" s="7" t="s">
        <v>1</v>
      </c>
      <c r="C11" s="7" t="s">
        <v>7</v>
      </c>
      <c r="D11" s="7" t="s">
        <v>9</v>
      </c>
      <c r="E11" s="7" t="s">
        <v>8</v>
      </c>
      <c r="F11" s="7" t="s">
        <v>2</v>
      </c>
      <c r="G11" s="7" t="s">
        <v>10</v>
      </c>
      <c r="H11" s="7" t="s">
        <v>3</v>
      </c>
      <c r="I11" s="26" t="s">
        <v>4</v>
      </c>
      <c r="J11" s="7" t="s">
        <v>11</v>
      </c>
      <c r="K11" s="7" t="s">
        <v>12</v>
      </c>
      <c r="L11" s="7" t="s">
        <v>13</v>
      </c>
      <c r="M11" s="7" t="s">
        <v>5</v>
      </c>
      <c r="N11" s="7" t="s">
        <v>17</v>
      </c>
    </row>
    <row r="12" spans="1:20" s="9" customFormat="1" x14ac:dyDescent="0.3">
      <c r="A12" s="9">
        <v>2013</v>
      </c>
      <c r="B12" s="9" t="str">
        <f>'[2]DAVID1 2013 SAP Numbers'!$A$24</f>
        <v>Met-Mono POS (Catalina)</v>
      </c>
      <c r="C12" s="9" t="s">
        <v>20</v>
      </c>
      <c r="D12" s="16" t="s">
        <v>97</v>
      </c>
      <c r="E12" s="21">
        <v>2.5</v>
      </c>
      <c r="F12" s="10">
        <f>'[2]DAVID1 2013 SAP Numbers'!$D$24</f>
        <v>1200000</v>
      </c>
      <c r="G12" s="10">
        <f>F12*E12</f>
        <v>3000000</v>
      </c>
      <c r="H12" s="10">
        <f>G12*(1-$E$4)</f>
        <v>1800000</v>
      </c>
      <c r="I12" s="11">
        <f>H12/$E$5</f>
        <v>1610.3352704589563</v>
      </c>
      <c r="J12" s="10"/>
      <c r="K12" s="10"/>
      <c r="L12" s="10"/>
      <c r="M12" s="9" t="s">
        <v>6</v>
      </c>
      <c r="O12" s="12"/>
    </row>
    <row r="13" spans="1:20" s="9" customFormat="1" x14ac:dyDescent="0.3">
      <c r="A13" s="9">
        <v>2013</v>
      </c>
      <c r="B13" s="9" t="str">
        <f>'[2]DAVID1 2013 SAP Numbers'!$A$25</f>
        <v>Met+SU (Catalina)</v>
      </c>
      <c r="C13" s="9" t="s">
        <v>20</v>
      </c>
      <c r="D13" s="16" t="s">
        <v>97</v>
      </c>
      <c r="E13" s="21">
        <v>8.44</v>
      </c>
      <c r="F13" s="10">
        <v>496126</v>
      </c>
      <c r="G13" s="10">
        <f>F13*E13</f>
        <v>4187303.44</v>
      </c>
      <c r="H13" s="10">
        <f>G13*(1-$E$4)</f>
        <v>2512382.0639999998</v>
      </c>
      <c r="I13" s="11">
        <f>H13/$E$5</f>
        <v>2247.6541391820392</v>
      </c>
      <c r="J13" s="10"/>
      <c r="K13" s="10"/>
      <c r="L13" s="10"/>
      <c r="M13" s="9" t="s">
        <v>6</v>
      </c>
      <c r="O13" s="13" t="s">
        <v>21</v>
      </c>
    </row>
    <row r="14" spans="1:20" s="9" customFormat="1" x14ac:dyDescent="0.3">
      <c r="A14" s="9">
        <v>2013</v>
      </c>
      <c r="B14" s="9" t="str">
        <f>'[2]DAVID1 2013 SAP Numbers'!$A$26</f>
        <v>Rx Edge</v>
      </c>
      <c r="C14" s="9" t="s">
        <v>20</v>
      </c>
      <c r="D14" s="16" t="s">
        <v>101</v>
      </c>
      <c r="E14" s="21">
        <v>3.5</v>
      </c>
      <c r="F14" s="10">
        <f>'[2]DAVID1 2013 SAP Numbers'!$D$26</f>
        <v>783000</v>
      </c>
      <c r="G14" s="10">
        <f>F14*E14</f>
        <v>2740500</v>
      </c>
      <c r="H14" s="10">
        <f>G14*(1-$E$4)</f>
        <v>1644300</v>
      </c>
      <c r="I14" s="11">
        <f>H14/$E$5</f>
        <v>1471.0412695642565</v>
      </c>
      <c r="J14" s="10"/>
      <c r="K14" s="10"/>
      <c r="L14" s="10"/>
      <c r="M14" s="9" t="s">
        <v>6</v>
      </c>
    </row>
    <row r="15" spans="1:20" s="9" customFormat="1" x14ac:dyDescent="0.3">
      <c r="A15" s="9">
        <v>2013</v>
      </c>
      <c r="B15" s="12" t="s">
        <v>98</v>
      </c>
      <c r="C15" s="12" t="s">
        <v>102</v>
      </c>
      <c r="D15" s="16" t="s">
        <v>103</v>
      </c>
      <c r="E15" s="21">
        <v>3.5</v>
      </c>
      <c r="F15" s="10">
        <v>340200</v>
      </c>
      <c r="G15" s="10">
        <f t="shared" ref="G15:G17" si="0">F15*E15</f>
        <v>1190700</v>
      </c>
      <c r="H15" s="10">
        <f t="shared" ref="H15:H17" si="1">G15*(1-$E$4)</f>
        <v>714420</v>
      </c>
      <c r="I15" s="11">
        <f t="shared" ref="I15:I17" si="2">H15/$E$5</f>
        <v>639.14206884515977</v>
      </c>
      <c r="J15" s="10"/>
      <c r="K15" s="10"/>
      <c r="L15" s="10"/>
    </row>
    <row r="16" spans="1:20" s="9" customFormat="1" x14ac:dyDescent="0.3">
      <c r="A16" s="9">
        <v>2013</v>
      </c>
      <c r="B16" s="12" t="s">
        <v>99</v>
      </c>
      <c r="C16" s="12" t="s">
        <v>102</v>
      </c>
      <c r="D16" s="97" t="s">
        <v>104</v>
      </c>
      <c r="E16" s="21">
        <v>3.5</v>
      </c>
      <c r="F16" s="10">
        <v>55970</v>
      </c>
      <c r="G16" s="10">
        <f t="shared" si="0"/>
        <v>195895</v>
      </c>
      <c r="H16" s="10">
        <f t="shared" si="1"/>
        <v>117537</v>
      </c>
      <c r="I16" s="11">
        <f t="shared" si="2"/>
        <v>105.15220926885242</v>
      </c>
      <c r="J16" s="10"/>
      <c r="K16" s="10"/>
      <c r="L16" s="10"/>
    </row>
    <row r="17" spans="1:13" s="9" customFormat="1" x14ac:dyDescent="0.3">
      <c r="A17" s="9">
        <v>2013</v>
      </c>
      <c r="B17" s="12" t="s">
        <v>100</v>
      </c>
      <c r="C17" s="12" t="s">
        <v>102</v>
      </c>
      <c r="D17" s="16" t="s">
        <v>103</v>
      </c>
      <c r="E17" s="21">
        <v>3.5</v>
      </c>
      <c r="F17" s="10">
        <v>357983</v>
      </c>
      <c r="G17" s="10">
        <f t="shared" si="0"/>
        <v>1252940.5</v>
      </c>
      <c r="H17" s="10">
        <f t="shared" si="1"/>
        <v>751764.29999999993</v>
      </c>
      <c r="I17" s="11">
        <f t="shared" si="2"/>
        <v>672.55142631215995</v>
      </c>
      <c r="J17" s="10"/>
      <c r="K17" s="10"/>
      <c r="L17" s="10"/>
    </row>
    <row r="18" spans="1:13" s="14" customFormat="1" x14ac:dyDescent="0.3">
      <c r="A18" s="14">
        <v>2013</v>
      </c>
      <c r="B18" s="14" t="str">
        <f>'[2]Summary by Area (Jane)'!$C$88</f>
        <v>J GS Hispanic Pharmacy</v>
      </c>
      <c r="C18" s="15" t="s">
        <v>22</v>
      </c>
      <c r="D18" s="15" t="s">
        <v>23</v>
      </c>
      <c r="E18" s="22">
        <v>2.9</v>
      </c>
      <c r="F18" s="17">
        <f>'[2]Summary by Area (Jane)'!$R$88</f>
        <v>302666</v>
      </c>
      <c r="G18" s="17">
        <f t="shared" ref="G18" si="3">F18*E18</f>
        <v>877731.4</v>
      </c>
      <c r="H18" s="17">
        <f t="shared" ref="H18" si="4">G18*(1-$E$4)</f>
        <v>526638.84</v>
      </c>
      <c r="I18" s="20">
        <f t="shared" ref="I18" si="5">H18/$E$5</f>
        <v>471.14727713643941</v>
      </c>
    </row>
    <row r="19" spans="1:13" x14ac:dyDescent="0.3">
      <c r="A19" s="19" t="s">
        <v>25</v>
      </c>
      <c r="B19" s="18"/>
      <c r="C19" s="18"/>
      <c r="D19" s="18"/>
      <c r="E19" s="87">
        <f>SUMPRODUCT(E12:E18,F12:F18)/SUM(F12:F18)</f>
        <v>3.8023980406935061</v>
      </c>
      <c r="F19" s="24">
        <f>SUM(F12:F18)</f>
        <v>3535945</v>
      </c>
      <c r="G19" s="23">
        <f>SUM(G12:G18)</f>
        <v>13445070.34</v>
      </c>
      <c r="H19" s="23">
        <f>SUM(H12:H18)</f>
        <v>8067042.203999999</v>
      </c>
      <c r="I19" s="25">
        <f>SUM(I12:I18)</f>
        <v>7217.0236607678644</v>
      </c>
      <c r="J19" s="18"/>
      <c r="K19" s="18"/>
      <c r="L19" s="18"/>
      <c r="M19" s="18"/>
    </row>
    <row r="20" spans="1:13" x14ac:dyDescent="0.3">
      <c r="I20" s="37">
        <f>I19/I5</f>
        <v>1.3972940291902933E-3</v>
      </c>
    </row>
    <row r="21" spans="1:13" x14ac:dyDescent="0.3">
      <c r="A21" t="s">
        <v>18</v>
      </c>
    </row>
    <row r="22" spans="1:13" x14ac:dyDescent="0.3">
      <c r="B22" s="1">
        <v>4782666</v>
      </c>
      <c r="D22" t="s">
        <v>24</v>
      </c>
      <c r="F22" s="1"/>
    </row>
    <row r="24" spans="1:13" x14ac:dyDescent="0.3">
      <c r="A24" t="s">
        <v>130</v>
      </c>
    </row>
    <row r="25" spans="1:13" x14ac:dyDescent="0.3">
      <c r="B25" s="1">
        <v>3535945</v>
      </c>
      <c r="D25" t="s">
        <v>131</v>
      </c>
    </row>
    <row r="29" spans="1:13" x14ac:dyDescent="0.3">
      <c r="A29" s="98" t="s">
        <v>129</v>
      </c>
    </row>
    <row r="30" spans="1:13" x14ac:dyDescent="0.3">
      <c r="A30" s="99" t="s">
        <v>105</v>
      </c>
    </row>
    <row r="31" spans="1:13" x14ac:dyDescent="0.3">
      <c r="A31" s="100" t="s">
        <v>106</v>
      </c>
    </row>
    <row r="32" spans="1:13" x14ac:dyDescent="0.3">
      <c r="A32" s="101" t="s">
        <v>107</v>
      </c>
    </row>
    <row r="33" spans="1:1" x14ac:dyDescent="0.3">
      <c r="A33" s="101" t="s">
        <v>108</v>
      </c>
    </row>
    <row r="34" spans="1:1" x14ac:dyDescent="0.3">
      <c r="A34" s="100" t="s">
        <v>109</v>
      </c>
    </row>
    <row r="35" spans="1:1" x14ac:dyDescent="0.3">
      <c r="A35" s="100" t="s">
        <v>110</v>
      </c>
    </row>
    <row r="36" spans="1:1" x14ac:dyDescent="0.3">
      <c r="A36" s="101" t="s">
        <v>111</v>
      </c>
    </row>
    <row r="37" spans="1:1" x14ac:dyDescent="0.3">
      <c r="A37" s="100" t="s">
        <v>112</v>
      </c>
    </row>
    <row r="38" spans="1:1" x14ac:dyDescent="0.3">
      <c r="A38" s="101" t="s">
        <v>111</v>
      </c>
    </row>
    <row r="39" spans="1:1" x14ac:dyDescent="0.3">
      <c r="A39" s="100" t="s">
        <v>113</v>
      </c>
    </row>
    <row r="40" spans="1:1" x14ac:dyDescent="0.3">
      <c r="A40" s="101" t="s">
        <v>114</v>
      </c>
    </row>
    <row r="41" spans="1:1" x14ac:dyDescent="0.3">
      <c r="A41" s="98"/>
    </row>
    <row r="42" spans="1:1" x14ac:dyDescent="0.3">
      <c r="A42" s="99" t="s">
        <v>115</v>
      </c>
    </row>
    <row r="43" spans="1:1" x14ac:dyDescent="0.3">
      <c r="A43" s="102" t="s">
        <v>116</v>
      </c>
    </row>
    <row r="44" spans="1:1" x14ac:dyDescent="0.3">
      <c r="A44" s="100" t="s">
        <v>117</v>
      </c>
    </row>
    <row r="45" spans="1:1" x14ac:dyDescent="0.3">
      <c r="A45" s="100" t="s">
        <v>118</v>
      </c>
    </row>
    <row r="46" spans="1:1" x14ac:dyDescent="0.3">
      <c r="A46" s="100" t="s">
        <v>119</v>
      </c>
    </row>
    <row r="47" spans="1:1" x14ac:dyDescent="0.3">
      <c r="A47" s="100" t="s">
        <v>120</v>
      </c>
    </row>
    <row r="48" spans="1:1" x14ac:dyDescent="0.3">
      <c r="A48" s="100" t="s">
        <v>121</v>
      </c>
    </row>
    <row r="49" spans="1:1" x14ac:dyDescent="0.3">
      <c r="A49" s="103"/>
    </row>
    <row r="50" spans="1:1" x14ac:dyDescent="0.3">
      <c r="A50" s="102" t="s">
        <v>122</v>
      </c>
    </row>
    <row r="51" spans="1:1" x14ac:dyDescent="0.3">
      <c r="A51" s="100" t="s">
        <v>123</v>
      </c>
    </row>
    <row r="52" spans="1:1" x14ac:dyDescent="0.3">
      <c r="A52" s="100" t="s">
        <v>124</v>
      </c>
    </row>
    <row r="53" spans="1:1" x14ac:dyDescent="0.3">
      <c r="A53" s="98"/>
    </row>
    <row r="54" spans="1:1" x14ac:dyDescent="0.3">
      <c r="A54" s="102" t="s">
        <v>125</v>
      </c>
    </row>
    <row r="55" spans="1:1" x14ac:dyDescent="0.3">
      <c r="A55" s="103"/>
    </row>
    <row r="56" spans="1:1" x14ac:dyDescent="0.3">
      <c r="A56" s="102" t="s">
        <v>126</v>
      </c>
    </row>
    <row r="57" spans="1:1" x14ac:dyDescent="0.3">
      <c r="A57" s="98"/>
    </row>
    <row r="58" spans="1:1" x14ac:dyDescent="0.3">
      <c r="A58" s="98"/>
    </row>
    <row r="59" spans="1:1" x14ac:dyDescent="0.3">
      <c r="A59" s="98" t="s">
        <v>127</v>
      </c>
    </row>
    <row r="60" spans="1:1" x14ac:dyDescent="0.3">
      <c r="A60" s="98"/>
    </row>
    <row r="61" spans="1:1" x14ac:dyDescent="0.3">
      <c r="A61" s="98" t="s">
        <v>128</v>
      </c>
    </row>
  </sheetData>
  <mergeCells count="4">
    <mergeCell ref="A1:M1"/>
    <mergeCell ref="K3:N3"/>
    <mergeCell ref="O3:P3"/>
    <mergeCell ref="R3:T3"/>
  </mergeCells>
  <pageMargins left="0.7" right="0.7" top="0.75" bottom="0.75" header="0.3" footer="0.3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2"/>
  <sheetViews>
    <sheetView tabSelected="1" workbookViewId="0">
      <selection activeCell="G13" sqref="G13"/>
    </sheetView>
  </sheetViews>
  <sheetFormatPr defaultRowHeight="13.8" x14ac:dyDescent="0.3"/>
  <cols>
    <col min="1" max="1" width="12.109375" style="41" customWidth="1"/>
    <col min="2" max="2" width="13.5546875" style="41" customWidth="1"/>
    <col min="3" max="3" width="12.5546875" style="41" customWidth="1"/>
    <col min="4" max="4" width="13.77734375" style="41" customWidth="1"/>
    <col min="5" max="6" width="12.44140625" style="41" customWidth="1"/>
    <col min="7" max="7" width="12" style="41" customWidth="1"/>
    <col min="8" max="8" width="10.33203125" style="41" customWidth="1"/>
    <col min="9" max="9" width="10.21875" style="41" customWidth="1"/>
    <col min="10" max="10" width="10.33203125" style="41" customWidth="1"/>
    <col min="11" max="11" width="14.33203125" style="41" bestFit="1" customWidth="1"/>
    <col min="12" max="13" width="12" style="41" bestFit="1" customWidth="1"/>
    <col min="14" max="14" width="11.44140625" style="41" bestFit="1" customWidth="1"/>
    <col min="15" max="15" width="9.77734375" style="41" bestFit="1" customWidth="1"/>
    <col min="16" max="16" width="8.88671875" style="41"/>
    <col min="17" max="17" width="10" style="41" customWidth="1"/>
    <col min="18" max="16384" width="8.88671875" style="41"/>
  </cols>
  <sheetData>
    <row r="1" spans="1:17" ht="14.4" thickBot="1" x14ac:dyDescent="0.35">
      <c r="A1" s="40" t="s">
        <v>36</v>
      </c>
      <c r="B1" s="41" t="s">
        <v>37</v>
      </c>
    </row>
    <row r="2" spans="1:17" x14ac:dyDescent="0.3">
      <c r="A2" s="42" t="s">
        <v>38</v>
      </c>
      <c r="B2" s="43" t="s">
        <v>39</v>
      </c>
      <c r="C2" s="44" t="s">
        <v>40</v>
      </c>
      <c r="D2" s="45" t="s">
        <v>41</v>
      </c>
      <c r="E2" s="67" t="s">
        <v>84</v>
      </c>
      <c r="F2" s="68" t="s">
        <v>85</v>
      </c>
      <c r="H2" s="46" t="s">
        <v>42</v>
      </c>
      <c r="I2" s="47"/>
      <c r="J2" s="47"/>
      <c r="K2" s="47"/>
      <c r="L2" s="48"/>
    </row>
    <row r="3" spans="1:17" ht="28.2" thickBot="1" x14ac:dyDescent="0.35">
      <c r="A3" s="49" t="s">
        <v>43</v>
      </c>
      <c r="B3" s="65" t="s">
        <v>86</v>
      </c>
      <c r="C3" s="40" t="s">
        <v>44</v>
      </c>
      <c r="D3" s="50" t="s">
        <v>45</v>
      </c>
      <c r="E3" s="40" t="s">
        <v>46</v>
      </c>
      <c r="F3" s="50" t="s">
        <v>47</v>
      </c>
    </row>
    <row r="4" spans="1:17" ht="15" customHeight="1" thickBot="1" x14ac:dyDescent="0.35">
      <c r="A4" s="51" t="s">
        <v>48</v>
      </c>
      <c r="B4" s="108" t="s">
        <v>49</v>
      </c>
      <c r="C4" s="108"/>
      <c r="D4" s="108"/>
      <c r="E4" s="108"/>
      <c r="F4" s="109"/>
      <c r="H4" s="41" t="s">
        <v>50</v>
      </c>
    </row>
    <row r="5" spans="1:17" x14ac:dyDescent="0.3">
      <c r="H5" s="41" t="s">
        <v>51</v>
      </c>
    </row>
    <row r="6" spans="1:17" ht="14.4" thickBot="1" x14ac:dyDescent="0.35">
      <c r="B6" s="52">
        <v>0.5</v>
      </c>
      <c r="C6" s="52">
        <v>1.5</v>
      </c>
    </row>
    <row r="7" spans="1:17" ht="27.6" customHeight="1" x14ac:dyDescent="0.3">
      <c r="A7" s="110" t="s">
        <v>52</v>
      </c>
      <c r="B7" s="113" t="s">
        <v>53</v>
      </c>
      <c r="C7" s="114"/>
      <c r="D7" s="115" t="s">
        <v>54</v>
      </c>
      <c r="E7" s="116"/>
      <c r="F7" s="117"/>
      <c r="G7" s="115" t="s">
        <v>55</v>
      </c>
      <c r="H7" s="127"/>
    </row>
    <row r="8" spans="1:17" ht="27.6" x14ac:dyDescent="0.3">
      <c r="A8" s="111"/>
      <c r="B8" s="69" t="s">
        <v>56</v>
      </c>
      <c r="C8" s="70" t="s">
        <v>57</v>
      </c>
      <c r="D8" s="71" t="s">
        <v>58</v>
      </c>
      <c r="E8" s="69" t="s">
        <v>59</v>
      </c>
      <c r="F8" s="83" t="s">
        <v>87</v>
      </c>
      <c r="G8" s="72" t="s">
        <v>60</v>
      </c>
      <c r="H8" s="73" t="s">
        <v>61</v>
      </c>
    </row>
    <row r="9" spans="1:17" ht="14.4" thickBot="1" x14ac:dyDescent="0.35">
      <c r="A9" s="112"/>
      <c r="B9" s="77">
        <f>B6*B12</f>
        <v>1767972.5</v>
      </c>
      <c r="C9" s="77">
        <f>C6*B12</f>
        <v>5303917.5</v>
      </c>
      <c r="D9" s="78">
        <f>G9</f>
        <v>3535945</v>
      </c>
      <c r="E9" s="85">
        <f>(($Q$12/(1+EXP($O$12+$P$12*D9)))-1) - ($F$12-$C$12)</f>
        <v>7217.0236607678235</v>
      </c>
      <c r="F9" s="84">
        <f>E9*G12</f>
        <v>105224.20497399487</v>
      </c>
      <c r="G9" s="77">
        <f>B12</f>
        <v>3535945</v>
      </c>
      <c r="H9" s="86">
        <f>C12</f>
        <v>7217.0236607678644</v>
      </c>
    </row>
    <row r="10" spans="1:17" ht="14.4" thickBot="1" x14ac:dyDescent="0.35"/>
    <row r="11" spans="1:17" ht="51.6" customHeight="1" x14ac:dyDescent="0.3">
      <c r="A11" s="110" t="s">
        <v>62</v>
      </c>
      <c r="B11" s="56" t="s">
        <v>63</v>
      </c>
      <c r="C11" s="56" t="s">
        <v>64</v>
      </c>
      <c r="D11" s="56" t="s">
        <v>65</v>
      </c>
      <c r="E11" s="56" t="s">
        <v>66</v>
      </c>
      <c r="F11" s="57" t="s">
        <v>67</v>
      </c>
      <c r="G11" s="91" t="s">
        <v>88</v>
      </c>
      <c r="H11" s="90" t="s">
        <v>89</v>
      </c>
      <c r="J11" s="124" t="s">
        <v>68</v>
      </c>
      <c r="K11" s="74" t="s">
        <v>69</v>
      </c>
      <c r="L11" s="74" t="s">
        <v>70</v>
      </c>
      <c r="M11" s="74" t="s">
        <v>71</v>
      </c>
      <c r="N11" s="74" t="s">
        <v>72</v>
      </c>
      <c r="O11" s="74" t="s">
        <v>73</v>
      </c>
      <c r="P11" s="74" t="s">
        <v>74</v>
      </c>
      <c r="Q11" s="75" t="s">
        <v>75</v>
      </c>
    </row>
    <row r="12" spans="1:17" ht="15" customHeight="1" thickBot="1" x14ac:dyDescent="0.35">
      <c r="A12" s="112"/>
      <c r="B12" s="54">
        <v>3535945</v>
      </c>
      <c r="C12" s="55">
        <v>7217.0236607678644</v>
      </c>
      <c r="D12" s="58">
        <v>0</v>
      </c>
      <c r="E12" s="55">
        <v>77475</v>
      </c>
      <c r="F12" s="59">
        <v>5165000</v>
      </c>
      <c r="G12" s="93">
        <v>14.58</v>
      </c>
      <c r="H12" s="92">
        <f>C12*G12</f>
        <v>105224.20497399547</v>
      </c>
      <c r="J12" s="125"/>
      <c r="K12" s="79">
        <f>F12-C12</f>
        <v>5157782.9763392322</v>
      </c>
      <c r="L12" s="79">
        <f>K12+E12</f>
        <v>5235257.9763392322</v>
      </c>
      <c r="M12" s="80">
        <f>B12</f>
        <v>3535945</v>
      </c>
      <c r="N12" s="79">
        <f>F12</f>
        <v>5165000</v>
      </c>
      <c r="O12" s="76">
        <f>LN((($L$12+1)/($K$12+1))-1)</f>
        <v>-4.198307000606837</v>
      </c>
      <c r="P12" s="81">
        <f>(LN((($L$12+1)/($N$12+1))-1)-$O$12)/$M$12</f>
        <v>-2.804900262697073E-8</v>
      </c>
      <c r="Q12" s="82">
        <f>L12+1</f>
        <v>5235258.9763392322</v>
      </c>
    </row>
    <row r="13" spans="1:17" ht="34.200000000000003" customHeight="1" x14ac:dyDescent="0.3">
      <c r="A13" s="118" t="s">
        <v>76</v>
      </c>
      <c r="B13" s="119"/>
      <c r="C13" s="119"/>
      <c r="D13" s="119"/>
      <c r="E13" s="119"/>
      <c r="F13" s="120"/>
      <c r="J13" s="118" t="s">
        <v>77</v>
      </c>
      <c r="K13" s="119"/>
      <c r="L13" s="119"/>
      <c r="M13" s="119"/>
      <c r="N13" s="119"/>
      <c r="O13" s="119"/>
      <c r="P13" s="119"/>
      <c r="Q13" s="120"/>
    </row>
    <row r="14" spans="1:17" ht="33.6" customHeight="1" x14ac:dyDescent="0.3">
      <c r="A14" s="121"/>
      <c r="B14" s="122"/>
      <c r="C14" s="122"/>
      <c r="D14" s="122"/>
      <c r="E14" s="122"/>
      <c r="F14" s="123"/>
      <c r="J14" s="121"/>
      <c r="K14" s="122"/>
      <c r="L14" s="122"/>
      <c r="M14" s="122"/>
      <c r="N14" s="122"/>
      <c r="O14" s="122"/>
      <c r="P14" s="122"/>
      <c r="Q14" s="123"/>
    </row>
    <row r="16" spans="1:17" ht="14.4" thickBot="1" x14ac:dyDescent="0.35"/>
    <row r="17" spans="1:4" ht="16.8" customHeight="1" x14ac:dyDescent="0.3">
      <c r="A17" s="124" t="s">
        <v>78</v>
      </c>
      <c r="B17" s="56" t="s">
        <v>79</v>
      </c>
      <c r="C17" s="56" t="s">
        <v>80</v>
      </c>
      <c r="D17" s="57" t="s">
        <v>81</v>
      </c>
    </row>
    <row r="18" spans="1:4" ht="23.4" customHeight="1" thickBot="1" x14ac:dyDescent="0.35">
      <c r="A18" s="125"/>
      <c r="B18" s="60">
        <v>0</v>
      </c>
      <c r="C18" s="61">
        <v>30000000</v>
      </c>
      <c r="D18" s="62">
        <v>20</v>
      </c>
    </row>
    <row r="20" spans="1:4" x14ac:dyDescent="0.3">
      <c r="A20" s="126" t="s">
        <v>82</v>
      </c>
      <c r="B20" s="126"/>
    </row>
    <row r="21" spans="1:4" x14ac:dyDescent="0.3">
      <c r="A21" s="53" t="s">
        <v>83</v>
      </c>
      <c r="B21" s="53" t="s">
        <v>91</v>
      </c>
      <c r="C21" s="89" t="s">
        <v>90</v>
      </c>
    </row>
    <row r="22" spans="1:4" x14ac:dyDescent="0.3">
      <c r="A22" s="63">
        <f>B18</f>
        <v>0</v>
      </c>
      <c r="B22" s="63">
        <f t="shared" ref="B22:B42" si="0">(($Q$12/(1+EXP($O$12+$P$12*A22)))-1) - ($F$12-$C$12)</f>
        <v>0</v>
      </c>
      <c r="C22" s="64">
        <f>B22*$G$12</f>
        <v>0</v>
      </c>
    </row>
    <row r="23" spans="1:4" x14ac:dyDescent="0.3">
      <c r="A23" s="63">
        <f>A22+(($C$18-$B$18)/$D$18)</f>
        <v>1500000</v>
      </c>
      <c r="B23" s="63">
        <f t="shared" si="0"/>
        <v>3146.7048505647108</v>
      </c>
      <c r="C23" s="64">
        <f t="shared" ref="C23:C42" si="1">B23*$G$12</f>
        <v>45878.95672123348</v>
      </c>
      <c r="D23" s="88">
        <f>(B23-B22)/A23</f>
        <v>2.0978032337098072E-3</v>
      </c>
    </row>
    <row r="24" spans="1:4" x14ac:dyDescent="0.3">
      <c r="A24" s="63">
        <f t="shared" ref="A24:A42" si="2">A23+(($C$18-$B$18)/$D$18)</f>
        <v>3000000</v>
      </c>
      <c r="B24" s="63">
        <f t="shared" si="0"/>
        <v>6167.3708850787953</v>
      </c>
      <c r="C24" s="64">
        <f t="shared" si="1"/>
        <v>89920.267504448842</v>
      </c>
      <c r="D24" s="88">
        <f t="shared" ref="D24:D42" si="3">(B24-B23)/A24</f>
        <v>1.0068886781713616E-3</v>
      </c>
    </row>
    <row r="25" spans="1:4" x14ac:dyDescent="0.3">
      <c r="A25" s="63">
        <f t="shared" si="2"/>
        <v>4500000</v>
      </c>
      <c r="B25" s="63">
        <f t="shared" si="0"/>
        <v>9066.905671833083</v>
      </c>
      <c r="C25" s="64">
        <f t="shared" si="1"/>
        <v>132195.48469532636</v>
      </c>
      <c r="D25" s="88">
        <f t="shared" si="3"/>
        <v>6.4434106372317505E-4</v>
      </c>
    </row>
    <row r="26" spans="1:4" x14ac:dyDescent="0.3">
      <c r="A26" s="63">
        <f t="shared" si="2"/>
        <v>6000000</v>
      </c>
      <c r="B26" s="63">
        <f t="shared" si="0"/>
        <v>11850.036930706352</v>
      </c>
      <c r="C26" s="64">
        <f t="shared" si="1"/>
        <v>172773.53844969862</v>
      </c>
      <c r="D26" s="88">
        <f t="shared" si="3"/>
        <v>4.6385520981221149E-4</v>
      </c>
    </row>
    <row r="27" spans="1:4" x14ac:dyDescent="0.3">
      <c r="A27" s="63">
        <f t="shared" si="2"/>
        <v>7500000</v>
      </c>
      <c r="B27" s="63">
        <f t="shared" si="0"/>
        <v>14521.318218343891</v>
      </c>
      <c r="C27" s="64">
        <f t="shared" si="1"/>
        <v>211720.81962345392</v>
      </c>
      <c r="D27" s="88">
        <f t="shared" si="3"/>
        <v>3.5617083835167188E-4</v>
      </c>
    </row>
    <row r="28" spans="1:4" x14ac:dyDescent="0.3">
      <c r="A28" s="63">
        <f t="shared" si="2"/>
        <v>9000000</v>
      </c>
      <c r="B28" s="63">
        <f t="shared" si="0"/>
        <v>17085.134509236552</v>
      </c>
      <c r="C28" s="64">
        <f t="shared" si="1"/>
        <v>249101.26114466894</v>
      </c>
      <c r="D28" s="88">
        <f t="shared" si="3"/>
        <v>2.8486847676585116E-4</v>
      </c>
    </row>
    <row r="29" spans="1:4" x14ac:dyDescent="0.3">
      <c r="A29" s="63">
        <f t="shared" si="2"/>
        <v>10500000</v>
      </c>
      <c r="B29" s="63">
        <f t="shared" si="0"/>
        <v>19545.707667482086</v>
      </c>
      <c r="C29" s="64">
        <f t="shared" si="1"/>
        <v>284976.41779188882</v>
      </c>
      <c r="D29" s="88">
        <f t="shared" si="3"/>
        <v>2.3434030078528891E-4</v>
      </c>
    </row>
    <row r="30" spans="1:4" x14ac:dyDescent="0.3">
      <c r="A30" s="63">
        <f t="shared" si="2"/>
        <v>12000000</v>
      </c>
      <c r="B30" s="63">
        <f t="shared" si="0"/>
        <v>21907.101804981008</v>
      </c>
      <c r="C30" s="64">
        <f t="shared" si="1"/>
        <v>319405.54431662313</v>
      </c>
      <c r="D30" s="88">
        <f t="shared" si="3"/>
        <v>1.9678284479157689E-4</v>
      </c>
    </row>
    <row r="31" spans="1:4" x14ac:dyDescent="0.3">
      <c r="A31" s="63">
        <f t="shared" si="2"/>
        <v>13500000</v>
      </c>
      <c r="B31" s="63">
        <f t="shared" si="0"/>
        <v>24173.228522458114</v>
      </c>
      <c r="C31" s="64">
        <f t="shared" si="1"/>
        <v>352445.67185743927</v>
      </c>
      <c r="D31" s="88">
        <f t="shared" si="3"/>
        <v>1.6786123833163744E-4</v>
      </c>
    </row>
    <row r="32" spans="1:4" x14ac:dyDescent="0.3">
      <c r="A32" s="63">
        <f t="shared" si="2"/>
        <v>15000000</v>
      </c>
      <c r="B32" s="63">
        <f t="shared" si="0"/>
        <v>26347.852030555718</v>
      </c>
      <c r="C32" s="64">
        <f t="shared" si="1"/>
        <v>384151.68260550237</v>
      </c>
      <c r="D32" s="88">
        <f t="shared" si="3"/>
        <v>1.4497490053984026E-4</v>
      </c>
    </row>
    <row r="33" spans="1:4" x14ac:dyDescent="0.3">
      <c r="A33" s="63">
        <f t="shared" si="2"/>
        <v>16500000</v>
      </c>
      <c r="B33" s="63">
        <f t="shared" si="0"/>
        <v>28434.594148796052</v>
      </c>
      <c r="C33" s="64">
        <f t="shared" si="1"/>
        <v>414576.38268944644</v>
      </c>
      <c r="D33" s="88">
        <f t="shared" si="3"/>
        <v>1.2646921928729298E-4</v>
      </c>
    </row>
    <row r="34" spans="1:4" x14ac:dyDescent="0.3">
      <c r="A34" s="63">
        <f>A33+(($C$18-$B$18)/$D$18)</f>
        <v>18000000</v>
      </c>
      <c r="B34" s="63">
        <f t="shared" si="0"/>
        <v>30436.93918087054</v>
      </c>
      <c r="C34" s="64">
        <f t="shared" si="1"/>
        <v>443770.5732570925</v>
      </c>
      <c r="D34" s="88">
        <f t="shared" si="3"/>
        <v>1.1124139067080492E-4</v>
      </c>
    </row>
    <row r="35" spans="1:4" x14ac:dyDescent="0.3">
      <c r="A35" s="63">
        <f t="shared" si="2"/>
        <v>19500000</v>
      </c>
      <c r="B35" s="63">
        <f t="shared" si="0"/>
        <v>32358.238665181212</v>
      </c>
      <c r="C35" s="64">
        <f t="shared" si="1"/>
        <v>471783.11973834207</v>
      </c>
      <c r="D35" s="88">
        <f t="shared" si="3"/>
        <v>9.8528178682598546E-5</v>
      </c>
    </row>
    <row r="36" spans="1:4" x14ac:dyDescent="0.3">
      <c r="A36" s="63">
        <f t="shared" si="2"/>
        <v>21000000</v>
      </c>
      <c r="B36" s="63">
        <f t="shared" si="0"/>
        <v>34201.71600010246</v>
      </c>
      <c r="C36" s="64">
        <f t="shared" si="1"/>
        <v>498661.01928149385</v>
      </c>
      <c r="D36" s="88">
        <f t="shared" si="3"/>
        <v>8.7784634996249916E-5</v>
      </c>
    </row>
    <row r="37" spans="1:4" x14ac:dyDescent="0.3">
      <c r="A37" s="63">
        <f t="shared" si="2"/>
        <v>22500000</v>
      </c>
      <c r="B37" s="63">
        <f t="shared" si="0"/>
        <v>35970.470943828113</v>
      </c>
      <c r="C37" s="64">
        <f t="shared" si="1"/>
        <v>524449.46636101394</v>
      </c>
      <c r="D37" s="88">
        <f t="shared" si="3"/>
        <v>7.8611330832251239E-5</v>
      </c>
    </row>
    <row r="38" spans="1:4" x14ac:dyDescent="0.3">
      <c r="A38" s="63">
        <f t="shared" si="2"/>
        <v>24000000</v>
      </c>
      <c r="B38" s="63">
        <f t="shared" si="0"/>
        <v>37667.483989051543</v>
      </c>
      <c r="C38" s="64">
        <f t="shared" si="1"/>
        <v>549191.91656037152</v>
      </c>
      <c r="D38" s="88">
        <f t="shared" si="3"/>
        <v>7.0708876884309577E-5</v>
      </c>
    </row>
    <row r="39" spans="1:4" x14ac:dyDescent="0.3">
      <c r="A39" s="63">
        <f t="shared" si="2"/>
        <v>25500000</v>
      </c>
      <c r="B39" s="63">
        <f t="shared" si="0"/>
        <v>39295.620613097213</v>
      </c>
      <c r="C39" s="64">
        <f t="shared" si="1"/>
        <v>572930.14853895735</v>
      </c>
      <c r="D39" s="88">
        <f t="shared" si="3"/>
        <v>6.3848495060614508E-5</v>
      </c>
    </row>
    <row r="40" spans="1:4" x14ac:dyDescent="0.3">
      <c r="A40" s="63">
        <f t="shared" si="2"/>
        <v>27000000</v>
      </c>
      <c r="B40" s="63">
        <f t="shared" si="0"/>
        <v>40857.635404410772</v>
      </c>
      <c r="C40" s="64">
        <f t="shared" si="1"/>
        <v>595704.32419630908</v>
      </c>
      <c r="D40" s="88">
        <f t="shared" si="3"/>
        <v>5.7852399678279955E-5</v>
      </c>
    </row>
    <row r="41" spans="1:4" x14ac:dyDescent="0.3">
      <c r="A41" s="63">
        <f>A40+(($C$18-$B$18)/$D$18)</f>
        <v>28500000</v>
      </c>
      <c r="B41" s="63">
        <f t="shared" si="0"/>
        <v>42356.176066589542</v>
      </c>
      <c r="C41" s="64">
        <f t="shared" si="1"/>
        <v>617553.0470508755</v>
      </c>
      <c r="D41" s="88">
        <f t="shared" si="3"/>
        <v>5.2580374111535778E-5</v>
      </c>
    </row>
    <row r="42" spans="1:4" x14ac:dyDescent="0.3">
      <c r="A42" s="63">
        <f t="shared" si="2"/>
        <v>30000000</v>
      </c>
      <c r="B42" s="63">
        <f t="shared" si="0"/>
        <v>43793.787301381119</v>
      </c>
      <c r="C42" s="64">
        <f t="shared" si="1"/>
        <v>638513.41885413672</v>
      </c>
      <c r="D42" s="88">
        <f t="shared" si="3"/>
        <v>4.7920374493052564E-5</v>
      </c>
    </row>
  </sheetData>
  <mergeCells count="11">
    <mergeCell ref="A17:A18"/>
    <mergeCell ref="A20:B20"/>
    <mergeCell ref="A11:A12"/>
    <mergeCell ref="G7:H7"/>
    <mergeCell ref="J11:J12"/>
    <mergeCell ref="J13:Q14"/>
    <mergeCell ref="B4:F4"/>
    <mergeCell ref="A7:A9"/>
    <mergeCell ref="B7:C7"/>
    <mergeCell ref="D7:F7"/>
    <mergeCell ref="A13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HCC Response S Curve 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2013-07-18T20:15:41Z</dcterms:modified>
</cp:coreProperties>
</file>