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8" yWindow="108" windowWidth="10692" windowHeight="10176"/>
  </bookViews>
  <sheets>
    <sheet name="Data" sheetId="1" r:id="rId1"/>
    <sheet name="Desktop Paid Search" sheetId="2" r:id="rId2"/>
    <sheet name="MCM Response S Curve 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I10" i="1" l="1"/>
  <c r="I12" i="1"/>
  <c r="H12" i="3" l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N12" i="3"/>
  <c r="M12" i="3"/>
  <c r="K12" i="3"/>
  <c r="L12" i="3" s="1"/>
  <c r="H9" i="3"/>
  <c r="G9" i="3"/>
  <c r="D9" i="3" s="1"/>
  <c r="C9" i="3"/>
  <c r="B9" i="3"/>
  <c r="O12" i="3" l="1"/>
  <c r="P12" i="3" s="1"/>
  <c r="Q12" i="3"/>
  <c r="J14" i="1"/>
  <c r="K14" i="1"/>
  <c r="J15" i="1"/>
  <c r="K15" i="1"/>
  <c r="J16" i="1"/>
  <c r="K16" i="1"/>
  <c r="J17" i="1"/>
  <c r="K17" i="1"/>
  <c r="J18" i="1"/>
  <c r="K18" i="1"/>
  <c r="B42" i="3" l="1"/>
  <c r="B38" i="3"/>
  <c r="C38" i="3" s="1"/>
  <c r="B34" i="3"/>
  <c r="C34" i="3" s="1"/>
  <c r="B30" i="3"/>
  <c r="C30" i="3" s="1"/>
  <c r="B39" i="3"/>
  <c r="B35" i="3"/>
  <c r="C35" i="3" s="1"/>
  <c r="B31" i="3"/>
  <c r="B23" i="3"/>
  <c r="C23" i="3" s="1"/>
  <c r="B40" i="3"/>
  <c r="B36" i="3"/>
  <c r="B32" i="3"/>
  <c r="B28" i="3"/>
  <c r="C28" i="3" s="1"/>
  <c r="B24" i="3"/>
  <c r="E9" i="3"/>
  <c r="F9" i="3" s="1"/>
  <c r="B41" i="3"/>
  <c r="C41" i="3" s="1"/>
  <c r="B37" i="3"/>
  <c r="B33" i="3"/>
  <c r="B29" i="3"/>
  <c r="B25" i="3"/>
  <c r="C25" i="3" s="1"/>
  <c r="B22" i="3"/>
  <c r="C22" i="3" s="1"/>
  <c r="B26" i="3"/>
  <c r="B27" i="3"/>
  <c r="C27" i="3" s="1"/>
  <c r="P5" i="1"/>
  <c r="D32" i="3" l="1"/>
  <c r="C32" i="3"/>
  <c r="D26" i="3"/>
  <c r="C26" i="3"/>
  <c r="D33" i="3"/>
  <c r="C33" i="3"/>
  <c r="D24" i="3"/>
  <c r="C24" i="3"/>
  <c r="D40" i="3"/>
  <c r="C40" i="3"/>
  <c r="D39" i="3"/>
  <c r="C39" i="3"/>
  <c r="D42" i="3"/>
  <c r="C42" i="3"/>
  <c r="D37" i="3"/>
  <c r="C37" i="3"/>
  <c r="D31" i="3"/>
  <c r="C31" i="3"/>
  <c r="D29" i="3"/>
  <c r="C29" i="3"/>
  <c r="D36" i="3"/>
  <c r="C36" i="3"/>
  <c r="D25" i="3"/>
  <c r="D41" i="3"/>
  <c r="D27" i="3"/>
  <c r="D35" i="3"/>
  <c r="D38" i="3"/>
  <c r="D28" i="3"/>
  <c r="D23" i="3"/>
  <c r="D30" i="3"/>
  <c r="D34" i="3"/>
  <c r="E18" i="1"/>
  <c r="G18" i="1" l="1"/>
  <c r="F18" i="1"/>
  <c r="E17" i="1"/>
  <c r="H17" i="1"/>
  <c r="G17" i="1" s="1"/>
  <c r="E16" i="1" l="1"/>
  <c r="G16" i="1"/>
  <c r="E15" i="1"/>
  <c r="G15" i="1"/>
  <c r="E14" i="1"/>
  <c r="E6" i="1"/>
  <c r="I18" i="1" s="1"/>
  <c r="G14" i="1"/>
  <c r="I11" i="1"/>
  <c r="E5" i="1"/>
  <c r="I13" i="1"/>
  <c r="H13" i="1"/>
  <c r="G13" i="1" s="1"/>
  <c r="F13" i="1"/>
  <c r="E13" i="1"/>
  <c r="F12" i="1"/>
  <c r="F11" i="1"/>
  <c r="F10" i="1"/>
  <c r="K12" i="1" l="1"/>
  <c r="J12" i="1"/>
  <c r="K13" i="1"/>
  <c r="J13" i="1"/>
  <c r="F19" i="1"/>
  <c r="I14" i="1"/>
  <c r="I17" i="1"/>
  <c r="I16" i="1"/>
  <c r="I15" i="1"/>
  <c r="H11" i="1"/>
  <c r="G11" i="1" s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K19" i="1" l="1"/>
  <c r="J19" i="1"/>
  <c r="F20" i="1"/>
  <c r="E11" i="1"/>
  <c r="G12" i="1"/>
  <c r="H12" i="1"/>
  <c r="K5" i="1" l="1"/>
  <c r="J20" i="1"/>
  <c r="K20" i="1"/>
  <c r="H10" i="1"/>
  <c r="G10" i="1" s="1"/>
  <c r="E12" i="1"/>
  <c r="E19" i="1" l="1"/>
  <c r="G19" i="1" s="1"/>
  <c r="E10" i="1"/>
  <c r="E20" i="1" l="1"/>
  <c r="H19" i="1"/>
  <c r="H20" i="1" s="1"/>
  <c r="I19" i="1"/>
  <c r="I20" i="1" s="1"/>
  <c r="G20" i="1"/>
  <c r="L5" i="1" l="1"/>
  <c r="S5" i="1" s="1"/>
  <c r="T5" i="1" s="1"/>
  <c r="I21" i="1"/>
  <c r="M5" i="1" l="1"/>
  <c r="N5" i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 xml:space="preserve">Jane Folske:
</t>
        </r>
        <r>
          <rPr>
            <sz val="9"/>
            <color indexed="81"/>
            <rFont val="Tahoma"/>
            <family val="2"/>
          </rPr>
          <t>Aug'01 - Jun'12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<sst xmlns="http://schemas.openxmlformats.org/spreadsheetml/2006/main" count="148" uniqueCount="133">
  <si>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</si>
  <si>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</si>
  <si>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</si>
  <si>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</si>
  <si>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</si>
  <si>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</si>
  <si>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</si>
  <si>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</si>
  <si>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</si>
  <si>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</si>
  <si>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</si>
  <si>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</si>
  <si>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</si>
  <si>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</si>
  <si>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</si>
  <si>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</si>
  <si>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PRA</t>
  </si>
  <si>
    <t>after-tax 3-year NPV/new patient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</si>
  <si>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</si>
  <si>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</si>
  <si>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</si>
  <si>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</si>
  <si>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</si>
  <si>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</si>
  <si>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</si>
  <si>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</si>
  <si>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</si>
  <si>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</si>
  <si>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</si>
  <si>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</si>
  <si>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</si>
  <si>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</si>
  <si>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</si>
  <si>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</si>
  <si>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</si>
  <si>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</si>
  <si>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</si>
  <si>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>multi</t>
  </si>
  <si>
    <t>PeerDirect ONLINE</t>
  </si>
  <si>
    <t>see &lt;\\wpushh01\dinfopln\PRA\Multichannel Marketing\Januvia\Peer Direct\2011\ALIGN_MODEL RESULTS_2011.XLS&gt;</t>
  </si>
  <si>
    <t>Epocrates DocAlerts</t>
  </si>
  <si>
    <t>see &lt;\\wpushh01\dinfopln\PRA\Multichannel Marketing\ePocrates exMerck measurements\Januvia 2010\Januvia 2010 Doc Alert ROI Calculation.xls&gt;</t>
  </si>
  <si>
    <t>Epocrates EP</t>
  </si>
  <si>
    <t>see &lt;\\wpushh01\dinfopln\PRA\Multichannel Marketing\ePocrates exMerck measurements\Essential Points - Januvia 2010\Merck_Januvia_EP_2011 v1.xls&gt;</t>
  </si>
  <si>
    <t>PracticeWire</t>
  </si>
  <si>
    <t>see &lt;\\wpushh01\dinfopln\PRA\Consultation\Healthy Advice - PracticeWire\Jantot\Dollarizing Januvia PracticeWire - Internal ROI analysis.xls&gt;</t>
  </si>
  <si>
    <t>PeerDirect</t>
  </si>
  <si>
    <t>CCS</t>
  </si>
  <si>
    <t>WebMD Learning Hub</t>
  </si>
  <si>
    <t>PTN</t>
  </si>
  <si>
    <t>Total planned 2013 spend (Ennis):</t>
  </si>
  <si>
    <t>PI MedAlerts</t>
  </si>
  <si>
    <t>Note: planned spend includes:</t>
  </si>
  <si>
    <t>of "support" costs (Evolution Road, DraftFCB, "TeamMerck" for execution/list production, some digital publishing cost)</t>
  </si>
  <si>
    <t>Merck Diabetes Franchise MCM Media Mix: Incremental NRx per Tactic with ROI, Spend and Incremental Revenue</t>
  </si>
  <si>
    <t>Other Programs</t>
  </si>
  <si>
    <t>EST</t>
  </si>
  <si>
    <t>assume weighted average of prior</t>
  </si>
  <si>
    <t>Max Y Assumptions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</si>
  <si>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</si>
  <si>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Pre-Tax Spend</t>
  </si>
  <si>
    <t>Estimated Incr. NRx</t>
  </si>
  <si>
    <t>Estimated Incr. NRx (as % of NPA NRx)</t>
  </si>
  <si>
    <t>Anticipated Max Incr. NRx</t>
  </si>
  <si>
    <t>* Note: The above marron colored values are used to construct lodish type response curve for HCC</t>
  </si>
  <si>
    <t>ROI Estimated as weighted average of included ROI's. Missing $ comes from the planned 2013 spend - included programs with various assumptions like 2010 spend is same as 2013 spend.</t>
  </si>
  <si>
    <t>TOTAL</t>
  </si>
  <si>
    <t>MCM Spend per Incr. NRx</t>
  </si>
  <si>
    <t>2013 Planned Spend for MCM</t>
  </si>
  <si>
    <t>Anticipated Max Incr. NRx (in %) when MCM spend is increased to infinite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</si>
  <si>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</si>
  <si>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</si>
  <si>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</si>
  <si>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</si>
  <si>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</si>
  <si>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</si>
  <si>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</si>
  <si>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</si>
  <si>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</si>
  <si>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</si>
  <si>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Incr. NRx</t>
  </si>
  <si>
    <t>Ybase</t>
  </si>
  <si>
    <t xml:space="preserve"> NRx</t>
  </si>
  <si>
    <t>Function Type</t>
  </si>
  <si>
    <t>S type curve estimation(Lodish). Adjusted with respect to Y base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</si>
  <si>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</si>
  <si>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</si>
  <si>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</si>
  <si>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</si>
  <si>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</si>
  <si>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</si>
  <si>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</si>
  <si>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</si>
  <si>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</si>
  <si>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</si>
  <si>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</si>
  <si>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</si>
  <si>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</si>
  <si>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</si>
  <si>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</si>
  <si>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</si>
  <si>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</si>
  <si>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</si>
  <si>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</si>
  <si>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</si>
  <si>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</si>
  <si>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</si>
  <si>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</si>
  <si>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</si>
  <si>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</si>
  <si>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</si>
  <si>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</si>
  <si>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</si>
  <si>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</si>
  <si>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</si>
  <si>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</si>
  <si>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</si>
  <si>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In here, lodish curve is applied to YLmin = Ybase - Ycurr and YLmax = YLmin + Ymax.</t>
  </si>
  <si>
    <t xml:space="preserve">In terms of NRx, Ybase = Curr NRx; YLmin =  Curr NRx - Curr Incr. NRx(Yc).; YLMax = YLMin + Max Possible Incr. NRx (Ymax); Ymin = min Incr NRx for no investmet; </t>
  </si>
  <si>
    <t>Incr. NRx slope</t>
  </si>
  <si>
    <t>Y (Incr. NRx)</t>
  </si>
  <si>
    <t>YT (Incr. TRx)</t>
  </si>
  <si>
    <t>YT unit</t>
  </si>
  <si>
    <t>Incr. TRx</t>
  </si>
  <si>
    <t>Optimal YT value</t>
  </si>
  <si>
    <t>Multiplication Factor (3yr Adherence Rxs)</t>
  </si>
  <si>
    <t>YT Current</t>
  </si>
  <si>
    <t>Projection to Incr. TRx scale (2012 spend)</t>
  </si>
  <si>
    <t>3-Year Adherence Rxs of a New patient</t>
  </si>
  <si>
    <t>Estimated Incr. TRx</t>
  </si>
  <si>
    <t>HCC Spend per Incr. TRx</t>
  </si>
  <si>
    <t>* note: above included amounts are considered as the approximate spends for 2012.</t>
  </si>
  <si>
    <t>2012 Summary (for many tactics, 2012 spends are assumed to be similar to 2013 distributions)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</si>
</sst>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0.000%"/>
    <numFmt numFmtId="168" formatCode="&quot;$&quot;#,##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4" fillId="0" borderId="32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33" applyNumberFormat="0" applyAlignment="0" applyProtection="0"/>
    <xf numFmtId="0" fontId="29" fillId="17" borderId="34" applyNumberFormat="0" applyAlignment="0" applyProtection="0"/>
    <xf numFmtId="0" fontId="30" fillId="17" borderId="33" applyNumberFormat="0" applyAlignment="0" applyProtection="0"/>
    <xf numFmtId="0" fontId="31" fillId="0" borderId="35" applyNumberFormat="0" applyFill="0" applyAlignment="0" applyProtection="0"/>
    <xf numFmtId="0" fontId="2" fillId="18" borderId="36" applyNumberFormat="0" applyAlignment="0" applyProtection="0"/>
    <xf numFmtId="0" fontId="32" fillId="0" borderId="0" applyNumberFormat="0" applyFill="0" applyBorder="0" applyAlignment="0" applyProtection="0"/>
    <xf numFmtId="0" fontId="1" fillId="19" borderId="37" applyNumberFormat="0" applyFont="0" applyAlignment="0" applyProtection="0"/>
    <xf numFmtId="0" fontId="33" fillId="0" borderId="0" applyNumberFormat="0" applyFill="0" applyBorder="0" applyAlignment="0" applyProtection="0"/>
    <xf numFmtId="0" fontId="7" fillId="0" borderId="38" applyNumberFormat="0" applyFill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1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4" fontId="0" fillId="0" borderId="0" xfId="0" applyNumberFormat="1"/>
    <xf numFmtId="0" fontId="6" fillId="4" borderId="0" xfId="5" applyFont="1"/>
    <xf numFmtId="0" fontId="6" fillId="0" borderId="0" xfId="0" applyFont="1"/>
    <xf numFmtId="0" fontId="0" fillId="5" borderId="0" xfId="0" applyFill="1"/>
    <xf numFmtId="164" fontId="0" fillId="5" borderId="0" xfId="2" applyNumberFormat="1" applyFont="1" applyFill="1"/>
    <xf numFmtId="0" fontId="7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44" fontId="7" fillId="6" borderId="1" xfId="2" applyFont="1" applyFill="1" applyBorder="1"/>
    <xf numFmtId="3" fontId="10" fillId="0" borderId="1" xfId="0" applyNumberFormat="1" applyFont="1" applyBorder="1"/>
    <xf numFmtId="164" fontId="11" fillId="6" borderId="1" xfId="0" applyNumberFormat="1" applyFont="1" applyFill="1" applyBorder="1"/>
    <xf numFmtId="165" fontId="11" fillId="6" borderId="1" xfId="0" applyNumberFormat="1" applyFont="1" applyFill="1" applyBorder="1"/>
    <xf numFmtId="10" fontId="7" fillId="6" borderId="1" xfId="6" applyNumberFormat="1" applyFont="1" applyFill="1" applyBorder="1"/>
    <xf numFmtId="9" fontId="11" fillId="6" borderId="1" xfId="0" applyNumberFormat="1" applyFont="1" applyFill="1" applyBorder="1"/>
    <xf numFmtId="165" fontId="11" fillId="6" borderId="1" xfId="1" applyNumberFormat="1" applyFont="1" applyFill="1" applyBorder="1"/>
    <xf numFmtId="0" fontId="13" fillId="0" borderId="0" xfId="0" applyFont="1" applyFill="1"/>
    <xf numFmtId="166" fontId="7" fillId="0" borderId="0" xfId="0" applyNumberFormat="1" applyFont="1"/>
    <xf numFmtId="14" fontId="0" fillId="0" borderId="0" xfId="0" applyNumberFormat="1" applyAlignment="1">
      <alignment wrapText="1"/>
    </xf>
    <xf numFmtId="0" fontId="14" fillId="5" borderId="0" xfId="0" applyFont="1" applyFill="1"/>
    <xf numFmtId="14" fontId="14" fillId="5" borderId="0" xfId="0" applyNumberFormat="1" applyFont="1" applyFill="1"/>
    <xf numFmtId="166" fontId="14" fillId="5" borderId="0" xfId="0" applyNumberFormat="1" applyFont="1" applyFill="1"/>
    <xf numFmtId="164" fontId="14" fillId="5" borderId="0" xfId="2" applyNumberFormat="1" applyFont="1" applyFill="1"/>
    <xf numFmtId="165" fontId="14" fillId="5" borderId="0" xfId="1" applyNumberFormat="1" applyFont="1" applyFill="1"/>
    <xf numFmtId="0" fontId="11" fillId="0" borderId="0" xfId="0" applyFont="1"/>
    <xf numFmtId="164" fontId="6" fillId="4" borderId="0" xfId="5" applyNumberFormat="1" applyFont="1"/>
    <xf numFmtId="166" fontId="15" fillId="4" borderId="0" xfId="5" applyNumberFormat="1" applyFont="1"/>
    <xf numFmtId="167" fontId="7" fillId="8" borderId="1" xfId="6" applyNumberFormat="1" applyFont="1" applyFill="1" applyBorder="1"/>
    <xf numFmtId="164" fontId="6" fillId="4" borderId="0" xfId="2" applyNumberFormat="1" applyFont="1" applyFill="1"/>
    <xf numFmtId="165" fontId="15" fillId="4" borderId="0" xfId="5" applyNumberFormat="1" applyFont="1"/>
    <xf numFmtId="0" fontId="0" fillId="5" borderId="0" xfId="0" applyFill="1" applyAlignment="1">
      <alignment wrapText="1"/>
    </xf>
    <xf numFmtId="44" fontId="7" fillId="6" borderId="1" xfId="2" applyFont="1" applyFill="1" applyBorder="1" applyAlignment="1">
      <alignment wrapText="1"/>
    </xf>
    <xf numFmtId="164" fontId="12" fillId="6" borderId="1" xfId="2" applyNumberFormat="1" applyFont="1" applyFill="1" applyBorder="1" applyAlignment="1">
      <alignment horizontal="center"/>
    </xf>
    <xf numFmtId="0" fontId="16" fillId="9" borderId="2" xfId="0" applyFont="1" applyFill="1" applyBorder="1"/>
    <xf numFmtId="0" fontId="17" fillId="0" borderId="0" xfId="0" applyFont="1"/>
    <xf numFmtId="0" fontId="17" fillId="10" borderId="6" xfId="0" applyFont="1" applyFill="1" applyBorder="1" applyAlignment="1">
      <alignment horizontal="left"/>
    </xf>
    <xf numFmtId="0" fontId="17" fillId="10" borderId="7" xfId="0" applyFont="1" applyFill="1" applyBorder="1" applyAlignment="1">
      <alignment horizontal="left"/>
    </xf>
    <xf numFmtId="0" fontId="17" fillId="10" borderId="8" xfId="0" applyFont="1" applyFill="1" applyBorder="1" applyAlignment="1">
      <alignment horizontal="left"/>
    </xf>
    <xf numFmtId="9" fontId="17" fillId="0" borderId="0" xfId="0" applyNumberFormat="1" applyFont="1"/>
    <xf numFmtId="0" fontId="16" fillId="9" borderId="1" xfId="0" applyFont="1" applyFill="1" applyBorder="1" applyAlignment="1">
      <alignment horizontal="center" vertical="center" wrapText="1"/>
    </xf>
    <xf numFmtId="164" fontId="17" fillId="10" borderId="19" xfId="2" applyNumberFormat="1" applyFont="1" applyFill="1" applyBorder="1"/>
    <xf numFmtId="3" fontId="17" fillId="10" borderId="19" xfId="0" applyNumberFormat="1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7" fillId="10" borderId="19" xfId="0" applyFont="1" applyFill="1" applyBorder="1"/>
    <xf numFmtId="165" fontId="17" fillId="10" borderId="22" xfId="1" applyNumberFormat="1" applyFont="1" applyFill="1" applyBorder="1"/>
    <xf numFmtId="168" fontId="17" fillId="10" borderId="19" xfId="2" applyNumberFormat="1" applyFont="1" applyFill="1" applyBorder="1"/>
    <xf numFmtId="168" fontId="17" fillId="10" borderId="19" xfId="0" applyNumberFormat="1" applyFont="1" applyFill="1" applyBorder="1"/>
    <xf numFmtId="0" fontId="17" fillId="12" borderId="22" xfId="0" applyFont="1" applyFill="1" applyBorder="1"/>
    <xf numFmtId="0" fontId="17" fillId="0" borderId="1" xfId="0" applyFont="1" applyBorder="1"/>
    <xf numFmtId="37" fontId="17" fillId="0" borderId="1" xfId="0" applyNumberFormat="1" applyFont="1" applyBorder="1"/>
    <xf numFmtId="0" fontId="16" fillId="9" borderId="23" xfId="0" applyFont="1" applyFill="1" applyBorder="1"/>
    <xf numFmtId="0" fontId="17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6" fillId="9" borderId="3" xfId="0" applyFont="1" applyFill="1" applyBorder="1"/>
    <xf numFmtId="0" fontId="17" fillId="10" borderId="4" xfId="0" applyFont="1" applyFill="1" applyBorder="1"/>
    <xf numFmtId="0" fontId="16" fillId="9" borderId="4" xfId="0" applyFont="1" applyFill="1" applyBorder="1"/>
    <xf numFmtId="0" fontId="17" fillId="10" borderId="5" xfId="0" applyFont="1" applyFill="1" applyBorder="1"/>
    <xf numFmtId="0" fontId="16" fillId="9" borderId="18" xfId="0" applyFont="1" applyFill="1" applyBorder="1"/>
    <xf numFmtId="0" fontId="17" fillId="10" borderId="19" xfId="0" applyFont="1" applyFill="1" applyBorder="1"/>
    <xf numFmtId="0" fontId="16" fillId="9" borderId="19" xfId="0" applyFont="1" applyFill="1" applyBorder="1"/>
    <xf numFmtId="0" fontId="17" fillId="10" borderId="22" xfId="0" applyFont="1" applyFill="1" applyBorder="1"/>
    <xf numFmtId="0" fontId="16" fillId="9" borderId="1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9" borderId="16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164" fontId="17" fillId="10" borderId="19" xfId="2" applyNumberFormat="1" applyFont="1" applyFill="1" applyBorder="1"/>
    <xf numFmtId="164" fontId="18" fillId="11" borderId="20" xfId="2" applyNumberFormat="1" applyFont="1" applyFill="1" applyBorder="1"/>
    <xf numFmtId="165" fontId="17" fillId="12" borderId="19" xfId="0" applyNumberFormat="1" applyFont="1" applyFill="1" applyBorder="1" applyAlignment="1">
      <alignment horizontal="center" vertical="center" wrapText="1"/>
    </xf>
    <xf numFmtId="164" fontId="17" fillId="12" borderId="19" xfId="2" applyNumberFormat="1" applyFont="1" applyFill="1" applyBorder="1" applyAlignment="1">
      <alignment horizontal="center" vertical="center" wrapText="1"/>
    </xf>
    <xf numFmtId="0" fontId="17" fillId="12" borderId="19" xfId="0" applyNumberFormat="1" applyFont="1" applyFill="1" applyBorder="1" applyAlignment="1">
      <alignment horizontal="center" vertical="center" wrapText="1"/>
    </xf>
    <xf numFmtId="165" fontId="17" fillId="12" borderId="22" xfId="0" applyNumberFormat="1" applyFont="1" applyFill="1" applyBorder="1" applyAlignment="1">
      <alignment horizontal="center" vertical="center" wrapText="1"/>
    </xf>
    <xf numFmtId="0" fontId="16" fillId="9" borderId="39" xfId="0" applyFont="1" applyFill="1" applyBorder="1" applyAlignment="1">
      <alignment horizontal="center" vertical="center" wrapText="1"/>
    </xf>
    <xf numFmtId="3" fontId="18" fillId="11" borderId="40" xfId="0" applyNumberFormat="1" applyFont="1" applyFill="1" applyBorder="1"/>
    <xf numFmtId="3" fontId="18" fillId="11" borderId="19" xfId="0" applyNumberFormat="1" applyFont="1" applyFill="1" applyBorder="1"/>
    <xf numFmtId="3" fontId="17" fillId="10" borderId="22" xfId="0" applyNumberFormat="1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165" fontId="17" fillId="12" borderId="19" xfId="0" applyNumberFormat="1" applyFont="1" applyFill="1" applyBorder="1" applyAlignment="1">
      <alignment horizontal="center" vertical="center" wrapText="1"/>
    </xf>
    <xf numFmtId="43" fontId="17" fillId="10" borderId="22" xfId="1" applyNumberFormat="1" applyFont="1" applyFill="1" applyBorder="1"/>
    <xf numFmtId="44" fontId="7" fillId="6" borderId="1" xfId="2" applyFont="1" applyFill="1" applyBorder="1"/>
    <xf numFmtId="44" fontId="7" fillId="6" borderId="1" xfId="2" applyFont="1" applyFill="1" applyBorder="1" applyAlignment="1">
      <alignment wrapText="1"/>
    </xf>
    <xf numFmtId="39" fontId="7" fillId="6" borderId="1" xfId="2" applyNumberFormat="1" applyFont="1" applyFill="1" applyBorder="1"/>
    <xf numFmtId="164" fontId="7" fillId="6" borderId="1" xfId="2" applyNumberFormat="1" applyFont="1" applyFill="1" applyBorder="1"/>
    <xf numFmtId="0" fontId="2" fillId="3" borderId="0" xfId="4" applyFont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wrapText="1"/>
    </xf>
    <xf numFmtId="0" fontId="17" fillId="9" borderId="42" xfId="0" applyFont="1" applyFill="1" applyBorder="1" applyAlignment="1">
      <alignment horizont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53">
    <cellStyle name="20% - Accent1" xfId="33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7" builtinId="46" customBuiltin="1"/>
    <cellStyle name="20% - Accent6" xfId="51" builtinId="50" customBuiltin="1"/>
    <cellStyle name="40% - Accent1" xfId="34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8" builtinId="47" customBuiltin="1"/>
    <cellStyle name="40% - Accent6" xfId="52" builtinId="51" customBuiltin="1"/>
    <cellStyle name="60% - Accent1" xfId="3" builtinId="32" customBuiltin="1"/>
    <cellStyle name="60% - Accent2" xfId="38" builtinId="36" customBuiltin="1"/>
    <cellStyle name="60% - Accent3" xfId="42" builtinId="40" customBuiltin="1"/>
    <cellStyle name="60% - Accent4" xfId="4" builtinId="44" customBuiltin="1"/>
    <cellStyle name="60% - Accent5" xfId="49" builtinId="48" customBuiltin="1"/>
    <cellStyle name="60% - Accent6" xfId="5" builtinId="52" customBuiltin="1"/>
    <cellStyle name="Accent1" xfId="32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6" builtinId="45" customBuiltin="1"/>
    <cellStyle name="Accent6" xfId="50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Comma 2" xfId="7"/>
    <cellStyle name="Comma 2 2" xfId="8"/>
    <cellStyle name="Comma 2 3" xfId="9"/>
    <cellStyle name="Currency" xfId="2" builtinId="4"/>
    <cellStyle name="Currency 2" xfId="10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11"/>
    <cellStyle name="Normal 2 2" xfId="12"/>
    <cellStyle name="Normal 2 3" xfId="13"/>
    <cellStyle name="Note" xfId="29" builtinId="10" customBuiltin="1"/>
    <cellStyle name="Output" xfId="24" builtinId="21" customBuiltin="1"/>
    <cellStyle name="Percent" xfId="6" builtinId="5"/>
    <cellStyle name="Percent 2" xfId="14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1936"/>
        <c:axId val="162448128"/>
      </c:scatterChart>
      <c:valAx>
        <c:axId val="95271936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2448128"/>
        <c:crosses val="autoZero"/>
        <c:crossBetween val="midCat"/>
      </c:valAx>
      <c:valAx>
        <c:axId val="16244812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5271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NRx)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'MCM Response S Curve 3'!$B$12</c:f>
              <c:numCache>
                <c:formatCode>_("$"* #,##0_);_("$"* \(#,##0\);_("$"* "-"??_);_(@_)</c:formatCode>
                <c:ptCount val="1"/>
                <c:pt idx="0">
                  <c:v>7032507</c:v>
                </c:pt>
              </c:numCache>
            </c:numRef>
          </c:xVal>
          <c:yVal>
            <c:numRef>
              <c:f>'MCM Response S Curve 3'!$C$12</c:f>
              <c:numCache>
                <c:formatCode>#,##0</c:formatCode>
                <c:ptCount val="1"/>
                <c:pt idx="0">
                  <c:v>29842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'MCM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'MCM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2500000</c:v>
                </c:pt>
                <c:pt idx="2">
                  <c:v>5000000</c:v>
                </c:pt>
                <c:pt idx="3">
                  <c:v>7500000</c:v>
                </c:pt>
                <c:pt idx="4">
                  <c:v>10000000</c:v>
                </c:pt>
                <c:pt idx="5">
                  <c:v>12500000</c:v>
                </c:pt>
                <c:pt idx="6">
                  <c:v>15000000</c:v>
                </c:pt>
                <c:pt idx="7">
                  <c:v>17500000</c:v>
                </c:pt>
                <c:pt idx="8">
                  <c:v>20000000</c:v>
                </c:pt>
                <c:pt idx="9">
                  <c:v>22500000</c:v>
                </c:pt>
                <c:pt idx="10">
                  <c:v>25000000</c:v>
                </c:pt>
                <c:pt idx="11">
                  <c:v>27500000</c:v>
                </c:pt>
                <c:pt idx="12">
                  <c:v>30000000</c:v>
                </c:pt>
                <c:pt idx="13">
                  <c:v>32500000</c:v>
                </c:pt>
                <c:pt idx="14">
                  <c:v>35000000</c:v>
                </c:pt>
                <c:pt idx="15">
                  <c:v>37500000</c:v>
                </c:pt>
                <c:pt idx="16">
                  <c:v>40000000</c:v>
                </c:pt>
                <c:pt idx="17">
                  <c:v>42500000</c:v>
                </c:pt>
                <c:pt idx="18">
                  <c:v>45000000</c:v>
                </c:pt>
                <c:pt idx="19">
                  <c:v>47500000</c:v>
                </c:pt>
                <c:pt idx="20">
                  <c:v>50000000</c:v>
                </c:pt>
              </c:numCache>
            </c:numRef>
          </c:xVal>
          <c:yVal>
            <c:numRef>
              <c:f>'MCM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11326.237929104827</c:v>
                </c:pt>
                <c:pt idx="2">
                  <c:v>21846.031606205739</c:v>
                </c:pt>
                <c:pt idx="3">
                  <c:v>31613.763577678241</c:v>
                </c:pt>
                <c:pt idx="4">
                  <c:v>40680.580946656875</c:v>
                </c:pt>
                <c:pt idx="5">
                  <c:v>49094.524994575419</c:v>
                </c:pt>
                <c:pt idx="6">
                  <c:v>56900.665580376983</c:v>
                </c:pt>
                <c:pt idx="7">
                  <c:v>64141.238228917122</c:v>
                </c:pt>
                <c:pt idx="8">
                  <c:v>70855.782156453468</c:v>
                </c:pt>
                <c:pt idx="9">
                  <c:v>77081.277779318392</c:v>
                </c:pt>
                <c:pt idx="10">
                  <c:v>82852.282514413819</c:v>
                </c:pt>
                <c:pt idx="11">
                  <c:v>88201.063909554854</c:v>
                </c:pt>
                <c:pt idx="12">
                  <c:v>93157.729340983555</c:v>
                </c:pt>
                <c:pt idx="13">
                  <c:v>97750.351687090471</c:v>
                </c:pt>
                <c:pt idx="14">
                  <c:v>102005.09053453896</c:v>
                </c:pt>
                <c:pt idx="15">
                  <c:v>105946.30859808903</c:v>
                </c:pt>
                <c:pt idx="16">
                  <c:v>109596.68314100523</c:v>
                </c:pt>
                <c:pt idx="17">
                  <c:v>112977.31227134541</c:v>
                </c:pt>
                <c:pt idx="18">
                  <c:v>116107.81606279686</c:v>
                </c:pt>
                <c:pt idx="19">
                  <c:v>119006.43250893801</c:v>
                </c:pt>
                <c:pt idx="20">
                  <c:v>121690.10836875997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8528"/>
        <c:axId val="163009280"/>
      </c:scatterChart>
      <c:valAx>
        <c:axId val="162998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3009280"/>
        <c:crosses val="autoZero"/>
        <c:crossBetween val="midCat"/>
        <c:dispUnits>
          <c:builtInUnit val="millions"/>
        </c:dispUnits>
      </c:valAx>
      <c:valAx>
        <c:axId val="1630092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29985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TRx)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'MCM Response S Curve 3'!$B$12</c:f>
              <c:numCache>
                <c:formatCode>_("$"* #,##0_);_("$"* \(#,##0\);_("$"* "-"??_);_(@_)</c:formatCode>
                <c:ptCount val="1"/>
                <c:pt idx="0">
                  <c:v>7032507</c:v>
                </c:pt>
              </c:numCache>
            </c:numRef>
          </c:xVal>
          <c:yVal>
            <c:numRef>
              <c:f>'MCM Response S Curve 3'!$H$12</c:f>
              <c:numCache>
                <c:formatCode>_(* #,##0_);_(* \(#,##0\);_(* "-"??_);_(@_)</c:formatCode>
                <c:ptCount val="1"/>
                <c:pt idx="0">
                  <c:v>344078.26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'MCM Response S Curve 3'!$F$2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'MCM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2500000</c:v>
                </c:pt>
                <c:pt idx="2">
                  <c:v>5000000</c:v>
                </c:pt>
                <c:pt idx="3">
                  <c:v>7500000</c:v>
                </c:pt>
                <c:pt idx="4">
                  <c:v>10000000</c:v>
                </c:pt>
                <c:pt idx="5">
                  <c:v>12500000</c:v>
                </c:pt>
                <c:pt idx="6">
                  <c:v>15000000</c:v>
                </c:pt>
                <c:pt idx="7">
                  <c:v>17500000</c:v>
                </c:pt>
                <c:pt idx="8">
                  <c:v>20000000</c:v>
                </c:pt>
                <c:pt idx="9">
                  <c:v>22500000</c:v>
                </c:pt>
                <c:pt idx="10">
                  <c:v>25000000</c:v>
                </c:pt>
                <c:pt idx="11">
                  <c:v>27500000</c:v>
                </c:pt>
                <c:pt idx="12">
                  <c:v>30000000</c:v>
                </c:pt>
                <c:pt idx="13">
                  <c:v>32500000</c:v>
                </c:pt>
                <c:pt idx="14">
                  <c:v>35000000</c:v>
                </c:pt>
                <c:pt idx="15">
                  <c:v>37500000</c:v>
                </c:pt>
                <c:pt idx="16">
                  <c:v>40000000</c:v>
                </c:pt>
                <c:pt idx="17">
                  <c:v>42500000</c:v>
                </c:pt>
                <c:pt idx="18">
                  <c:v>45000000</c:v>
                </c:pt>
                <c:pt idx="19">
                  <c:v>47500000</c:v>
                </c:pt>
                <c:pt idx="20">
                  <c:v>50000000</c:v>
                </c:pt>
              </c:numCache>
            </c:numRef>
          </c:xVal>
          <c:yVal>
            <c:numRef>
              <c:f>'MCM Response S Curve 3'!$C$22:$C$42</c:f>
              <c:numCache>
                <c:formatCode>#,##0_);\(#,##0\)</c:formatCode>
                <c:ptCount val="21"/>
                <c:pt idx="0">
                  <c:v>0</c:v>
                </c:pt>
                <c:pt idx="1">
                  <c:v>130591.52332257865</c:v>
                </c:pt>
                <c:pt idx="2">
                  <c:v>251884.74441955215</c:v>
                </c:pt>
                <c:pt idx="3">
                  <c:v>364506.69405063009</c:v>
                </c:pt>
                <c:pt idx="4">
                  <c:v>469047.09831495374</c:v>
                </c:pt>
                <c:pt idx="5">
                  <c:v>566059.87318745453</c:v>
                </c:pt>
                <c:pt idx="6">
                  <c:v>656064.6741417466</c:v>
                </c:pt>
                <c:pt idx="7">
                  <c:v>739548.47677941434</c:v>
                </c:pt>
                <c:pt idx="8">
                  <c:v>816967.16826390848</c:v>
                </c:pt>
                <c:pt idx="9">
                  <c:v>888747.13279554097</c:v>
                </c:pt>
                <c:pt idx="10">
                  <c:v>955286.81739119126</c:v>
                </c:pt>
                <c:pt idx="11">
                  <c:v>1016958.2668771674</c:v>
                </c:pt>
                <c:pt idx="12">
                  <c:v>1074108.6193015403</c:v>
                </c:pt>
                <c:pt idx="13">
                  <c:v>1127061.554952153</c:v>
                </c:pt>
                <c:pt idx="14">
                  <c:v>1176118.6938632342</c:v>
                </c:pt>
                <c:pt idx="15">
                  <c:v>1221560.9381359664</c:v>
                </c:pt>
                <c:pt idx="16">
                  <c:v>1263649.7566157901</c:v>
                </c:pt>
                <c:pt idx="17">
                  <c:v>1302628.4104886125</c:v>
                </c:pt>
                <c:pt idx="18">
                  <c:v>1338723.1192040478</c:v>
                </c:pt>
                <c:pt idx="19">
                  <c:v>1372144.1668280552</c:v>
                </c:pt>
                <c:pt idx="20">
                  <c:v>1403086.9494918024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47296"/>
        <c:axId val="162795904"/>
      </c:scatterChart>
      <c:valAx>
        <c:axId val="163047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2795904"/>
        <c:crosses val="autoZero"/>
        <c:crossBetween val="midCat"/>
        <c:dispUnits>
          <c:builtInUnit val="millions"/>
        </c:dispUnits>
      </c:valAx>
      <c:valAx>
        <c:axId val="1627959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63047296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19</xdr:row>
      <xdr:rowOff>41910</xdr:rowOff>
    </xdr:from>
    <xdr:to>
      <xdr:col>10</xdr:col>
      <xdr:colOff>518160</xdr:colOff>
      <xdr:row>34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35</xdr:row>
      <xdr:rowOff>114300</xdr:rowOff>
    </xdr:from>
    <xdr:to>
      <xdr:col>10</xdr:col>
      <xdr:colOff>541020</xdr:colOff>
      <xdr:row>51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Essential%20Points%20-%20Januvia%202010/Merck_Januvia_EP_2011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Januvia/Peer%20Direct/2011/ALIGN_MODEL%20RESULTS_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Januvia%202010/Januvia%202010%20Doc%20Alert%20ROI%20Calcul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racticeWire%20-%20Internal%20ROI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VIA_crosstabs"/>
      <sheetName val="JANUVIA_userbymonth"/>
      <sheetName val="Waterfall"/>
      <sheetName val="JANUVIA_ttests"/>
      <sheetName val="JANUVIA_volbyprepost"/>
      <sheetName val="JANUVIA_regression_all"/>
      <sheetName val="JANUVIA_regression_startcomp"/>
      <sheetName val="ROI by Pgm Type"/>
    </sheetNames>
    <sheetDataSet>
      <sheetData sheetId="0"/>
      <sheetData sheetId="1"/>
      <sheetData sheetId="2"/>
      <sheetData sheetId="3"/>
      <sheetData sheetId="4"/>
      <sheetData sheetId="5">
        <row r="16">
          <cell r="M16">
            <v>203000</v>
          </cell>
        </row>
        <row r="17">
          <cell r="C17">
            <v>940</v>
          </cell>
          <cell r="F17">
            <v>1279704.72</v>
          </cell>
          <cell r="H17">
            <v>10.506606896551723</v>
          </cell>
          <cell r="I17">
            <v>2148270.2640000004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s"/>
      <sheetName val="NRx Lift Estimates"/>
      <sheetName val="LSMEANS"/>
      <sheetName val="LSMEANS_CL"/>
      <sheetName val="LSMEANSH"/>
      <sheetName val="LSMEANS_CLH"/>
      <sheetName val="PARMS"/>
      <sheetName val="PARMSH"/>
    </sheetNames>
    <sheetDataSet>
      <sheetData sheetId="0"/>
      <sheetData sheetId="1">
        <row r="9">
          <cell r="N9">
            <v>2267789.0047229771</v>
          </cell>
        </row>
        <row r="10">
          <cell r="N10">
            <v>2899164</v>
          </cell>
        </row>
        <row r="12">
          <cell r="N12">
            <v>1.3037028402687678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NPV"/>
    </sheetNames>
    <sheetDataSet>
      <sheetData sheetId="0"/>
      <sheetData sheetId="1">
        <row r="7">
          <cell r="D7">
            <v>3228.4629</v>
          </cell>
        </row>
        <row r="9">
          <cell r="D9">
            <v>3034755.1260000002</v>
          </cell>
        </row>
        <row r="11">
          <cell r="D11">
            <v>4.3981958347826087</v>
          </cell>
        </row>
        <row r="16">
          <cell r="D16">
            <v>1150000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ck calculated ROI"/>
    </sheetNames>
    <sheetDataSet>
      <sheetData sheetId="0"/>
      <sheetData sheetId="1">
        <row r="8">
          <cell r="H8">
            <v>6689.5299899999991</v>
          </cell>
        </row>
        <row r="12">
          <cell r="H12">
            <v>7477420.51167282</v>
          </cell>
        </row>
        <row r="14">
          <cell r="H14">
            <v>1320832</v>
          </cell>
        </row>
        <row r="18">
          <cell r="H18">
            <v>9.435240454088559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zoomScaleNormal="100" workbookViewId="0">
      <selection activeCell="B11" sqref="B11"/>
    </sheetView>
  </sheetViews>
  <sheetFormatPr defaultRowHeight="14.4" x14ac:dyDescent="0.3"/>
  <cols>
    <col min="1" max="1" width="7.5546875" customWidth="1"/>
    <col min="2" max="2" width="23.33203125" bestFit="1" customWidth="1"/>
    <col min="3" max="3" width="8" bestFit="1" customWidth="1"/>
    <col min="4" max="4" width="34.10937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77734375" bestFit="1" customWidth="1"/>
    <col min="11" max="11" width="14.6640625" bestFit="1" customWidth="1"/>
    <col min="12" max="12" width="12.33203125" customWidth="1"/>
    <col min="13" max="13" width="12.109375" customWidth="1"/>
    <col min="14" max="14" width="12" customWidth="1"/>
    <col min="15" max="15" width="16.5546875" customWidth="1"/>
    <col min="17" max="17" width="16.6640625" customWidth="1"/>
    <col min="18" max="18" width="11.109375" customWidth="1"/>
    <col min="19" max="19" width="13.77734375" customWidth="1"/>
  </cols>
  <sheetData>
    <row r="1" spans="1:20" ht="15" x14ac:dyDescent="0.25">
      <c r="A1" s="95" t="s">
        <v>54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3" spans="1:20" ht="28.8" x14ac:dyDescent="0.3">
      <c r="C3" s="3" t="s">
        <v>15</v>
      </c>
      <c r="D3" s="3"/>
      <c r="E3" s="3"/>
      <c r="K3" s="96" t="s">
        <v>132</v>
      </c>
      <c r="L3" s="96"/>
      <c r="M3" s="96"/>
      <c r="N3" s="96"/>
      <c r="O3" s="96" t="s">
        <v>58</v>
      </c>
      <c r="P3" s="96"/>
      <c r="Q3" s="13" t="s">
        <v>68</v>
      </c>
      <c r="R3" s="97" t="s">
        <v>127</v>
      </c>
      <c r="S3" s="97"/>
      <c r="T3" s="97"/>
    </row>
    <row r="4" spans="1:20" ht="61.8" customHeight="1" x14ac:dyDescent="0.3">
      <c r="C4" s="3"/>
      <c r="D4" s="3" t="s">
        <v>14</v>
      </c>
      <c r="E4" s="3">
        <v>0.4</v>
      </c>
      <c r="I4" s="14" t="s">
        <v>59</v>
      </c>
      <c r="K4" s="15" t="s">
        <v>60</v>
      </c>
      <c r="L4" s="15" t="s">
        <v>61</v>
      </c>
      <c r="M4" s="13" t="s">
        <v>62</v>
      </c>
      <c r="N4" s="38" t="s">
        <v>67</v>
      </c>
      <c r="O4" s="13" t="s">
        <v>69</v>
      </c>
      <c r="P4" s="13" t="s">
        <v>63</v>
      </c>
      <c r="Q4" s="13" t="s">
        <v>68</v>
      </c>
      <c r="R4" s="92" t="s">
        <v>128</v>
      </c>
      <c r="S4" s="92" t="s">
        <v>129</v>
      </c>
      <c r="T4" s="92" t="s">
        <v>130</v>
      </c>
    </row>
    <row r="5" spans="1:20" s="5" customFormat="1" ht="15" x14ac:dyDescent="0.35">
      <c r="C5" s="3">
        <v>2010</v>
      </c>
      <c r="D5" s="3" t="s">
        <v>17</v>
      </c>
      <c r="E5" s="4">
        <f>[1]JANUVIA_regression_all!$C$17</f>
        <v>940</v>
      </c>
      <c r="I5" s="17">
        <v>5165000</v>
      </c>
      <c r="J5"/>
      <c r="K5" s="18">
        <f>F20</f>
        <v>7032507</v>
      </c>
      <c r="L5" s="19">
        <f>I20</f>
        <v>29841.842341853931</v>
      </c>
      <c r="M5" s="20">
        <f>L5/I5</f>
        <v>5.7777042288197347E-3</v>
      </c>
      <c r="N5" s="16">
        <f>K5/L5</f>
        <v>235.65927731401263</v>
      </c>
      <c r="O5" s="21">
        <v>0.03</v>
      </c>
      <c r="P5" s="22">
        <f>O5*I5</f>
        <v>154950</v>
      </c>
      <c r="Q5" s="39">
        <v>7818984</v>
      </c>
      <c r="R5" s="93">
        <v>11.53</v>
      </c>
      <c r="S5" s="94">
        <f>R5*L5</f>
        <v>344076.44220157579</v>
      </c>
      <c r="T5" s="91">
        <f>K5/S5</f>
        <v>20.438792481701011</v>
      </c>
    </row>
    <row r="6" spans="1:20" s="5" customFormat="1" x14ac:dyDescent="0.3">
      <c r="C6" s="3">
        <v>2013</v>
      </c>
      <c r="D6" s="3" t="s">
        <v>17</v>
      </c>
      <c r="E6" s="4">
        <f>'[2] Summary'!$D$22</f>
        <v>1117.7796531072613</v>
      </c>
      <c r="K6" s="23" t="s">
        <v>64</v>
      </c>
    </row>
    <row r="7" spans="1:20" s="5" customFormat="1" x14ac:dyDescent="0.3">
      <c r="C7" s="6"/>
      <c r="D7" s="6"/>
      <c r="E7" s="7"/>
    </row>
    <row r="8" spans="1:20" x14ac:dyDescent="0.3">
      <c r="J8">
        <v>0.5</v>
      </c>
      <c r="K8">
        <v>2</v>
      </c>
    </row>
    <row r="9" spans="1:20" s="10" customFormat="1" x14ac:dyDescent="0.3">
      <c r="A9" s="9" t="s">
        <v>0</v>
      </c>
      <c r="B9" s="9" t="s">
        <v>1</v>
      </c>
      <c r="C9" s="9" t="s">
        <v>7</v>
      </c>
      <c r="D9" s="9" t="s">
        <v>9</v>
      </c>
      <c r="E9" s="9" t="s">
        <v>8</v>
      </c>
      <c r="F9" s="9" t="s">
        <v>2</v>
      </c>
      <c r="G9" s="9" t="s">
        <v>10</v>
      </c>
      <c r="H9" s="9" t="s">
        <v>3</v>
      </c>
      <c r="I9" s="9" t="s">
        <v>4</v>
      </c>
      <c r="J9" s="9" t="s">
        <v>11</v>
      </c>
      <c r="K9" s="9" t="s">
        <v>12</v>
      </c>
      <c r="L9" s="9" t="s">
        <v>13</v>
      </c>
      <c r="M9" s="9" t="s">
        <v>5</v>
      </c>
      <c r="N9" s="9" t="s">
        <v>36</v>
      </c>
    </row>
    <row r="10" spans="1:20" s="11" customFormat="1" x14ac:dyDescent="0.3">
      <c r="A10" s="26" t="s">
        <v>37</v>
      </c>
      <c r="B10" s="26" t="s">
        <v>38</v>
      </c>
      <c r="C10" s="26" t="s">
        <v>16</v>
      </c>
      <c r="D10" s="27">
        <v>40850</v>
      </c>
      <c r="E10" s="28">
        <f>'[3]NRx Lift Estimates'!$N$12</f>
        <v>1.3037028402687678</v>
      </c>
      <c r="F10" s="29">
        <f>'[3]NRx Lift Estimates'!$N$10</f>
        <v>2899164</v>
      </c>
      <c r="G10" s="29">
        <f>H10/(1-$E$4)</f>
        <v>3779648.3412049618</v>
      </c>
      <c r="H10" s="29">
        <f>'[3]NRx Lift Estimates'!$N$9</f>
        <v>2267789.0047229771</v>
      </c>
      <c r="I10" s="30">
        <f>$H10/$E$5</f>
        <v>2412.5414943861456</v>
      </c>
      <c r="J10" s="12"/>
      <c r="K10" s="12"/>
      <c r="L10" s="12"/>
      <c r="M10" s="11" t="s">
        <v>6</v>
      </c>
      <c r="N10" s="37"/>
      <c r="O10" s="11" t="s">
        <v>39</v>
      </c>
    </row>
    <row r="11" spans="1:20" s="11" customFormat="1" x14ac:dyDescent="0.3">
      <c r="A11" s="26">
        <v>2010</v>
      </c>
      <c r="B11" s="26" t="s">
        <v>40</v>
      </c>
      <c r="C11" s="26" t="s">
        <v>16</v>
      </c>
      <c r="D11" s="27">
        <v>41183</v>
      </c>
      <c r="E11" s="28">
        <f>[4]Sheet1!$D$11</f>
        <v>4.3981958347826087</v>
      </c>
      <c r="F11" s="29">
        <f>[4]Sheet1!$D$16</f>
        <v>1150000</v>
      </c>
      <c r="G11" s="29">
        <f t="shared" ref="G11:G18" si="0">H11/(1-$E$4)</f>
        <v>5057925.2100000009</v>
      </c>
      <c r="H11" s="29">
        <f>[4]Sheet1!$D$9</f>
        <v>3034755.1260000002</v>
      </c>
      <c r="I11" s="30">
        <f>[4]Sheet1!$D$7</f>
        <v>3228.4629</v>
      </c>
      <c r="J11" s="12"/>
      <c r="K11" s="12"/>
      <c r="L11" s="12"/>
      <c r="M11" s="11" t="s">
        <v>6</v>
      </c>
      <c r="O11" s="11" t="s">
        <v>41</v>
      </c>
    </row>
    <row r="12" spans="1:20" x14ac:dyDescent="0.3">
      <c r="A12">
        <v>2010</v>
      </c>
      <c r="B12" t="s">
        <v>42</v>
      </c>
      <c r="C12" t="s">
        <v>16</v>
      </c>
      <c r="D12" s="8">
        <v>41288</v>
      </c>
      <c r="E12" s="24">
        <f>[1]JANUVIA_regression_all!$H$17</f>
        <v>10.506606896551723</v>
      </c>
      <c r="F12" s="1">
        <f>[1]JANUVIA_regression_all!$M$16</f>
        <v>203000</v>
      </c>
      <c r="G12" s="1">
        <f>[1]JANUVIA_regression_all!$I$17</f>
        <v>2148270.2640000004</v>
      </c>
      <c r="H12" s="1">
        <f>[1]JANUVIA_regression_all!$F$17</f>
        <v>1279704.72</v>
      </c>
      <c r="I12" s="2">
        <f>$H12/$E$5</f>
        <v>1361.3879999999999</v>
      </c>
      <c r="J12" s="1">
        <f>F12*$J$8</f>
        <v>101500</v>
      </c>
      <c r="K12" s="1">
        <f>F12*$K$8</f>
        <v>406000</v>
      </c>
      <c r="L12" s="1"/>
      <c r="M12" t="s">
        <v>6</v>
      </c>
      <c r="O12" t="s">
        <v>43</v>
      </c>
    </row>
    <row r="13" spans="1:20" x14ac:dyDescent="0.3">
      <c r="A13" t="s">
        <v>37</v>
      </c>
      <c r="B13" t="s">
        <v>44</v>
      </c>
      <c r="C13" t="s">
        <v>16</v>
      </c>
      <c r="D13" s="8">
        <v>41348</v>
      </c>
      <c r="E13" s="24">
        <f>'[5]Merck calculated ROI'!$H$18</f>
        <v>9.435240454088559</v>
      </c>
      <c r="F13" s="1">
        <f>'[5]Merck calculated ROI'!$H$14</f>
        <v>1320832</v>
      </c>
      <c r="G13" s="1">
        <f t="shared" si="0"/>
        <v>12462367.519454701</v>
      </c>
      <c r="H13" s="1">
        <f>'[5]Merck calculated ROI'!$H$12</f>
        <v>7477420.51167282</v>
      </c>
      <c r="I13" s="2">
        <f>'[5]Merck calculated ROI'!$H$8</f>
        <v>6689.5299899999991</v>
      </c>
      <c r="J13" s="1">
        <f t="shared" ref="J13:J19" si="1">F13*$J$8</f>
        <v>660416</v>
      </c>
      <c r="K13" s="1">
        <f t="shared" ref="K13:K19" si="2">F13*$K$8</f>
        <v>2641664</v>
      </c>
      <c r="L13" s="1"/>
      <c r="M13" t="s">
        <v>6</v>
      </c>
      <c r="O13" t="s">
        <v>45</v>
      </c>
    </row>
    <row r="14" spans="1:20" x14ac:dyDescent="0.3">
      <c r="A14">
        <v>2013</v>
      </c>
      <c r="B14" t="s">
        <v>46</v>
      </c>
      <c r="C14" t="s">
        <v>47</v>
      </c>
      <c r="D14" s="8">
        <v>41366</v>
      </c>
      <c r="E14" s="24">
        <f>H14/(F14*(1-0.4))</f>
        <v>1.6389789473684211</v>
      </c>
      <c r="F14" s="1">
        <v>950000</v>
      </c>
      <c r="G14" s="1">
        <f t="shared" si="0"/>
        <v>1557030</v>
      </c>
      <c r="H14" s="1">
        <v>934218</v>
      </c>
      <c r="I14" s="2">
        <f>H14/$E$6</f>
        <v>835.78010872090294</v>
      </c>
      <c r="J14" s="1">
        <f t="shared" si="1"/>
        <v>475000</v>
      </c>
      <c r="K14" s="1">
        <f t="shared" si="2"/>
        <v>1900000</v>
      </c>
    </row>
    <row r="15" spans="1:20" x14ac:dyDescent="0.3">
      <c r="A15">
        <v>2013</v>
      </c>
      <c r="B15" t="s">
        <v>48</v>
      </c>
      <c r="C15" t="s">
        <v>47</v>
      </c>
      <c r="D15" s="8">
        <v>41366</v>
      </c>
      <c r="E15" s="24">
        <f>H15/(F15*(1-0.4))</f>
        <v>6.074921543033299</v>
      </c>
      <c r="F15" s="1">
        <v>1800350</v>
      </c>
      <c r="G15" s="1">
        <f t="shared" si="0"/>
        <v>10936985</v>
      </c>
      <c r="H15" s="1">
        <v>6562191</v>
      </c>
      <c r="I15" s="2">
        <f>H15/$E$6</f>
        <v>5870.737565993516</v>
      </c>
      <c r="J15" s="1">
        <f t="shared" si="1"/>
        <v>900175</v>
      </c>
      <c r="K15" s="1">
        <f t="shared" si="2"/>
        <v>3600700</v>
      </c>
    </row>
    <row r="16" spans="1:20" x14ac:dyDescent="0.3">
      <c r="A16">
        <v>2013</v>
      </c>
      <c r="B16" t="s">
        <v>49</v>
      </c>
      <c r="C16" t="s">
        <v>47</v>
      </c>
      <c r="D16" s="8">
        <v>41366</v>
      </c>
      <c r="E16" s="24">
        <f>H16/(F16*(1-0.4))</f>
        <v>7.1144333333333334</v>
      </c>
      <c r="F16" s="1">
        <v>300000</v>
      </c>
      <c r="G16" s="1">
        <f t="shared" si="0"/>
        <v>2134330</v>
      </c>
      <c r="H16" s="1">
        <v>1280598</v>
      </c>
      <c r="I16" s="2">
        <f>H16/$E$6</f>
        <v>1145.6622925995548</v>
      </c>
      <c r="J16" s="1">
        <f t="shared" si="1"/>
        <v>150000</v>
      </c>
      <c r="K16" s="1">
        <f t="shared" si="2"/>
        <v>600000</v>
      </c>
    </row>
    <row r="17" spans="1:14" x14ac:dyDescent="0.3">
      <c r="A17">
        <v>2013</v>
      </c>
      <c r="B17" t="s">
        <v>40</v>
      </c>
      <c r="C17" t="s">
        <v>47</v>
      </c>
      <c r="D17" s="8">
        <v>41366</v>
      </c>
      <c r="E17" s="24">
        <f>H17/(F17*(1-0.4))</f>
        <v>5.5640340909090913</v>
      </c>
      <c r="F17" s="1">
        <v>528000</v>
      </c>
      <c r="G17" s="1">
        <f t="shared" si="0"/>
        <v>2937810</v>
      </c>
      <c r="H17" s="1">
        <f>1762686</f>
        <v>1762686</v>
      </c>
      <c r="I17" s="2">
        <f>H17/$E$6</f>
        <v>1576.9530203023421</v>
      </c>
      <c r="J17" s="1">
        <f t="shared" si="1"/>
        <v>264000</v>
      </c>
      <c r="K17" s="1">
        <f t="shared" si="2"/>
        <v>1056000</v>
      </c>
    </row>
    <row r="18" spans="1:14" x14ac:dyDescent="0.3">
      <c r="A18">
        <v>2013</v>
      </c>
      <c r="B18" t="s">
        <v>51</v>
      </c>
      <c r="C18" t="s">
        <v>47</v>
      </c>
      <c r="D18" s="8">
        <v>41366</v>
      </c>
      <c r="E18" s="24">
        <f>G18/F18</f>
        <v>6.9188730951710671</v>
      </c>
      <c r="F18" s="1">
        <f>209577</f>
        <v>209577</v>
      </c>
      <c r="G18" s="1">
        <f t="shared" si="0"/>
        <v>1450036.6666666667</v>
      </c>
      <c r="H18" s="1">
        <v>870022</v>
      </c>
      <c r="I18" s="2">
        <f>H18/$E$6</f>
        <v>778.34839593069</v>
      </c>
      <c r="J18" s="1">
        <f t="shared" si="1"/>
        <v>104788.5</v>
      </c>
      <c r="K18" s="1">
        <f t="shared" si="2"/>
        <v>419154</v>
      </c>
    </row>
    <row r="19" spans="1:14" ht="12" customHeight="1" x14ac:dyDescent="0.3">
      <c r="A19">
        <v>2013</v>
      </c>
      <c r="B19" t="s">
        <v>55</v>
      </c>
      <c r="C19" t="s">
        <v>56</v>
      </c>
      <c r="D19" s="25" t="s">
        <v>65</v>
      </c>
      <c r="E19" s="24">
        <f>SUMPRODUCT(E12:E18,F12:F18)/SUM(F12:F18)</f>
        <v>6.3277344446766808</v>
      </c>
      <c r="F19" s="1">
        <f>B24-SUM(F12:F18,F24)</f>
        <v>1720748</v>
      </c>
      <c r="G19" s="1">
        <f>E19*F19</f>
        <v>10888436.390208509</v>
      </c>
      <c r="H19" s="1">
        <f>G19*(1-$E$4)</f>
        <v>6533061.8341251053</v>
      </c>
      <c r="I19" s="2">
        <f>$G19/$E$5</f>
        <v>11583.442968306925</v>
      </c>
      <c r="J19" s="1">
        <f t="shared" si="1"/>
        <v>860374</v>
      </c>
      <c r="K19" s="1">
        <f t="shared" si="2"/>
        <v>3441496</v>
      </c>
      <c r="N19" t="s">
        <v>57</v>
      </c>
    </row>
    <row r="20" spans="1:14" x14ac:dyDescent="0.3">
      <c r="A20" s="9" t="s">
        <v>66</v>
      </c>
      <c r="B20" s="9"/>
      <c r="C20" s="9"/>
      <c r="D20" s="9"/>
      <c r="E20" s="33">
        <f>SUMPRODUCT(E12:E19,F12:F19)/SUM(F12:F19)</f>
        <v>6.3277344446766817</v>
      </c>
      <c r="F20" s="32">
        <f>SUM(F12:F19)</f>
        <v>7032507</v>
      </c>
      <c r="G20" s="32">
        <f>SUM(G12:G19)</f>
        <v>44515265.840329871</v>
      </c>
      <c r="H20" s="32">
        <f>SUM(H12:H19)</f>
        <v>26699902.065797925</v>
      </c>
      <c r="I20" s="36">
        <f>SUM(I12:I19)</f>
        <v>29841.842341853931</v>
      </c>
      <c r="J20" s="35">
        <f t="shared" ref="J20" si="3">F20*$J$8</f>
        <v>3516253.5</v>
      </c>
      <c r="K20" s="35">
        <f t="shared" ref="K20" si="4">F20*$K$8</f>
        <v>14065014</v>
      </c>
      <c r="L20" s="9"/>
      <c r="M20" s="9"/>
    </row>
    <row r="21" spans="1:14" ht="32.4" customHeight="1" x14ac:dyDescent="0.3">
      <c r="A21" s="118" t="s">
        <v>131</v>
      </c>
      <c r="B21" s="118"/>
      <c r="C21" s="118"/>
      <c r="D21" s="118"/>
      <c r="E21" s="118"/>
      <c r="F21" s="118"/>
      <c r="G21" s="1"/>
      <c r="H21" s="1"/>
      <c r="I21" s="34">
        <f>I20/$I$5</f>
        <v>5.7777042288197347E-3</v>
      </c>
    </row>
    <row r="23" spans="1:14" x14ac:dyDescent="0.3">
      <c r="A23" s="31" t="s">
        <v>50</v>
      </c>
    </row>
    <row r="24" spans="1:14" x14ac:dyDescent="0.3">
      <c r="B24" s="1">
        <v>7818984</v>
      </c>
      <c r="D24" t="s">
        <v>52</v>
      </c>
      <c r="F24" s="1">
        <v>786477</v>
      </c>
      <c r="G24" t="s">
        <v>53</v>
      </c>
    </row>
  </sheetData>
  <mergeCells count="5">
    <mergeCell ref="A1:M1"/>
    <mergeCell ref="K3:N3"/>
    <mergeCell ref="O3:P3"/>
    <mergeCell ref="R3:T3"/>
    <mergeCell ref="A21:F21"/>
  </mergeCells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32</v>
      </c>
    </row>
    <row r="3" spans="1:6" x14ac:dyDescent="0.25">
      <c r="A3" t="s">
        <v>18</v>
      </c>
      <c r="B3" t="s">
        <v>19</v>
      </c>
      <c r="C3" t="s">
        <v>8</v>
      </c>
      <c r="D3" t="s">
        <v>20</v>
      </c>
      <c r="E3" t="s">
        <v>33</v>
      </c>
    </row>
    <row r="4" spans="1:6" x14ac:dyDescent="0.25">
      <c r="A4" t="s">
        <v>27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34</v>
      </c>
    </row>
    <row r="5" spans="1:6" x14ac:dyDescent="0.25">
      <c r="A5" t="s">
        <v>28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26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29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30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25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24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22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21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23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31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35</v>
      </c>
    </row>
  </sheetData>
  <sortState ref="A4:D14">
    <sortCondition ref="B4:B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2"/>
  <sheetViews>
    <sheetView workbookViewId="0"/>
  </sheetViews>
  <sheetFormatPr defaultRowHeight="13.8" x14ac:dyDescent="0.3"/>
  <cols>
    <col min="1" max="1" width="12.109375" style="41" customWidth="1"/>
    <col min="2" max="2" width="13.5546875" style="41" customWidth="1"/>
    <col min="3" max="3" width="12.5546875" style="41" customWidth="1"/>
    <col min="4" max="4" width="13.77734375" style="41" customWidth="1"/>
    <col min="5" max="6" width="12.44140625" style="41" customWidth="1"/>
    <col min="7" max="7" width="12" style="41" customWidth="1"/>
    <col min="8" max="8" width="10.33203125" style="41" customWidth="1"/>
    <col min="9" max="9" width="10.21875" style="41" customWidth="1"/>
    <col min="10" max="10" width="10.33203125" style="41" customWidth="1"/>
    <col min="11" max="11" width="14.33203125" style="41" bestFit="1" customWidth="1"/>
    <col min="12" max="13" width="12" style="41" bestFit="1" customWidth="1"/>
    <col min="14" max="14" width="11.44140625" style="41" bestFit="1" customWidth="1"/>
    <col min="15" max="15" width="9.77734375" style="41" bestFit="1" customWidth="1"/>
    <col min="16" max="16" width="8.88671875" style="41"/>
    <col min="17" max="17" width="10.44140625" style="41" customWidth="1"/>
    <col min="18" max="16384" width="8.88671875" style="41"/>
  </cols>
  <sheetData>
    <row r="1" spans="1:17" ht="14.4" thickBot="1" x14ac:dyDescent="0.35">
      <c r="A1" s="40" t="s">
        <v>70</v>
      </c>
      <c r="B1" s="41" t="s">
        <v>71</v>
      </c>
    </row>
    <row r="2" spans="1:17" x14ac:dyDescent="0.3">
      <c r="A2" s="61" t="s">
        <v>72</v>
      </c>
      <c r="B2" s="62" t="s">
        <v>73</v>
      </c>
      <c r="C2" s="63" t="s">
        <v>74</v>
      </c>
      <c r="D2" s="62" t="s">
        <v>75</v>
      </c>
      <c r="E2" s="63" t="s">
        <v>122</v>
      </c>
      <c r="F2" s="64" t="s">
        <v>123</v>
      </c>
      <c r="H2" s="42" t="s">
        <v>76</v>
      </c>
      <c r="I2" s="43"/>
      <c r="J2" s="43"/>
      <c r="K2" s="43"/>
      <c r="L2" s="44"/>
    </row>
    <row r="3" spans="1:17" ht="14.4" thickBot="1" x14ac:dyDescent="0.35">
      <c r="A3" s="65" t="s">
        <v>77</v>
      </c>
      <c r="B3" s="66" t="s">
        <v>78</v>
      </c>
      <c r="C3" s="67" t="s">
        <v>79</v>
      </c>
      <c r="D3" s="66" t="s">
        <v>80</v>
      </c>
      <c r="E3" s="67" t="s">
        <v>81</v>
      </c>
      <c r="F3" s="68" t="s">
        <v>82</v>
      </c>
    </row>
    <row r="4" spans="1:17" ht="15" customHeight="1" thickBot="1" x14ac:dyDescent="0.35">
      <c r="A4" s="58" t="s">
        <v>83</v>
      </c>
      <c r="B4" s="101" t="s">
        <v>84</v>
      </c>
      <c r="C4" s="101"/>
      <c r="D4" s="101"/>
      <c r="E4" s="101"/>
      <c r="F4" s="102"/>
      <c r="H4" s="41" t="s">
        <v>117</v>
      </c>
    </row>
    <row r="5" spans="1:17" x14ac:dyDescent="0.3">
      <c r="H5" s="41" t="s">
        <v>118</v>
      </c>
    </row>
    <row r="6" spans="1:17" ht="14.4" thickBot="1" x14ac:dyDescent="0.35">
      <c r="B6" s="45">
        <v>0.5</v>
      </c>
      <c r="C6" s="45">
        <v>2</v>
      </c>
    </row>
    <row r="7" spans="1:17" ht="27.6" customHeight="1" x14ac:dyDescent="0.3">
      <c r="A7" s="99" t="s">
        <v>85</v>
      </c>
      <c r="B7" s="104" t="s">
        <v>86</v>
      </c>
      <c r="C7" s="105"/>
      <c r="D7" s="106" t="s">
        <v>87</v>
      </c>
      <c r="E7" s="107"/>
      <c r="F7" s="108"/>
      <c r="G7" s="106" t="s">
        <v>88</v>
      </c>
      <c r="H7" s="109"/>
    </row>
    <row r="8" spans="1:17" ht="27.6" x14ac:dyDescent="0.3">
      <c r="A8" s="103"/>
      <c r="B8" s="69" t="s">
        <v>89</v>
      </c>
      <c r="C8" s="70" t="s">
        <v>90</v>
      </c>
      <c r="D8" s="71" t="s">
        <v>91</v>
      </c>
      <c r="E8" s="69" t="s">
        <v>92</v>
      </c>
      <c r="F8" s="83" t="s">
        <v>124</v>
      </c>
      <c r="G8" s="72" t="s">
        <v>93</v>
      </c>
      <c r="H8" s="73" t="s">
        <v>94</v>
      </c>
    </row>
    <row r="9" spans="1:17" ht="14.4" thickBot="1" x14ac:dyDescent="0.35">
      <c r="A9" s="100"/>
      <c r="B9" s="77">
        <f>B6*B12</f>
        <v>3516253.5</v>
      </c>
      <c r="C9" s="77">
        <f>C6*B12</f>
        <v>14065014</v>
      </c>
      <c r="D9" s="78">
        <f>G9</f>
        <v>7032507</v>
      </c>
      <c r="E9" s="85">
        <f>(($Q$12/(1+EXP($O$12+$P$12*D9)))-1) - ($F$12-$C$12)</f>
        <v>29842</v>
      </c>
      <c r="F9" s="84">
        <f>E9*G12</f>
        <v>344078.26</v>
      </c>
      <c r="G9" s="77">
        <f>B12</f>
        <v>7032507</v>
      </c>
      <c r="H9" s="86">
        <f>C12</f>
        <v>29842</v>
      </c>
    </row>
    <row r="10" spans="1:17" ht="14.4" thickBot="1" x14ac:dyDescent="0.35"/>
    <row r="11" spans="1:17" ht="51.6" customHeight="1" x14ac:dyDescent="0.3">
      <c r="A11" s="99" t="s">
        <v>95</v>
      </c>
      <c r="B11" s="49" t="s">
        <v>96</v>
      </c>
      <c r="C11" s="49" t="s">
        <v>97</v>
      </c>
      <c r="D11" s="49" t="s">
        <v>98</v>
      </c>
      <c r="E11" s="49" t="s">
        <v>99</v>
      </c>
      <c r="F11" s="50" t="s">
        <v>100</v>
      </c>
      <c r="G11" s="88" t="s">
        <v>125</v>
      </c>
      <c r="H11" s="87" t="s">
        <v>126</v>
      </c>
      <c r="J11" s="110" t="s">
        <v>101</v>
      </c>
      <c r="K11" s="74" t="s">
        <v>102</v>
      </c>
      <c r="L11" s="74" t="s">
        <v>103</v>
      </c>
      <c r="M11" s="74" t="s">
        <v>104</v>
      </c>
      <c r="N11" s="74" t="s">
        <v>105</v>
      </c>
      <c r="O11" s="74" t="s">
        <v>106</v>
      </c>
      <c r="P11" s="74" t="s">
        <v>107</v>
      </c>
      <c r="Q11" s="75" t="s">
        <v>108</v>
      </c>
    </row>
    <row r="12" spans="1:17" ht="15" customHeight="1" thickBot="1" x14ac:dyDescent="0.35">
      <c r="A12" s="100"/>
      <c r="B12" s="47">
        <v>7032507</v>
      </c>
      <c r="C12" s="48">
        <v>29842</v>
      </c>
      <c r="D12" s="51">
        <v>0</v>
      </c>
      <c r="E12" s="48">
        <v>154950</v>
      </c>
      <c r="F12" s="52">
        <v>5165000</v>
      </c>
      <c r="G12" s="90">
        <v>11.53</v>
      </c>
      <c r="H12" s="89">
        <f>C12*G12</f>
        <v>344078.26</v>
      </c>
      <c r="J12" s="111"/>
      <c r="K12" s="79">
        <f>F12-C12</f>
        <v>5135158</v>
      </c>
      <c r="L12" s="79">
        <f>K12+E12</f>
        <v>5290108</v>
      </c>
      <c r="M12" s="80">
        <f>B12</f>
        <v>7032507</v>
      </c>
      <c r="N12" s="79">
        <f>F12</f>
        <v>5165000</v>
      </c>
      <c r="O12" s="76">
        <f>LN((($L$12+1)/($K$12+1))-1)</f>
        <v>-3.5007636016222654</v>
      </c>
      <c r="P12" s="81">
        <f>(LN((($L$12+1)/($N$12+1))-1)-$O$12)/$M$12</f>
        <v>-3.124342560528458E-8</v>
      </c>
      <c r="Q12" s="82">
        <f>L12+1</f>
        <v>5290109</v>
      </c>
    </row>
    <row r="13" spans="1:17" ht="34.200000000000003" customHeight="1" x14ac:dyDescent="0.3">
      <c r="A13" s="112" t="s">
        <v>109</v>
      </c>
      <c r="B13" s="113"/>
      <c r="C13" s="113"/>
      <c r="D13" s="113"/>
      <c r="E13" s="113"/>
      <c r="F13" s="114"/>
      <c r="J13" s="112" t="s">
        <v>110</v>
      </c>
      <c r="K13" s="113"/>
      <c r="L13" s="113"/>
      <c r="M13" s="113"/>
      <c r="N13" s="113"/>
      <c r="O13" s="113"/>
      <c r="P13" s="113"/>
      <c r="Q13" s="114"/>
    </row>
    <row r="14" spans="1:17" ht="33.6" customHeight="1" x14ac:dyDescent="0.3">
      <c r="A14" s="115"/>
      <c r="B14" s="116"/>
      <c r="C14" s="116"/>
      <c r="D14" s="116"/>
      <c r="E14" s="116"/>
      <c r="F14" s="117"/>
      <c r="J14" s="115"/>
      <c r="K14" s="116"/>
      <c r="L14" s="116"/>
      <c r="M14" s="116"/>
      <c r="N14" s="116"/>
      <c r="O14" s="116"/>
      <c r="P14" s="116"/>
      <c r="Q14" s="117"/>
    </row>
    <row r="16" spans="1:17" ht="14.4" thickBot="1" x14ac:dyDescent="0.35"/>
    <row r="17" spans="1:4" ht="16.8" customHeight="1" x14ac:dyDescent="0.3">
      <c r="A17" s="110" t="s">
        <v>111</v>
      </c>
      <c r="B17" s="49" t="s">
        <v>112</v>
      </c>
      <c r="C17" s="49" t="s">
        <v>113</v>
      </c>
      <c r="D17" s="50" t="s">
        <v>114</v>
      </c>
    </row>
    <row r="18" spans="1:4" ht="23.4" customHeight="1" thickBot="1" x14ac:dyDescent="0.35">
      <c r="A18" s="111"/>
      <c r="B18" s="53">
        <v>0</v>
      </c>
      <c r="C18" s="54">
        <v>50000000</v>
      </c>
      <c r="D18" s="55">
        <v>20</v>
      </c>
    </row>
    <row r="20" spans="1:4" x14ac:dyDescent="0.3">
      <c r="A20" s="98" t="s">
        <v>115</v>
      </c>
      <c r="B20" s="98"/>
    </row>
    <row r="21" spans="1:4" x14ac:dyDescent="0.3">
      <c r="A21" s="46" t="s">
        <v>116</v>
      </c>
      <c r="B21" s="60" t="s">
        <v>120</v>
      </c>
      <c r="C21" s="60" t="s">
        <v>121</v>
      </c>
      <c r="D21" s="59" t="s">
        <v>119</v>
      </c>
    </row>
    <row r="22" spans="1:4" x14ac:dyDescent="0.3">
      <c r="A22" s="56">
        <f>B18</f>
        <v>0</v>
      </c>
      <c r="B22" s="56">
        <f t="shared" ref="B22:B42" si="0">(($Q$12/(1+EXP($O$12+$P$12*A22)))-1) - ($F$12-$C$12)</f>
        <v>0</v>
      </c>
      <c r="C22" s="57">
        <f>B22*$G$12</f>
        <v>0</v>
      </c>
    </row>
    <row r="23" spans="1:4" x14ac:dyDescent="0.3">
      <c r="A23" s="56">
        <f>A22+(($C$18-$B$18)/$D$18)</f>
        <v>2500000</v>
      </c>
      <c r="B23" s="56">
        <f t="shared" si="0"/>
        <v>11326.237929104827</v>
      </c>
      <c r="C23" s="57">
        <f t="shared" ref="C23:C42" si="1">B23*$G$12</f>
        <v>130591.52332257865</v>
      </c>
      <c r="D23" s="41">
        <f>(B23-B22)/A23</f>
        <v>4.5304951716419305E-3</v>
      </c>
    </row>
    <row r="24" spans="1:4" x14ac:dyDescent="0.3">
      <c r="A24" s="56">
        <f t="shared" ref="A24:A42" si="2">A23+(($C$18-$B$18)/$D$18)</f>
        <v>5000000</v>
      </c>
      <c r="B24" s="56">
        <f t="shared" si="0"/>
        <v>21846.031606205739</v>
      </c>
      <c r="C24" s="57">
        <f t="shared" si="1"/>
        <v>251884.74441955215</v>
      </c>
      <c r="D24" s="41">
        <f t="shared" ref="D24:D42" si="3">(B24-B23)/A24</f>
        <v>2.1039587354201822E-3</v>
      </c>
    </row>
    <row r="25" spans="1:4" x14ac:dyDescent="0.3">
      <c r="A25" s="56">
        <f t="shared" si="2"/>
        <v>7500000</v>
      </c>
      <c r="B25" s="56">
        <f t="shared" si="0"/>
        <v>31613.763577678241</v>
      </c>
      <c r="C25" s="57">
        <f t="shared" si="1"/>
        <v>364506.69405063009</v>
      </c>
      <c r="D25" s="41">
        <f t="shared" si="3"/>
        <v>1.3023642628630003E-3</v>
      </c>
    </row>
    <row r="26" spans="1:4" x14ac:dyDescent="0.3">
      <c r="A26" s="56">
        <f t="shared" si="2"/>
        <v>10000000</v>
      </c>
      <c r="B26" s="56">
        <f t="shared" si="0"/>
        <v>40680.580946656875</v>
      </c>
      <c r="C26" s="57">
        <f t="shared" si="1"/>
        <v>469047.09831495374</v>
      </c>
      <c r="D26" s="41">
        <f t="shared" si="3"/>
        <v>9.0668173689786348E-4</v>
      </c>
    </row>
    <row r="27" spans="1:4" x14ac:dyDescent="0.3">
      <c r="A27" s="56">
        <f t="shared" si="2"/>
        <v>12500000</v>
      </c>
      <c r="B27" s="56">
        <f t="shared" si="0"/>
        <v>49094.524994575419</v>
      </c>
      <c r="C27" s="57">
        <f t="shared" si="1"/>
        <v>566059.87318745453</v>
      </c>
      <c r="D27" s="41">
        <f t="shared" si="3"/>
        <v>6.7311552383348349E-4</v>
      </c>
    </row>
    <row r="28" spans="1:4" x14ac:dyDescent="0.3">
      <c r="A28" s="56">
        <f t="shared" si="2"/>
        <v>15000000</v>
      </c>
      <c r="B28" s="56">
        <f t="shared" si="0"/>
        <v>56900.665580376983</v>
      </c>
      <c r="C28" s="57">
        <f t="shared" si="1"/>
        <v>656064.6741417466</v>
      </c>
      <c r="D28" s="41">
        <f t="shared" si="3"/>
        <v>5.2040937238677094E-4</v>
      </c>
    </row>
    <row r="29" spans="1:4" x14ac:dyDescent="0.3">
      <c r="A29" s="56">
        <f t="shared" si="2"/>
        <v>17500000</v>
      </c>
      <c r="B29" s="56">
        <f t="shared" si="0"/>
        <v>64141.238228917122</v>
      </c>
      <c r="C29" s="57">
        <f t="shared" si="1"/>
        <v>739548.47677941434</v>
      </c>
      <c r="D29" s="41">
        <f t="shared" si="3"/>
        <v>4.1374700848800794E-4</v>
      </c>
    </row>
    <row r="30" spans="1:4" x14ac:dyDescent="0.3">
      <c r="A30" s="56">
        <f t="shared" si="2"/>
        <v>20000000</v>
      </c>
      <c r="B30" s="56">
        <f t="shared" si="0"/>
        <v>70855.782156453468</v>
      </c>
      <c r="C30" s="57">
        <f t="shared" si="1"/>
        <v>816967.16826390848</v>
      </c>
      <c r="D30" s="41">
        <f t="shared" si="3"/>
        <v>3.3572719637681728E-4</v>
      </c>
    </row>
    <row r="31" spans="1:4" x14ac:dyDescent="0.3">
      <c r="A31" s="56">
        <f t="shared" si="2"/>
        <v>22500000</v>
      </c>
      <c r="B31" s="56">
        <f t="shared" si="0"/>
        <v>77081.277779318392</v>
      </c>
      <c r="C31" s="57">
        <f t="shared" si="1"/>
        <v>888747.13279554097</v>
      </c>
      <c r="D31" s="41">
        <f t="shared" si="3"/>
        <v>2.7668869434955217E-4</v>
      </c>
    </row>
    <row r="32" spans="1:4" x14ac:dyDescent="0.3">
      <c r="A32" s="56">
        <f t="shared" si="2"/>
        <v>25000000</v>
      </c>
      <c r="B32" s="56">
        <f t="shared" si="0"/>
        <v>82852.282514413819</v>
      </c>
      <c r="C32" s="57">
        <f t="shared" si="1"/>
        <v>955286.81739119126</v>
      </c>
      <c r="D32" s="41">
        <f t="shared" si="3"/>
        <v>2.3084018940381704E-4</v>
      </c>
    </row>
    <row r="33" spans="1:4" x14ac:dyDescent="0.3">
      <c r="A33" s="56">
        <f t="shared" si="2"/>
        <v>27500000</v>
      </c>
      <c r="B33" s="56">
        <f t="shared" si="0"/>
        <v>88201.063909554854</v>
      </c>
      <c r="C33" s="57">
        <f t="shared" si="1"/>
        <v>1016958.2668771674</v>
      </c>
      <c r="D33" s="41">
        <f t="shared" si="3"/>
        <v>1.9450114164149218E-4</v>
      </c>
    </row>
    <row r="34" spans="1:4" x14ac:dyDescent="0.3">
      <c r="A34" s="56">
        <f>A33+(($C$18-$B$18)/$D$18)</f>
        <v>30000000</v>
      </c>
      <c r="B34" s="56">
        <f t="shared" si="0"/>
        <v>93157.729340983555</v>
      </c>
      <c r="C34" s="57">
        <f t="shared" si="1"/>
        <v>1074108.6193015403</v>
      </c>
      <c r="D34" s="41">
        <f t="shared" si="3"/>
        <v>1.6522218104762334E-4</v>
      </c>
    </row>
    <row r="35" spans="1:4" x14ac:dyDescent="0.3">
      <c r="A35" s="56">
        <f t="shared" si="2"/>
        <v>32500000</v>
      </c>
      <c r="B35" s="56">
        <f t="shared" si="0"/>
        <v>97750.351687090471</v>
      </c>
      <c r="C35" s="57">
        <f t="shared" si="1"/>
        <v>1127061.554952153</v>
      </c>
      <c r="D35" s="41">
        <f t="shared" si="3"/>
        <v>1.4131145680328975E-4</v>
      </c>
    </row>
    <row r="36" spans="1:4" x14ac:dyDescent="0.3">
      <c r="A36" s="56">
        <f t="shared" si="2"/>
        <v>35000000</v>
      </c>
      <c r="B36" s="56">
        <f t="shared" si="0"/>
        <v>102005.09053453896</v>
      </c>
      <c r="C36" s="57">
        <f t="shared" si="1"/>
        <v>1176118.6938632342</v>
      </c>
      <c r="D36" s="41">
        <f t="shared" si="3"/>
        <v>1.2156396706995687E-4</v>
      </c>
    </row>
    <row r="37" spans="1:4" x14ac:dyDescent="0.3">
      <c r="A37" s="56">
        <f t="shared" si="2"/>
        <v>37500000</v>
      </c>
      <c r="B37" s="56">
        <f t="shared" si="0"/>
        <v>105946.30859808903</v>
      </c>
      <c r="C37" s="57">
        <f t="shared" si="1"/>
        <v>1221560.9381359664</v>
      </c>
      <c r="D37" s="41">
        <f t="shared" si="3"/>
        <v>1.050991483613352E-4</v>
      </c>
    </row>
    <row r="38" spans="1:4" x14ac:dyDescent="0.3">
      <c r="A38" s="56">
        <f t="shared" si="2"/>
        <v>40000000</v>
      </c>
      <c r="B38" s="56">
        <f t="shared" si="0"/>
        <v>109596.68314100523</v>
      </c>
      <c r="C38" s="57">
        <f t="shared" si="1"/>
        <v>1263649.7566157901</v>
      </c>
      <c r="D38" s="41">
        <f t="shared" si="3"/>
        <v>9.1259363572904843E-5</v>
      </c>
    </row>
    <row r="39" spans="1:4" x14ac:dyDescent="0.3">
      <c r="A39" s="56">
        <f t="shared" si="2"/>
        <v>42500000</v>
      </c>
      <c r="B39" s="56">
        <f t="shared" si="0"/>
        <v>112977.31227134541</v>
      </c>
      <c r="C39" s="57">
        <f t="shared" si="1"/>
        <v>1302628.4104886125</v>
      </c>
      <c r="D39" s="41">
        <f t="shared" si="3"/>
        <v>7.9544214831533676E-5</v>
      </c>
    </row>
    <row r="40" spans="1:4" x14ac:dyDescent="0.3">
      <c r="A40" s="56">
        <f t="shared" si="2"/>
        <v>45000000</v>
      </c>
      <c r="B40" s="56">
        <f t="shared" si="0"/>
        <v>116107.81606279686</v>
      </c>
      <c r="C40" s="57">
        <f t="shared" si="1"/>
        <v>1338723.1192040478</v>
      </c>
      <c r="D40" s="41">
        <f t="shared" si="3"/>
        <v>6.9566750921143427E-5</v>
      </c>
    </row>
    <row r="41" spans="1:4" x14ac:dyDescent="0.3">
      <c r="A41" s="56">
        <f>A40+(($C$18-$B$18)/$D$18)</f>
        <v>47500000</v>
      </c>
      <c r="B41" s="56">
        <f t="shared" si="0"/>
        <v>119006.43250893801</v>
      </c>
      <c r="C41" s="57">
        <f t="shared" si="1"/>
        <v>1372144.1668280552</v>
      </c>
      <c r="D41" s="41">
        <f t="shared" si="3"/>
        <v>6.1023504129287443E-5</v>
      </c>
    </row>
    <row r="42" spans="1:4" x14ac:dyDescent="0.3">
      <c r="A42" s="56">
        <f t="shared" si="2"/>
        <v>50000000</v>
      </c>
      <c r="B42" s="56">
        <f t="shared" si="0"/>
        <v>121690.10836875997</v>
      </c>
      <c r="C42" s="57">
        <f t="shared" si="1"/>
        <v>1403086.9494918024</v>
      </c>
      <c r="D42" s="41">
        <f t="shared" si="3"/>
        <v>5.3673517196439206E-5</v>
      </c>
    </row>
  </sheetData>
  <mergeCells count="11">
    <mergeCell ref="G7:H7"/>
    <mergeCell ref="J11:J12"/>
    <mergeCell ref="J13:Q14"/>
    <mergeCell ref="A13:F14"/>
    <mergeCell ref="A17:A18"/>
    <mergeCell ref="A20:B20"/>
    <mergeCell ref="A11:A12"/>
    <mergeCell ref="B4:F4"/>
    <mergeCell ref="A7:A9"/>
    <mergeCell ref="B7:C7"/>
    <mergeCell ref="D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Desktop Paid Search</vt:lpstr>
      <vt:lpstr>MCM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2013-04-19T22:41:35Z</dcterms:modified>
</cp:coreProperties>
</file>