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05" yWindow="105" windowWidth="10695" windowHeight="10170"/>
  </bookViews>
  <sheets>
    <sheet name="Data" sheetId="1" r:id="rId1"/>
    <sheet name="Desktop Paid Search" sheetId="2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E18" i="1" l="1"/>
  <c r="G18" i="1" l="1"/>
  <c r="F18" i="1"/>
  <c r="E17" i="1"/>
  <c r="H17" i="1"/>
  <c r="G17" i="1" s="1"/>
  <c r="E16" i="1" l="1"/>
  <c r="G16" i="1"/>
  <c r="E15" i="1"/>
  <c r="G15" i="1"/>
  <c r="E14" i="1"/>
  <c r="E6" i="1"/>
  <c r="I18" i="1" s="1"/>
  <c r="G14" i="1"/>
  <c r="I11" i="1"/>
  <c r="E5" i="1"/>
  <c r="I13" i="1"/>
  <c r="H13" i="1"/>
  <c r="G13" i="1" s="1"/>
  <c r="F13" i="1"/>
  <c r="E13" i="1"/>
  <c r="F12" i="1"/>
  <c r="F11" i="1"/>
  <c r="F10" i="1"/>
  <c r="I14" i="1" l="1"/>
  <c r="I17" i="1"/>
  <c r="I16" i="1"/>
  <c r="I15" i="1"/>
  <c r="H11" i="1"/>
  <c r="G11" i="1" s="1"/>
  <c r="E14" i="2"/>
  <c r="E4" i="2"/>
  <c r="D11" i="2"/>
  <c r="D13" i="2"/>
  <c r="D10" i="2"/>
  <c r="D9" i="2"/>
  <c r="D6" i="2"/>
  <c r="D4" i="2"/>
  <c r="D5" i="2"/>
  <c r="D7" i="2"/>
  <c r="D8" i="2"/>
  <c r="D14" i="2"/>
  <c r="D12" i="2"/>
  <c r="E11" i="1" l="1"/>
  <c r="G12" i="1"/>
  <c r="I12" i="1" s="1"/>
  <c r="H12" i="1"/>
  <c r="H10" i="1" l="1"/>
  <c r="G10" i="1" s="1"/>
  <c r="I10" i="1" s="1"/>
  <c r="E12" i="1"/>
  <c r="E10" i="1" l="1"/>
</calcChain>
</file>

<file path=xl/comments1.xml><?xml version="1.0" encoding="utf-8"?>
<comments xmlns="http://schemas.openxmlformats.org/spreadsheetml/2006/main">
  <authors>
    <author>Merck &amp; Co., Inc.</author>
    <author>Jane Folske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 xml:space="preserve">Jane: </t>
        </r>
        <r>
          <rPr>
            <sz val="9"/>
            <color indexed="81"/>
            <rFont val="Tahoma"/>
            <family val="2"/>
          </rPr>
          <t>Back-calculated from pre-tax revenue</t>
        </r>
      </text>
    </comment>
    <comment ref="A10" authorId="1">
      <text>
        <r>
          <rPr>
            <b/>
            <sz val="9"/>
            <color indexed="81"/>
            <rFont val="Tahoma"/>
            <family val="2"/>
          </rPr>
          <t>Jane Folske:</t>
        </r>
        <r>
          <rPr>
            <sz val="9"/>
            <color indexed="81"/>
            <rFont val="Tahoma"/>
            <family val="2"/>
          </rPr>
          <t xml:space="preserve">
2009, 2010, 2011</t>
        </r>
      </text>
    </comment>
    <comment ref="A13" authorId="1">
      <text>
        <r>
          <rPr>
            <b/>
            <sz val="9"/>
            <color indexed="81"/>
            <rFont val="Tahoma"/>
            <family val="2"/>
          </rPr>
          <t xml:space="preserve">Jane Folske:
</t>
        </r>
        <r>
          <rPr>
            <sz val="9"/>
            <color indexed="81"/>
            <rFont val="Tahoma"/>
            <family val="2"/>
          </rPr>
          <t>Aug'01 - Jun'12</t>
        </r>
      </text>
    </comment>
  </commentList>
</comments>
</file>

<file path=xl/sharedStrings.xml><?xml version="1.0" encoding="utf-8"?>
<sst xmlns="http://schemas.openxmlformats.org/spreadsheetml/2006/main" count="73" uniqueCount="59">
  <si>
    <t>YEAR</t>
  </si>
  <si>
    <t>MEDIA TYPE</t>
  </si>
  <si>
    <t>PRE-TAX SPEND</t>
  </si>
  <si>
    <t>AFTER-TAX REVENUE</t>
  </si>
  <si>
    <t>INCREMENTAL NRX</t>
  </si>
  <si>
    <t>CURVE TYPE</t>
  </si>
  <si>
    <t>assumed</t>
  </si>
  <si>
    <t>SOURCE</t>
  </si>
  <si>
    <t>ROI</t>
  </si>
  <si>
    <t>VERSION</t>
  </si>
  <si>
    <t>PRE-TAX REVENUE</t>
  </si>
  <si>
    <t>MIN PT SPEND</t>
  </si>
  <si>
    <t>MAX PT SPEND</t>
  </si>
  <si>
    <t>MAX Y</t>
  </si>
  <si>
    <t>tax rate on revenue</t>
  </si>
  <si>
    <t>Parameters for back-calculation of Incremental NRx</t>
  </si>
  <si>
    <t>PRA</t>
  </si>
  <si>
    <t>after-tax 3-year NPV/new patient</t>
  </si>
  <si>
    <t>2012 Month</t>
  </si>
  <si>
    <t>Spend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</si>
  <si>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</si>
  <si>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</si>
  <si>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</si>
  <si>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</si>
  <si>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</si>
  <si>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</si>
  <si>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</si>
  <si>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</si>
  <si>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</si>
  <si>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</si>
  <si>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</si>
  <si>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</si>
  <si>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Desktop paid search month-over-month spend and revenue may suggest a curve. This approach has pitfalls related to lack of control for seasonality and market events.</t>
  </si>
  <si>
    <t>Annualized</t>
  </si>
  <si>
    <t>min</t>
  </si>
  <si>
    <t>max</t>
  </si>
  <si>
    <t>NOTES</t>
  </si>
  <si>
    <t xml:space="preserve">Min and max spend derived from annualization of min and max monthly spend in 2012. </t>
  </si>
  <si>
    <t>multi</t>
  </si>
  <si>
    <t>PeerDirect ONLINE</t>
  </si>
  <si>
    <t>see &lt;\\wpushh01\dinfopln\PRA\Multichannel Marketing\Januvia\Peer Direct\2011\ALIGN_MODEL RESULTS_2011.XLS&gt;</t>
  </si>
  <si>
    <t>Epocrates DocAlerts</t>
  </si>
  <si>
    <t>see &lt;\\wpushh01\dinfopln\PRA\Multichannel Marketing\ePocrates exMerck measurements\Januvia 2010\Januvia 2010 Doc Alert ROI Calculation.xls&gt;</t>
  </si>
  <si>
    <t>Epocrates EP</t>
  </si>
  <si>
    <t>see &lt;\\wpushh01\dinfopln\PRA\Multichannel Marketing\ePocrates exMerck measurements\Essential Points - Januvia 2010\Merck_Januvia_EP_2011 v1.xls&gt;</t>
  </si>
  <si>
    <t>PracticeWire</t>
  </si>
  <si>
    <t>see &lt;\\wpushh01\dinfopln\PRA\Consultation\Healthy Advice - PracticeWire\Jantot\Dollarizing Januvia PracticeWire - Internal ROI analysis.xls&gt;</t>
  </si>
  <si>
    <t>PeerDirect</t>
  </si>
  <si>
    <t>CCS</t>
  </si>
  <si>
    <t>WebMD Learning Hub</t>
  </si>
  <si>
    <t>PTN</t>
  </si>
  <si>
    <t>Total planned 2013 spend (Ennis):</t>
  </si>
  <si>
    <t>PI MedAlerts</t>
  </si>
  <si>
    <t>Note: planned spend includes:</t>
  </si>
  <si>
    <t>of "support" costs (Evolution Road, DraftFCB, "TeamMerck" for execution/list production, some digital publishing cost)</t>
  </si>
  <si>
    <t>Merck Diabetes Franchise MCM Media Mix: Incremental NRx per Tactic with ROI, Spend and Incremental Revenue</t>
  </si>
  <si>
    <t>Other Programs</t>
  </si>
  <si>
    <t>EST</t>
  </si>
  <si>
    <t>assume weighted average of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</si>
</sst>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3" fillId="2" borderId="0" xfId="3"/>
    <xf numFmtId="5" fontId="3" fillId="2" borderId="0" xfId="3" applyNumberFormat="1"/>
    <xf numFmtId="0" fontId="0" fillId="0" borderId="0" xfId="0" applyFill="1"/>
    <xf numFmtId="0" fontId="3" fillId="0" borderId="0" xfId="3" applyFill="1"/>
    <xf numFmtId="5" fontId="3" fillId="0" borderId="0" xfId="3" applyNumberFormat="1" applyFill="1"/>
    <xf numFmtId="166" fontId="0" fillId="0" borderId="0" xfId="0" applyNumberFormat="1"/>
    <xf numFmtId="14" fontId="0" fillId="0" borderId="0" xfId="0" applyNumberFormat="1"/>
    <xf numFmtId="0" fontId="2" fillId="3" borderId="0" xfId="4" applyFont="1" applyAlignment="1">
      <alignment horizontal="center"/>
    </xf>
    <xf numFmtId="0" fontId="6" fillId="4" borderId="0" xfId="5" applyFont="1"/>
    <xf numFmtId="0" fontId="6" fillId="0" borderId="0" xfId="0" applyFont="1"/>
    <xf numFmtId="0" fontId="0" fillId="5" borderId="0" xfId="0" applyFill="1"/>
    <xf numFmtId="14" fontId="0" fillId="5" borderId="0" xfId="0" applyNumberFormat="1" applyFill="1"/>
    <xf numFmtId="166" fontId="0" fillId="5" borderId="0" xfId="0" applyNumberFormat="1" applyFill="1"/>
    <xf numFmtId="164" fontId="0" fillId="5" borderId="0" xfId="2" applyNumberFormat="1" applyFont="1" applyFill="1"/>
    <xf numFmtId="165" fontId="0" fillId="5" borderId="0" xfId="1" applyNumberFormat="1" applyFont="1" applyFill="1"/>
  </cellXfs>
  <cellStyles count="6">
    <cellStyle name="60% - Accent1" xfId="3" builtinId="32"/>
    <cellStyle name="60% - Accent4" xfId="4" builtinId="44"/>
    <cellStyle name="60% - Accent6" xfId="5" builtinId="52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>
                <c:manualLayout>
                  <c:x val="-4.5351473922902494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AUG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360544217687074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JUN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281357687431931E-2"/>
                  <c:y val="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5873015873015789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OCT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829931972789115E-2"/>
                  <c:y val="-5.8866813833701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4421768707482991E-2"/>
                  <c:y val="-2.06033848417954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3605442176870748E-2"/>
                  <c:y val="1.4716471699315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APR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5.2154195011337869E-2"/>
                  <c:y val="-2.354672553348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4943310657596373E-2"/>
                  <c:y val="-1.4716703458425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MAR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5873015873015872E-2"/>
                  <c:y val="-2.94334069168504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NOV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'Desktop Paid Search'!$B$4:$B$14</c:f>
              <c:numCache>
                <c:formatCode>_("$"* #,##0_);_("$"* \(#,##0\);_("$"* "-"??_);_(@_)</c:formatCode>
                <c:ptCount val="11"/>
                <c:pt idx="0">
                  <c:v>409</c:v>
                </c:pt>
                <c:pt idx="1">
                  <c:v>409</c:v>
                </c:pt>
                <c:pt idx="2">
                  <c:v>512</c:v>
                </c:pt>
                <c:pt idx="3">
                  <c:v>716</c:v>
                </c:pt>
                <c:pt idx="4">
                  <c:v>759</c:v>
                </c:pt>
                <c:pt idx="5">
                  <c:v>773</c:v>
                </c:pt>
                <c:pt idx="6">
                  <c:v>790</c:v>
                </c:pt>
                <c:pt idx="7">
                  <c:v>799</c:v>
                </c:pt>
                <c:pt idx="8">
                  <c:v>829</c:v>
                </c:pt>
                <c:pt idx="9">
                  <c:v>891</c:v>
                </c:pt>
                <c:pt idx="10">
                  <c:v>904</c:v>
                </c:pt>
              </c:numCache>
            </c:numRef>
          </c:xVal>
          <c:yVal>
            <c:numRef>
              <c:f>'Desktop Paid Search'!$D$4:$D$14</c:f>
              <c:numCache>
                <c:formatCode>_("$"* #,##0_);_("$"* \(#,##0\);_("$"* "-"??_);_(@_)</c:formatCode>
                <c:ptCount val="11"/>
                <c:pt idx="0">
                  <c:v>10429.5</c:v>
                </c:pt>
                <c:pt idx="1">
                  <c:v>9652.4000000000015</c:v>
                </c:pt>
                <c:pt idx="2">
                  <c:v>12032</c:v>
                </c:pt>
                <c:pt idx="3">
                  <c:v>15107.6</c:v>
                </c:pt>
                <c:pt idx="4">
                  <c:v>15255.900000000001</c:v>
                </c:pt>
                <c:pt idx="5">
                  <c:v>17237.900000000001</c:v>
                </c:pt>
                <c:pt idx="6">
                  <c:v>17933</c:v>
                </c:pt>
                <c:pt idx="7">
                  <c:v>16858.900000000001</c:v>
                </c:pt>
                <c:pt idx="8">
                  <c:v>18320.900000000001</c:v>
                </c:pt>
                <c:pt idx="9">
                  <c:v>18711</c:v>
                </c:pt>
                <c:pt idx="10">
                  <c:v>17628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693696"/>
        <c:axId val="357599872"/>
      </c:scatterChart>
      <c:valAx>
        <c:axId val="353693696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57599872"/>
        <c:crosses val="autoZero"/>
        <c:crossBetween val="midCat"/>
      </c:valAx>
      <c:valAx>
        <c:axId val="357599872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353693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9525</xdr:rowOff>
    </xdr:from>
    <xdr:to>
      <xdr:col>16</xdr:col>
      <xdr:colOff>123825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Essential%20Points%20-%20Januvia%202010/Merck_Januvia_EP_2011%20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Product%20NPV%202013%20received%204-23-12%20MAST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Januvia/Peer%20Direct/2011/ALIGN_MODEL%20RESULTS_20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Multichannel%20Marketing/ePocrates%20exMerck%20measurements/Januvia%202010/Januvia%202010%20Doc%20Alert%20ROI%20Calcul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Consultation/Healthy%20Advice%20-%20PracticeWire/Jantot/Dollarizing%20Januvia%20PracticeWire%20-%20Internal%20ROI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VIA_crosstabs"/>
      <sheetName val="JANUVIA_userbymonth"/>
      <sheetName val="Waterfall"/>
      <sheetName val="JANUVIA_ttests"/>
      <sheetName val="JANUVIA_volbyprepost"/>
      <sheetName val="JANUVIA_regression_all"/>
      <sheetName val="JANUVIA_regression_startcomp"/>
      <sheetName val="ROI by Pgm Type"/>
    </sheetNames>
    <sheetDataSet>
      <sheetData sheetId="0"/>
      <sheetData sheetId="1"/>
      <sheetData sheetId="2"/>
      <sheetData sheetId="3"/>
      <sheetData sheetId="4"/>
      <sheetData sheetId="5">
        <row r="16">
          <cell r="M16">
            <v>203000</v>
          </cell>
        </row>
        <row r="17">
          <cell r="C17">
            <v>940</v>
          </cell>
          <cell r="F17">
            <v>1279704.72</v>
          </cell>
          <cell r="H17">
            <v>10.506606896551723</v>
          </cell>
          <cell r="I17">
            <v>2148270.2640000004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nch Brands"/>
      <sheetName val="Cover"/>
      <sheetName val=" Summary"/>
      <sheetName val="NPV2013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LROP"/>
      <sheetName val="Cobra"/>
      <sheetName val="Notes"/>
      <sheetName val="Sheet1"/>
      <sheetName val="Fosamax"/>
      <sheetName val="Fosamax Plus D"/>
      <sheetName val="Fosamax Total"/>
    </sheetNames>
    <sheetDataSet>
      <sheetData sheetId="0"/>
      <sheetData sheetId="1"/>
      <sheetData sheetId="2">
        <row r="22">
          <cell r="D22">
            <v>1117.7796531072613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s"/>
      <sheetName val="NRx Lift Estimates"/>
      <sheetName val="LSMEANS"/>
      <sheetName val="LSMEANS_CL"/>
      <sheetName val="LSMEANSH"/>
      <sheetName val="LSMEANS_CLH"/>
      <sheetName val="PARMS"/>
      <sheetName val="PARMSH"/>
    </sheetNames>
    <sheetDataSet>
      <sheetData sheetId="0"/>
      <sheetData sheetId="1">
        <row r="9">
          <cell r="N9">
            <v>2267789.0047229771</v>
          </cell>
        </row>
        <row r="10">
          <cell r="N10">
            <v>2899164</v>
          </cell>
        </row>
        <row r="12">
          <cell r="N12">
            <v>1.3037028402687678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NPV"/>
    </sheetNames>
    <sheetDataSet>
      <sheetData sheetId="0"/>
      <sheetData sheetId="1">
        <row r="7">
          <cell r="D7">
            <v>3228.4629</v>
          </cell>
        </row>
        <row r="9">
          <cell r="D9">
            <v>3034755.1260000002</v>
          </cell>
        </row>
        <row r="11">
          <cell r="D11">
            <v>4.3981958347826087</v>
          </cell>
        </row>
        <row r="16">
          <cell r="D16">
            <v>1150000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rck calculated ROI"/>
    </sheetNames>
    <sheetDataSet>
      <sheetData sheetId="0"/>
      <sheetData sheetId="1">
        <row r="8">
          <cell r="H8">
            <v>6689.5299899999991</v>
          </cell>
        </row>
        <row r="12">
          <cell r="H12">
            <v>7477420.51167282</v>
          </cell>
        </row>
        <row r="14">
          <cell r="H14">
            <v>1320832</v>
          </cell>
        </row>
        <row r="18">
          <cell r="H18">
            <v>9.435240454088559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tabSelected="1" zoomScaleNormal="100" workbookViewId="0">
      <selection activeCell="I20" sqref="I20"/>
    </sheetView>
  </sheetViews>
  <sheetFormatPr defaultRowHeight="15" x14ac:dyDescent="0.25"/>
  <cols>
    <col min="1" max="1" width="6" bestFit="1" customWidth="1"/>
    <col min="2" max="2" width="23.28515625" bestFit="1" customWidth="1"/>
    <col min="3" max="3" width="8" bestFit="1" customWidth="1"/>
    <col min="4" max="4" width="34.140625" customWidth="1"/>
    <col min="5" max="5" width="7.28515625" bestFit="1" customWidth="1"/>
    <col min="6" max="6" width="14.85546875" bestFit="1" customWidth="1"/>
    <col min="7" max="7" width="17.28515625" bestFit="1" customWidth="1"/>
    <col min="8" max="8" width="19.42578125" customWidth="1"/>
    <col min="9" max="9" width="18" bestFit="1" customWidth="1"/>
    <col min="10" max="10" width="13.7109375" bestFit="1" customWidth="1"/>
    <col min="11" max="11" width="14.140625" bestFit="1" customWidth="1"/>
    <col min="12" max="12" width="12.28515625" customWidth="1"/>
    <col min="13" max="13" width="12.140625" customWidth="1"/>
    <col min="14" max="14" width="68.7109375" customWidth="1"/>
  </cols>
  <sheetData>
    <row r="1" spans="1:15" x14ac:dyDescent="0.25">
      <c r="A1" s="10" t="s">
        <v>55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5" x14ac:dyDescent="0.25">
      <c r="C3" s="3" t="s">
        <v>15</v>
      </c>
      <c r="D3" s="3"/>
      <c r="E3" s="3"/>
    </row>
    <row r="4" spans="1:15" x14ac:dyDescent="0.25">
      <c r="C4" s="3"/>
      <c r="D4" s="3" t="s">
        <v>14</v>
      </c>
      <c r="E4" s="3">
        <v>0.4</v>
      </c>
    </row>
    <row r="5" spans="1:15" s="5" customFormat="1" x14ac:dyDescent="0.25">
      <c r="C5" s="3">
        <v>2010</v>
      </c>
      <c r="D5" s="3" t="s">
        <v>17</v>
      </c>
      <c r="E5" s="4">
        <f>[1]JANUVIA_regression_all!$C$17</f>
        <v>940</v>
      </c>
    </row>
    <row r="6" spans="1:15" s="5" customFormat="1" x14ac:dyDescent="0.25">
      <c r="C6" s="3">
        <v>2013</v>
      </c>
      <c r="D6" s="3" t="s">
        <v>17</v>
      </c>
      <c r="E6" s="4">
        <f>'[2] Summary'!$D$22</f>
        <v>1117.7796531072613</v>
      </c>
    </row>
    <row r="7" spans="1:15" s="5" customFormat="1" x14ac:dyDescent="0.25">
      <c r="C7" s="6"/>
      <c r="D7" s="6"/>
      <c r="E7" s="7"/>
    </row>
    <row r="9" spans="1:15" s="12" customFormat="1" x14ac:dyDescent="0.25">
      <c r="A9" s="11" t="s">
        <v>0</v>
      </c>
      <c r="B9" s="11" t="s">
        <v>1</v>
      </c>
      <c r="C9" s="11" t="s">
        <v>7</v>
      </c>
      <c r="D9" s="11" t="s">
        <v>9</v>
      </c>
      <c r="E9" s="11" t="s">
        <v>8</v>
      </c>
      <c r="F9" s="11" t="s">
        <v>2</v>
      </c>
      <c r="G9" s="11" t="s">
        <v>10</v>
      </c>
      <c r="H9" s="11" t="s">
        <v>3</v>
      </c>
      <c r="I9" s="11" t="s">
        <v>4</v>
      </c>
      <c r="J9" s="11" t="s">
        <v>11</v>
      </c>
      <c r="K9" s="11" t="s">
        <v>12</v>
      </c>
      <c r="L9" s="11" t="s">
        <v>13</v>
      </c>
      <c r="M9" s="11" t="s">
        <v>5</v>
      </c>
      <c r="N9" s="11" t="s">
        <v>36</v>
      </c>
    </row>
    <row r="10" spans="1:15" s="13" customFormat="1" x14ac:dyDescent="0.25">
      <c r="A10" s="13" t="s">
        <v>38</v>
      </c>
      <c r="B10" s="13" t="s">
        <v>39</v>
      </c>
      <c r="C10" s="13" t="s">
        <v>16</v>
      </c>
      <c r="D10" s="14">
        <v>40850</v>
      </c>
      <c r="E10" s="15">
        <f>'[3]NRx Lift Estimates'!$N$12</f>
        <v>1.3037028402687678</v>
      </c>
      <c r="F10" s="16">
        <f>'[3]NRx Lift Estimates'!$N$10</f>
        <v>2899164</v>
      </c>
      <c r="G10" s="16">
        <f>H10/(1-$E$4)</f>
        <v>3779648.3412049618</v>
      </c>
      <c r="H10" s="16">
        <f>'[3]NRx Lift Estimates'!$N$9</f>
        <v>2267789.0047229771</v>
      </c>
      <c r="I10" s="17">
        <f>$G10/$E$5</f>
        <v>4020.9024906435761</v>
      </c>
      <c r="J10" s="16"/>
      <c r="K10" s="16"/>
      <c r="L10" s="16"/>
      <c r="M10" s="13" t="s">
        <v>6</v>
      </c>
      <c r="N10" s="13" t="s">
        <v>37</v>
      </c>
      <c r="O10" s="13" t="s">
        <v>40</v>
      </c>
    </row>
    <row r="11" spans="1:15" s="13" customFormat="1" x14ac:dyDescent="0.25">
      <c r="A11" s="13">
        <v>2010</v>
      </c>
      <c r="B11" s="13" t="s">
        <v>41</v>
      </c>
      <c r="C11" s="13" t="s">
        <v>16</v>
      </c>
      <c r="D11" s="14">
        <v>41183</v>
      </c>
      <c r="E11" s="15">
        <f>[4]Sheet1!$D$11</f>
        <v>4.3981958347826087</v>
      </c>
      <c r="F11" s="16">
        <f>[4]Sheet1!$D$16</f>
        <v>1150000</v>
      </c>
      <c r="G11" s="16">
        <f t="shared" ref="G11:G18" si="0">H11/(1-$E$4)</f>
        <v>5057925.2100000009</v>
      </c>
      <c r="H11" s="16">
        <f>[4]Sheet1!$D$9</f>
        <v>3034755.1260000002</v>
      </c>
      <c r="I11" s="17">
        <f>[4]Sheet1!$D$7</f>
        <v>3228.4629</v>
      </c>
      <c r="J11" s="16"/>
      <c r="K11" s="16"/>
      <c r="L11" s="16"/>
      <c r="M11" s="13" t="s">
        <v>6</v>
      </c>
      <c r="O11" s="13" t="s">
        <v>42</v>
      </c>
    </row>
    <row r="12" spans="1:15" x14ac:dyDescent="0.25">
      <c r="A12">
        <v>2010</v>
      </c>
      <c r="B12" t="s">
        <v>43</v>
      </c>
      <c r="C12" t="s">
        <v>16</v>
      </c>
      <c r="D12" s="9">
        <v>41288</v>
      </c>
      <c r="E12" s="8">
        <f>[1]JANUVIA_regression_all!$H$17</f>
        <v>10.506606896551723</v>
      </c>
      <c r="F12" s="1">
        <f>[1]JANUVIA_regression_all!$M$16</f>
        <v>203000</v>
      </c>
      <c r="G12" s="1">
        <f>[1]JANUVIA_regression_all!$I$17</f>
        <v>2148270.2640000004</v>
      </c>
      <c r="H12" s="1">
        <f>[1]JANUVIA_regression_all!$F$17</f>
        <v>1279704.72</v>
      </c>
      <c r="I12" s="2">
        <f>$G12/$E$5</f>
        <v>2285.3938978723409</v>
      </c>
      <c r="J12" s="1"/>
      <c r="K12" s="1"/>
      <c r="L12" s="1"/>
      <c r="M12" t="s">
        <v>6</v>
      </c>
      <c r="O12" t="s">
        <v>44</v>
      </c>
    </row>
    <row r="13" spans="1:15" x14ac:dyDescent="0.25">
      <c r="A13" t="s">
        <v>38</v>
      </c>
      <c r="B13" t="s">
        <v>45</v>
      </c>
      <c r="C13" t="s">
        <v>16</v>
      </c>
      <c r="D13" s="9">
        <v>41348</v>
      </c>
      <c r="E13" s="8">
        <f>'[5]Merck calculated ROI'!$H$18</f>
        <v>9.435240454088559</v>
      </c>
      <c r="F13" s="1">
        <f>'[5]Merck calculated ROI'!$H$14</f>
        <v>1320832</v>
      </c>
      <c r="G13" s="1">
        <f t="shared" si="0"/>
        <v>12462367.519454701</v>
      </c>
      <c r="H13" s="1">
        <f>'[5]Merck calculated ROI'!$H$12</f>
        <v>7477420.51167282</v>
      </c>
      <c r="I13" s="2">
        <f>'[5]Merck calculated ROI'!$H$8</f>
        <v>6689.5299899999991</v>
      </c>
      <c r="J13" s="1"/>
      <c r="K13" s="1"/>
      <c r="L13" s="1"/>
      <c r="M13" t="s">
        <v>6</v>
      </c>
      <c r="O13" t="s">
        <v>46</v>
      </c>
    </row>
    <row r="14" spans="1:15" x14ac:dyDescent="0.25">
      <c r="A14">
        <v>2013</v>
      </c>
      <c r="B14" t="s">
        <v>47</v>
      </c>
      <c r="C14" t="s">
        <v>48</v>
      </c>
      <c r="D14" s="9">
        <v>41366</v>
      </c>
      <c r="E14" s="8">
        <f>H14/(F14*(1-0.4))</f>
        <v>1.6389789473684211</v>
      </c>
      <c r="F14" s="1">
        <v>950000</v>
      </c>
      <c r="G14" s="1">
        <f t="shared" si="0"/>
        <v>1557030</v>
      </c>
      <c r="H14" s="1">
        <v>934218</v>
      </c>
      <c r="I14" s="2">
        <f>H14/$E$6</f>
        <v>835.78010872090294</v>
      </c>
    </row>
    <row r="15" spans="1:15" x14ac:dyDescent="0.25">
      <c r="A15">
        <v>2013</v>
      </c>
      <c r="B15" t="s">
        <v>49</v>
      </c>
      <c r="C15" t="s">
        <v>48</v>
      </c>
      <c r="D15" s="9">
        <v>41366</v>
      </c>
      <c r="E15" s="8">
        <f>H15/(F15*(1-0.4))</f>
        <v>6.074921543033299</v>
      </c>
      <c r="F15">
        <v>1800350</v>
      </c>
      <c r="G15" s="1">
        <f t="shared" si="0"/>
        <v>10936985</v>
      </c>
      <c r="H15" s="1">
        <v>6562191</v>
      </c>
      <c r="I15" s="2">
        <f>H15/$E$6</f>
        <v>5870.737565993516</v>
      </c>
    </row>
    <row r="16" spans="1:15" x14ac:dyDescent="0.25">
      <c r="A16">
        <v>2013</v>
      </c>
      <c r="B16" t="s">
        <v>50</v>
      </c>
      <c r="C16" t="s">
        <v>48</v>
      </c>
      <c r="D16" s="9">
        <v>41366</v>
      </c>
      <c r="E16" s="8">
        <f>H16/(F16*(1-0.4))</f>
        <v>7.1144333333333334</v>
      </c>
      <c r="F16">
        <v>300000</v>
      </c>
      <c r="G16" s="1">
        <f t="shared" si="0"/>
        <v>2134330</v>
      </c>
      <c r="H16" s="1">
        <v>1280598</v>
      </c>
      <c r="I16" s="2">
        <f>H16/$E$6</f>
        <v>1145.6622925995548</v>
      </c>
    </row>
    <row r="17" spans="1:14" x14ac:dyDescent="0.25">
      <c r="A17">
        <v>2013</v>
      </c>
      <c r="B17" t="s">
        <v>41</v>
      </c>
      <c r="C17" t="s">
        <v>48</v>
      </c>
      <c r="D17" s="9">
        <v>41366</v>
      </c>
      <c r="E17" s="8">
        <f>H17/(F17*(1-0.4))</f>
        <v>5.5640340909090913</v>
      </c>
      <c r="F17" s="1">
        <v>528000</v>
      </c>
      <c r="G17" s="1">
        <f t="shared" si="0"/>
        <v>2937810</v>
      </c>
      <c r="H17" s="1">
        <f>1762686</f>
        <v>1762686</v>
      </c>
      <c r="I17" s="2">
        <f>H17/$E$6</f>
        <v>1576.9530203023421</v>
      </c>
    </row>
    <row r="18" spans="1:14" x14ac:dyDescent="0.25">
      <c r="A18">
        <v>2013</v>
      </c>
      <c r="B18" t="s">
        <v>52</v>
      </c>
      <c r="C18" t="s">
        <v>48</v>
      </c>
      <c r="D18" s="9">
        <v>41366</v>
      </c>
      <c r="E18" s="8">
        <f>G18/F18</f>
        <v>6.9188730951710671</v>
      </c>
      <c r="F18" s="1">
        <f>209577</f>
        <v>209577</v>
      </c>
      <c r="G18" s="1">
        <f t="shared" si="0"/>
        <v>1450036.6666666667</v>
      </c>
      <c r="H18" s="1">
        <v>870022</v>
      </c>
      <c r="I18" s="2">
        <f>H18/$E$6</f>
        <v>778.34839593069</v>
      </c>
    </row>
    <row r="19" spans="1:14" x14ac:dyDescent="0.25">
      <c r="A19">
        <v>2013</v>
      </c>
      <c r="B19" t="s">
        <v>56</v>
      </c>
      <c r="C19" t="s">
        <v>57</v>
      </c>
      <c r="D19" s="9"/>
      <c r="E19" s="8"/>
      <c r="F19" s="1"/>
      <c r="G19" s="1"/>
      <c r="H19" s="1"/>
      <c r="I19" s="2"/>
      <c r="N19" t="s">
        <v>58</v>
      </c>
    </row>
    <row r="21" spans="1:14" x14ac:dyDescent="0.25">
      <c r="A21" t="s">
        <v>51</v>
      </c>
    </row>
    <row r="22" spans="1:14" x14ac:dyDescent="0.25">
      <c r="B22" s="1">
        <v>7818984</v>
      </c>
      <c r="D22" t="s">
        <v>53</v>
      </c>
      <c r="F22" s="1">
        <v>786477</v>
      </c>
      <c r="G22" t="s">
        <v>54</v>
      </c>
    </row>
  </sheetData>
  <mergeCells count="1">
    <mergeCell ref="A1:M1"/>
  </mergeCells>
  <pageMargins left="0.7" right="0.7" top="0.75" bottom="0.75" header="0.3" footer="0.3"/>
  <pageSetup orientation="portrait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RowHeight="15" x14ac:dyDescent="0.25"/>
  <cols>
    <col min="1" max="1" width="12.5703125" customWidth="1"/>
    <col min="4" max="4" width="11.5703125" bestFit="1" customWidth="1"/>
    <col min="5" max="6" width="11.5703125" customWidth="1"/>
  </cols>
  <sheetData>
    <row r="1" spans="1:6" x14ac:dyDescent="0.25">
      <c r="A1" t="s">
        <v>32</v>
      </c>
    </row>
    <row r="3" spans="1:6" x14ac:dyDescent="0.25">
      <c r="A3" t="s">
        <v>18</v>
      </c>
      <c r="B3" t="s">
        <v>19</v>
      </c>
      <c r="C3" t="s">
        <v>8</v>
      </c>
      <c r="D3" t="s">
        <v>20</v>
      </c>
      <c r="E3" t="s">
        <v>33</v>
      </c>
    </row>
    <row r="4" spans="1:6" x14ac:dyDescent="0.25">
      <c r="A4" t="s">
        <v>27</v>
      </c>
      <c r="B4" s="1">
        <v>409</v>
      </c>
      <c r="C4">
        <v>25.5</v>
      </c>
      <c r="D4" s="1">
        <f t="shared" ref="D4:D14" si="0">B4*C4</f>
        <v>10429.5</v>
      </c>
      <c r="E4" s="1">
        <f>B4*12</f>
        <v>4908</v>
      </c>
      <c r="F4" s="1" t="s">
        <v>34</v>
      </c>
    </row>
    <row r="5" spans="1:6" x14ac:dyDescent="0.25">
      <c r="A5" t="s">
        <v>28</v>
      </c>
      <c r="B5" s="1">
        <v>409</v>
      </c>
      <c r="C5">
        <v>23.6</v>
      </c>
      <c r="D5" s="1">
        <f t="shared" si="0"/>
        <v>9652.4000000000015</v>
      </c>
      <c r="E5" s="1"/>
      <c r="F5" s="1"/>
    </row>
    <row r="6" spans="1:6" x14ac:dyDescent="0.25">
      <c r="A6" t="s">
        <v>26</v>
      </c>
      <c r="B6" s="1">
        <v>512</v>
      </c>
      <c r="C6">
        <v>23.5</v>
      </c>
      <c r="D6" s="1">
        <f t="shared" si="0"/>
        <v>12032</v>
      </c>
      <c r="E6" s="1"/>
      <c r="F6" s="1"/>
    </row>
    <row r="7" spans="1:6" x14ac:dyDescent="0.25">
      <c r="A7" t="s">
        <v>29</v>
      </c>
      <c r="B7" s="1">
        <v>716</v>
      </c>
      <c r="C7">
        <v>21.1</v>
      </c>
      <c r="D7" s="1">
        <f t="shared" si="0"/>
        <v>15107.6</v>
      </c>
      <c r="E7" s="1"/>
      <c r="F7" s="1"/>
    </row>
    <row r="8" spans="1:6" x14ac:dyDescent="0.25">
      <c r="A8" t="s">
        <v>30</v>
      </c>
      <c r="B8" s="1">
        <v>759</v>
      </c>
      <c r="C8">
        <v>20.100000000000001</v>
      </c>
      <c r="D8" s="1">
        <f t="shared" si="0"/>
        <v>15255.900000000001</v>
      </c>
      <c r="E8" s="1"/>
      <c r="F8" s="1"/>
    </row>
    <row r="9" spans="1:6" x14ac:dyDescent="0.25">
      <c r="A9" t="s">
        <v>25</v>
      </c>
      <c r="B9" s="1">
        <v>773</v>
      </c>
      <c r="C9">
        <v>22.3</v>
      </c>
      <c r="D9" s="1">
        <f t="shared" si="0"/>
        <v>17237.900000000001</v>
      </c>
      <c r="E9" s="1"/>
      <c r="F9" s="1"/>
    </row>
    <row r="10" spans="1:6" x14ac:dyDescent="0.25">
      <c r="A10" t="s">
        <v>24</v>
      </c>
      <c r="B10" s="1">
        <v>790</v>
      </c>
      <c r="C10">
        <v>22.7</v>
      </c>
      <c r="D10" s="1">
        <f t="shared" si="0"/>
        <v>17933</v>
      </c>
      <c r="E10" s="1"/>
      <c r="F10" s="1"/>
    </row>
    <row r="11" spans="1:6" x14ac:dyDescent="0.25">
      <c r="A11" t="s">
        <v>22</v>
      </c>
      <c r="B11" s="1">
        <v>799</v>
      </c>
      <c r="C11">
        <v>21.1</v>
      </c>
      <c r="D11" s="1">
        <f t="shared" si="0"/>
        <v>16858.900000000001</v>
      </c>
      <c r="E11" s="1"/>
      <c r="F11" s="1"/>
    </row>
    <row r="12" spans="1:6" x14ac:dyDescent="0.25">
      <c r="A12" t="s">
        <v>21</v>
      </c>
      <c r="B12" s="1">
        <v>829</v>
      </c>
      <c r="C12">
        <v>22.1</v>
      </c>
      <c r="D12" s="1">
        <f t="shared" si="0"/>
        <v>18320.900000000001</v>
      </c>
      <c r="E12" s="1"/>
      <c r="F12" s="1"/>
    </row>
    <row r="13" spans="1:6" x14ac:dyDescent="0.25">
      <c r="A13" t="s">
        <v>23</v>
      </c>
      <c r="B13" s="1">
        <v>891</v>
      </c>
      <c r="C13">
        <v>21</v>
      </c>
      <c r="D13" s="1">
        <f t="shared" si="0"/>
        <v>18711</v>
      </c>
      <c r="E13" s="1"/>
      <c r="F13" s="1"/>
    </row>
    <row r="14" spans="1:6" x14ac:dyDescent="0.25">
      <c r="A14" t="s">
        <v>31</v>
      </c>
      <c r="B14" s="1">
        <v>904</v>
      </c>
      <c r="C14">
        <v>19.5</v>
      </c>
      <c r="D14" s="1">
        <f t="shared" si="0"/>
        <v>17628</v>
      </c>
      <c r="E14" s="1">
        <f>B14*12</f>
        <v>10848</v>
      </c>
      <c r="F14" s="1" t="s">
        <v>35</v>
      </c>
    </row>
  </sheetData>
  <sortState ref="A4:D14">
    <sortCondition ref="B4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Desktop Paid Search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Jane Folske</cp:lastModifiedBy>
  <dcterms:created xsi:type="dcterms:W3CDTF">2013-03-26T11:28:18Z</dcterms:created>
  <dcterms:modified xsi:type="dcterms:W3CDTF">2013-04-05T19:58:51Z</dcterms:modified>
</cp:coreProperties>
</file>