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3.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ml.chartshapes+xml"/>
  <Override PartName="/xl/charts/chart13.xml" ContentType="application/vnd.openxmlformats-officedocument.drawingml.chart+xml"/>
  <Override PartName="/xl/drawings/drawing5.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15" windowWidth="15390" windowHeight="4590" tabRatio="864" firstSheet="3" activeTab="11"/>
  </bookViews>
  <sheets>
    <sheet name="Expense Cat" sheetId="1" r:id="rId1"/>
    <sheet name="Response Stats" sheetId="3" r:id="rId2"/>
    <sheet name="PRC Methods" sheetId="2" r:id="rId3"/>
    <sheet name="TEMP2" sheetId="16" r:id="rId4"/>
    <sheet name="STD20" sheetId="15" r:id="rId5"/>
    <sheet name="STD30" sheetId="17" r:id="rId6"/>
    <sheet name="Temp" sheetId="8" r:id="rId7"/>
    <sheet name="Custom Case" sheetId="18" r:id="rId8"/>
    <sheet name="Custom - Sensitivity" sheetId="19" r:id="rId9"/>
    <sheet name="Main Cases" sheetId="21" r:id="rId10"/>
    <sheet name="Charts - Idvl" sheetId="14" r:id="rId11"/>
    <sheet name="Charts - Contrib" sheetId="20" r:id="rId12"/>
    <sheet name="Graph" sheetId="13" r:id="rId13"/>
  </sheets>
  <externalReferences>
    <externalReference r:id="rId14"/>
    <externalReference r:id="rId15"/>
  </externalReferences>
  <definedNames>
    <definedName name="_xlnm.Print_Area" localSheetId="11">'Charts - Contrib'!$A$14:$G$34</definedName>
    <definedName name="_xlnm.Print_Area" localSheetId="7">'Custom Case'!$I$2:$N$15</definedName>
  </definedNames>
  <calcPr calcId="145621"/>
</workbook>
</file>

<file path=xl/calcChain.xml><?xml version="1.0" encoding="utf-8"?>
<calcChain xmlns="http://schemas.openxmlformats.org/spreadsheetml/2006/main">
  <c r="A23" i="20" l="1"/>
  <c r="A22" i="20"/>
  <c r="A21" i="20"/>
  <c r="A20" i="20"/>
  <c r="A19" i="20"/>
  <c r="A18" i="20"/>
  <c r="G34" i="20" l="1"/>
  <c r="F34" i="20"/>
  <c r="G33" i="20"/>
  <c r="F33" i="20"/>
  <c r="G32" i="20"/>
  <c r="F32" i="20"/>
  <c r="G31" i="20"/>
  <c r="F31" i="20"/>
  <c r="G30" i="20"/>
  <c r="F30" i="20"/>
  <c r="G29" i="20"/>
  <c r="F29" i="20"/>
  <c r="E34" i="20"/>
  <c r="E33" i="20"/>
  <c r="E32" i="20"/>
  <c r="E31" i="20"/>
  <c r="E30" i="20"/>
  <c r="E29" i="20"/>
  <c r="D34" i="20"/>
  <c r="D33" i="20"/>
  <c r="D32" i="20"/>
  <c r="D31" i="20"/>
  <c r="D30" i="20"/>
  <c r="D29" i="20"/>
  <c r="C34" i="20"/>
  <c r="C33" i="20"/>
  <c r="C32" i="20"/>
  <c r="C31" i="20"/>
  <c r="C30" i="20"/>
  <c r="C29" i="20"/>
  <c r="B34" i="20"/>
  <c r="B33" i="20"/>
  <c r="B32" i="20"/>
  <c r="B31" i="20"/>
  <c r="B30" i="20"/>
  <c r="B29" i="20"/>
  <c r="G23" i="20"/>
  <c r="F23" i="20"/>
  <c r="G22" i="20"/>
  <c r="F22" i="20"/>
  <c r="G21" i="20"/>
  <c r="F21" i="20"/>
  <c r="G20" i="20"/>
  <c r="F20" i="20"/>
  <c r="G19" i="20"/>
  <c r="F19" i="20"/>
  <c r="G18" i="20"/>
  <c r="F18" i="20"/>
  <c r="E19" i="20"/>
  <c r="E20" i="20"/>
  <c r="E21" i="20"/>
  <c r="E22" i="20"/>
  <c r="E23" i="20"/>
  <c r="E18" i="20"/>
  <c r="D18" i="20"/>
  <c r="C19" i="20"/>
  <c r="C22" i="20"/>
  <c r="C23" i="20"/>
  <c r="C18" i="20"/>
  <c r="B19" i="20"/>
  <c r="D19" i="20" s="1"/>
  <c r="B20" i="20"/>
  <c r="C20" i="20" s="1"/>
  <c r="B21" i="20"/>
  <c r="C21" i="20" s="1"/>
  <c r="B22" i="20"/>
  <c r="D22" i="20" s="1"/>
  <c r="B23" i="20"/>
  <c r="D23" i="20" s="1"/>
  <c r="B18" i="20"/>
  <c r="D21" i="20" l="1"/>
  <c r="D20" i="20"/>
  <c r="C21" i="1"/>
  <c r="C31" i="1" s="1"/>
  <c r="H22" i="21" l="1"/>
  <c r="H23" i="21" s="1"/>
  <c r="H7" i="21"/>
  <c r="H8" i="21" s="1"/>
  <c r="F4" i="21"/>
  <c r="K12" i="18" l="1"/>
  <c r="L12" i="18" s="1"/>
  <c r="J12" i="18"/>
  <c r="M10" i="18"/>
  <c r="M7" i="8"/>
  <c r="M10" i="8"/>
  <c r="M11" i="18"/>
  <c r="M9" i="18"/>
  <c r="M8" i="18"/>
  <c r="M7" i="18"/>
  <c r="M6" i="18"/>
  <c r="M5" i="18"/>
  <c r="M4" i="18"/>
  <c r="M12" i="18" s="1"/>
  <c r="L11" i="18"/>
  <c r="L10" i="18"/>
  <c r="L9" i="18"/>
  <c r="L8" i="18"/>
  <c r="L7" i="18"/>
  <c r="L6" i="18"/>
  <c r="L5" i="18"/>
  <c r="L4" i="18"/>
  <c r="J14" i="8"/>
  <c r="L15" i="18"/>
  <c r="E12" i="18"/>
  <c r="B12" i="18"/>
  <c r="P12" i="18" s="1"/>
  <c r="P11" i="18"/>
  <c r="O11" i="18"/>
  <c r="P10" i="18"/>
  <c r="O10" i="18"/>
  <c r="P9" i="18"/>
  <c r="O9" i="18"/>
  <c r="P8" i="18"/>
  <c r="O8" i="18"/>
  <c r="P7" i="18"/>
  <c r="O7" i="18"/>
  <c r="P6" i="18"/>
  <c r="O6" i="18"/>
  <c r="P5" i="18"/>
  <c r="O5" i="18"/>
  <c r="P4" i="18"/>
  <c r="O4" i="18"/>
  <c r="N10" i="18" l="1"/>
  <c r="N7" i="18"/>
  <c r="N4" i="18"/>
  <c r="N8" i="18"/>
  <c r="N6" i="18"/>
  <c r="N11" i="18"/>
  <c r="N5" i="18"/>
  <c r="N9" i="18"/>
  <c r="G12" i="18"/>
  <c r="O12" i="18"/>
  <c r="P23" i="17"/>
  <c r="P24" i="17" s="1"/>
  <c r="N23" i="17"/>
  <c r="N24" i="17" s="1"/>
  <c r="L23" i="17"/>
  <c r="L24" i="17" s="1"/>
  <c r="J23" i="17"/>
  <c r="J24" i="17" s="1"/>
  <c r="H23" i="17"/>
  <c r="H24" i="17" s="1"/>
  <c r="F23" i="17"/>
  <c r="F24" i="17" s="1"/>
  <c r="D23" i="17"/>
  <c r="D24" i="17" s="1"/>
  <c r="P8" i="17"/>
  <c r="P9" i="17" s="1"/>
  <c r="N8" i="17"/>
  <c r="N9" i="17" s="1"/>
  <c r="L8" i="17"/>
  <c r="L9" i="17" s="1"/>
  <c r="J8" i="17"/>
  <c r="J9" i="17" s="1"/>
  <c r="H8" i="17"/>
  <c r="H9" i="17" s="1"/>
  <c r="F8" i="17"/>
  <c r="F9" i="17" s="1"/>
  <c r="D8" i="17"/>
  <c r="D9" i="17" s="1"/>
  <c r="P4" i="17"/>
  <c r="N4" i="17"/>
  <c r="L4" i="17"/>
  <c r="H4" i="17"/>
  <c r="F4" i="17"/>
  <c r="D4" i="17"/>
  <c r="P23" i="15"/>
  <c r="P24" i="15" s="1"/>
  <c r="N23" i="15"/>
  <c r="N24" i="15" s="1"/>
  <c r="L23" i="15"/>
  <c r="L24" i="15" s="1"/>
  <c r="J23" i="15"/>
  <c r="J24" i="15" s="1"/>
  <c r="H23" i="15"/>
  <c r="H24" i="15" s="1"/>
  <c r="F23" i="15"/>
  <c r="F24" i="15" s="1"/>
  <c r="D23" i="15"/>
  <c r="D24" i="15" s="1"/>
  <c r="P8" i="15"/>
  <c r="P9" i="15" s="1"/>
  <c r="N8" i="15"/>
  <c r="N9" i="15" s="1"/>
  <c r="L8" i="15"/>
  <c r="L9" i="15" s="1"/>
  <c r="J8" i="15"/>
  <c r="J9" i="15" s="1"/>
  <c r="H8" i="15"/>
  <c r="H9" i="15" s="1"/>
  <c r="F8" i="15"/>
  <c r="F9" i="15" s="1"/>
  <c r="D8" i="15"/>
  <c r="D9" i="15" s="1"/>
  <c r="P4" i="15"/>
  <c r="N4" i="15"/>
  <c r="L4" i="15"/>
  <c r="D4" i="15"/>
  <c r="F4" i="15"/>
  <c r="H4" i="15"/>
  <c r="L5" i="8" l="1"/>
  <c r="L6" i="8"/>
  <c r="L7" i="8"/>
  <c r="L8" i="8"/>
  <c r="L9" i="8"/>
  <c r="L10" i="8"/>
  <c r="L11" i="8"/>
  <c r="J12" i="8"/>
  <c r="K12" i="8"/>
  <c r="A4" i="13" l="1"/>
  <c r="I1" i="13"/>
  <c r="H1" i="13"/>
  <c r="G1" i="13"/>
  <c r="F1" i="13"/>
  <c r="E1" i="13"/>
  <c r="D1" i="13"/>
  <c r="C1" i="13"/>
  <c r="B1" i="13"/>
  <c r="K14" i="8" l="1"/>
  <c r="E12" i="8"/>
  <c r="B12" i="8"/>
  <c r="O12" i="8" s="1"/>
  <c r="P9" i="8"/>
  <c r="O9" i="8"/>
  <c r="M9" i="8"/>
  <c r="G9" i="8"/>
  <c r="P7" i="8"/>
  <c r="O7" i="8"/>
  <c r="G7" i="8"/>
  <c r="P11" i="8"/>
  <c r="O11" i="8"/>
  <c r="M11" i="8"/>
  <c r="G11" i="8"/>
  <c r="P8" i="8"/>
  <c r="O8" i="8"/>
  <c r="M8" i="8"/>
  <c r="G8" i="8"/>
  <c r="P10" i="8"/>
  <c r="O10" i="8"/>
  <c r="G10" i="8"/>
  <c r="P6" i="8"/>
  <c r="O6" i="8"/>
  <c r="M6" i="8"/>
  <c r="G6" i="8"/>
  <c r="P5" i="8"/>
  <c r="O5" i="8"/>
  <c r="M5" i="8"/>
  <c r="G5" i="8"/>
  <c r="P4" i="8"/>
  <c r="O4" i="8"/>
  <c r="M4" i="8"/>
  <c r="L4" i="8"/>
  <c r="L12" i="8" s="1"/>
  <c r="G4" i="8"/>
  <c r="M12" i="8" l="1"/>
  <c r="P12" i="8"/>
  <c r="M14" i="8"/>
  <c r="L14" i="8"/>
  <c r="L15" i="8" s="1"/>
  <c r="G12" i="8"/>
  <c r="H9" i="3"/>
  <c r="G9" i="3"/>
  <c r="F9" i="3"/>
  <c r="E9" i="3"/>
  <c r="D9" i="3"/>
  <c r="C9" i="3" l="1"/>
  <c r="B9" i="3"/>
  <c r="E16" i="1" l="1"/>
  <c r="C16" i="1"/>
  <c r="E17" i="1" l="1"/>
</calcChain>
</file>

<file path=xl/sharedStrings.xml><?xml version="1.0" encoding="utf-8"?>
<sst xmlns="http://schemas.openxmlformats.org/spreadsheetml/2006/main" count="427" uniqueCount="200">
  <si>
    <t>Sample / Coupon / Voucher</t>
  </si>
  <si>
    <t>Medical Education</t>
  </si>
  <si>
    <t>Managed Care</t>
  </si>
  <si>
    <t>Consumer Media (general, multi-cultural)</t>
  </si>
  <si>
    <t>Consumer Pharmacy Acquisition</t>
  </si>
  <si>
    <t>Consumer Pharmacy Adherence</t>
  </si>
  <si>
    <t>Public Affairs</t>
  </si>
  <si>
    <t>Market Research</t>
  </si>
  <si>
    <t>2013 Planned Spend ($)</t>
  </si>
  <si>
    <t>No</t>
  </si>
  <si>
    <t>HCP MCM</t>
  </si>
  <si>
    <t>ok</t>
  </si>
  <si>
    <t>Yes</t>
  </si>
  <si>
    <t>Sample,</t>
  </si>
  <si>
    <t>Voucher</t>
  </si>
  <si>
    <t>MMF Only</t>
  </si>
  <si>
    <t>Total</t>
  </si>
  <si>
    <t>* note for samples, the analyzed current level is little low ($4K?)</t>
  </si>
  <si>
    <t>Methods used to quantify promotion responsiveneness (i.e., Response Curves)</t>
  </si>
  <si>
    <t>Channel</t>
  </si>
  <si>
    <t>Response Curve Generation</t>
  </si>
  <si>
    <t>Sample</t>
  </si>
  <si>
    <t>MMF</t>
  </si>
  <si>
    <t>HCP level Test vs. Control statistical models (2012 data)</t>
  </si>
  <si>
    <t>This method gives estimated impact at the current spend level.  Diminishing returns are assumed beyond the current spend level.</t>
  </si>
  <si>
    <t>HCC Programs (Consumer Media)</t>
  </si>
  <si>
    <t>MCM</t>
  </si>
  <si>
    <t>Pharmacy Acquisition Programs</t>
  </si>
  <si>
    <t>Adherence Programs</t>
  </si>
  <si>
    <t>Measured Impact at $7.8MM Spend: 0.6% of NRx 
Assumed Maximum attainable impact: 3% of NRx</t>
  </si>
  <si>
    <t>Measured Impact at $22.4MM Spend: 2.6% of NRx 
Assumed Maximum attainable impact: 10% of NRx</t>
  </si>
  <si>
    <t>Note: For all programs, except Adherence, it is assumed that each incremental NRx generates a new patient.</t>
  </si>
  <si>
    <t>Statistical models from 2012 HCP level monthly data</t>
  </si>
  <si>
    <t>Use sample response curves as proxy and model redemptions</t>
  </si>
  <si>
    <t>Measured Impacts and Assumptions</t>
  </si>
  <si>
    <t>Model</t>
  </si>
  <si>
    <t>Incr. NRx</t>
  </si>
  <si>
    <t>3-yr Incr. TRx</t>
  </si>
  <si>
    <t>Januvia Samples</t>
  </si>
  <si>
    <t>Spend per Incr. TRx</t>
  </si>
  <si>
    <t>2012 HCP level</t>
  </si>
  <si>
    <t>Linear Regression (Quadratic terms)</t>
  </si>
  <si>
    <t>Incr. NRx as % of Total 2012 NRx</t>
  </si>
  <si>
    <t>Janumet + XR Samples</t>
  </si>
  <si>
    <t>Measured Impact at $21.6MM spend: 8.4% of NRx</t>
  </si>
  <si>
    <t>Total 2012 NRx</t>
  </si>
  <si>
    <t>2012 HCP Level</t>
  </si>
  <si>
    <t>Use Sample Response as proxy</t>
  </si>
  <si>
    <t>A diminishing return curve passing through measured and aggregated ROI point. 
Measured 2012 ROIs of various programs within the channel type are combined to get an aggregated impact at the Current Spend levels.
Curves pass through origin, aggregated ROI point and extends to an assumed saturation level at very high spend</t>
  </si>
  <si>
    <t>Janvia Family Vouchers</t>
  </si>
  <si>
    <t>Janvia Family MMF</t>
  </si>
  <si>
    <t>2012 Test vs. Control Impact measurement + Diminishing returns assumption</t>
  </si>
  <si>
    <t>Planned Spend</t>
  </si>
  <si>
    <t>Modelled Spend</t>
  </si>
  <si>
    <t>Janvia Family HCC</t>
  </si>
  <si>
    <t>Most recent measured ROIs</t>
  </si>
  <si>
    <t>Janvia Family MCM</t>
  </si>
  <si>
    <t>Janvia Family Adherence Programs</t>
  </si>
  <si>
    <t>Response curves based on: Summarized ROIs from the past + Assumed maximum possible impact</t>
  </si>
  <si>
    <t>Data used for Models</t>
  </si>
  <si>
    <t xml:space="preserve">3-yr Incr. Revenue (after-tax) </t>
  </si>
  <si>
    <t>1Yr after-tax Incr. Revenue  (~34%)</t>
  </si>
  <si>
    <t>Samples - JAN</t>
  </si>
  <si>
    <t>Samples - JMT</t>
  </si>
  <si>
    <t>Vouchers</t>
  </si>
  <si>
    <t>HCC</t>
  </si>
  <si>
    <t>Adherence</t>
  </si>
  <si>
    <t>Current</t>
  </si>
  <si>
    <t>Allowed Min.</t>
  </si>
  <si>
    <t>Allowed Max.</t>
  </si>
  <si>
    <t>Optimal</t>
  </si>
  <si>
    <t>% Change</t>
  </si>
  <si>
    <t>Phar. Acquisition</t>
  </si>
  <si>
    <t>Change</t>
  </si>
  <si>
    <t xml:space="preserve">Budget Allocation </t>
  </si>
  <si>
    <t>min error</t>
  </si>
  <si>
    <t>max error</t>
  </si>
  <si>
    <r>
      <rPr>
        <b/>
        <sz val="11"/>
        <color rgb="FF0000FF"/>
        <rFont val="Calibri"/>
        <family val="2"/>
        <scheme val="minor"/>
      </rPr>
      <t>Temp Allocations</t>
    </r>
    <r>
      <rPr>
        <sz val="11"/>
        <color theme="1"/>
        <rFont val="Calibri"/>
        <family val="2"/>
        <scheme val="minor"/>
      </rPr>
      <t xml:space="preserve">
(in MM $)</t>
    </r>
  </si>
  <si>
    <r>
      <rPr>
        <b/>
        <sz val="11"/>
        <color rgb="FF00B050"/>
        <rFont val="Calibri"/>
        <family val="2"/>
        <scheme val="minor"/>
      </rPr>
      <t>Green:</t>
    </r>
    <r>
      <rPr>
        <sz val="11"/>
        <color theme="1"/>
        <rFont val="Calibri"/>
        <family val="2"/>
        <scheme val="minor"/>
      </rPr>
      <t xml:space="preserve"> Higher than current;</t>
    </r>
    <r>
      <rPr>
        <sz val="11"/>
        <color rgb="FFFFFF00"/>
        <rFont val="Calibri"/>
        <family val="2"/>
        <scheme val="minor"/>
      </rPr>
      <t xml:space="preserve"> Yellow:</t>
    </r>
    <r>
      <rPr>
        <sz val="11"/>
        <color theme="1"/>
        <rFont val="Calibri"/>
        <family val="2"/>
        <scheme val="minor"/>
      </rPr>
      <t xml:space="preserve"> Similar to current; </t>
    </r>
    <r>
      <rPr>
        <sz val="11"/>
        <color rgb="FFFF7C80"/>
        <rFont val="Calibri"/>
        <family val="2"/>
        <scheme val="minor"/>
      </rPr>
      <t>Red:</t>
    </r>
    <r>
      <rPr>
        <sz val="11"/>
        <color theme="1"/>
        <rFont val="Calibri"/>
        <family val="2"/>
        <scheme val="minor"/>
      </rPr>
      <t xml:space="preserve"> Lesser than current</t>
    </r>
  </si>
  <si>
    <r>
      <rPr>
        <b/>
        <sz val="11"/>
        <color rgb="FFFF7C80"/>
        <rFont val="Calibri"/>
        <family val="2"/>
        <scheme val="minor"/>
      </rPr>
      <t>Red:</t>
    </r>
    <r>
      <rPr>
        <sz val="11"/>
        <color theme="1"/>
        <rFont val="Calibri"/>
        <family val="2"/>
        <scheme val="minor"/>
      </rPr>
      <t xml:space="preserve"> Lesser than current</t>
    </r>
  </si>
  <si>
    <r>
      <rPr>
        <b/>
        <sz val="11"/>
        <color rgb="FF00B050"/>
        <rFont val="Calibri"/>
        <family val="2"/>
        <scheme val="minor"/>
      </rPr>
      <t>Green:</t>
    </r>
    <r>
      <rPr>
        <sz val="11"/>
        <color theme="1"/>
        <rFont val="Calibri"/>
        <family val="2"/>
        <scheme val="minor"/>
      </rPr>
      <t xml:space="preserve"> Higher than current</t>
    </r>
  </si>
  <si>
    <r>
      <rPr>
        <b/>
        <sz val="11"/>
        <color rgb="FFFFFF00"/>
        <rFont val="Calibri"/>
        <family val="2"/>
        <scheme val="minor"/>
      </rPr>
      <t>Yellow:</t>
    </r>
    <r>
      <rPr>
        <b/>
        <sz val="11"/>
        <color theme="1"/>
        <rFont val="Calibri"/>
        <family val="2"/>
        <scheme val="minor"/>
      </rPr>
      <t xml:space="preserve"> </t>
    </r>
    <r>
      <rPr>
        <sz val="11"/>
        <color theme="1"/>
        <rFont val="Calibri"/>
        <family val="2"/>
        <scheme val="minor"/>
      </rPr>
      <t>Similar to current</t>
    </r>
  </si>
  <si>
    <t>Comment</t>
  </si>
  <si>
    <t>Modelled Spend (in MM $)</t>
  </si>
  <si>
    <t>3-yr Incr. TRx (in '000)</t>
  </si>
  <si>
    <t>Modelled Spend 
(in MM $)</t>
  </si>
  <si>
    <t>3-yr Incr. TRx 
(in '000)</t>
  </si>
  <si>
    <t>3-year Incr. TRx</t>
  </si>
  <si>
    <r>
      <t xml:space="preserve">Optimal </t>
    </r>
    <r>
      <rPr>
        <b/>
        <sz val="11"/>
        <color rgb="FF0000FF"/>
        <rFont val="Calibri"/>
        <family val="2"/>
        <scheme val="minor"/>
      </rPr>
      <t>1-year</t>
    </r>
    <r>
      <rPr>
        <sz val="11"/>
        <color theme="1"/>
        <rFont val="Calibri"/>
        <family val="2"/>
        <scheme val="minor"/>
      </rPr>
      <t xml:space="preserve"> Incr. TRx.</t>
    </r>
  </si>
  <si>
    <t>Total After-Tax Incr. Revenues (in MM $)</t>
  </si>
  <si>
    <t>1-year</t>
  </si>
  <si>
    <t>3-year Incr. Revenue</t>
  </si>
  <si>
    <t>Total Incr. TRx</t>
  </si>
  <si>
    <r>
      <t xml:space="preserve">Temp 
Incr. TRxs 
</t>
    </r>
    <r>
      <rPr>
        <sz val="11"/>
        <rFont val="Calibri"/>
        <family val="2"/>
        <scheme val="minor"/>
      </rPr>
      <t>(in '000)</t>
    </r>
  </si>
  <si>
    <r>
      <t xml:space="preserve">Optimal </t>
    </r>
    <r>
      <rPr>
        <b/>
        <sz val="11"/>
        <color rgb="FF0000FF"/>
        <rFont val="Calibri"/>
        <family val="2"/>
        <scheme val="minor"/>
      </rPr>
      <t>1-year</t>
    </r>
    <r>
      <rPr>
        <sz val="11"/>
        <color theme="1"/>
        <rFont val="Calibri"/>
        <family val="2"/>
        <scheme val="minor"/>
      </rPr>
      <t xml:space="preserve"> Incr. TRx</t>
    </r>
  </si>
  <si>
    <t>Total After-Tax Incr. Revenues 
(in MM $)</t>
  </si>
  <si>
    <t>Janvia Family Pharmacy Acquisition</t>
  </si>
  <si>
    <t>** David Ennis's file has $4.7MM input. $3.5MM is the latest input from Chris Yothers.</t>
  </si>
  <si>
    <t>Measured Impact at $3.5MM Spend: 0.14% of NRx 
Assumed Maximum attainable impact: 1.5% of NRx</t>
  </si>
  <si>
    <t>Change in Budget</t>
  </si>
  <si>
    <t>Change from Current (in %)</t>
  </si>
  <si>
    <t xml:space="preserve">Current </t>
  </si>
  <si>
    <t xml:space="preserve"> - </t>
  </si>
  <si>
    <t xml:space="preserve">3- year post-tax Incr. Revenues </t>
  </si>
  <si>
    <t>Promotion Budgets</t>
  </si>
  <si>
    <r>
      <rPr>
        <b/>
        <sz val="11"/>
        <color rgb="FF0000FF"/>
        <rFont val="Calibri"/>
        <family val="2"/>
        <scheme val="minor"/>
      </rPr>
      <t>Standard Scenarios 20</t>
    </r>
    <r>
      <rPr>
        <sz val="11"/>
        <color theme="1"/>
        <rFont val="Calibri"/>
        <family val="2"/>
        <scheme val="minor"/>
      </rPr>
      <t xml:space="preserve">: Here, budget for each promotion type is allowed to </t>
    </r>
    <r>
      <rPr>
        <sz val="11"/>
        <color rgb="FF0000FF"/>
        <rFont val="Calibri"/>
        <family val="2"/>
        <scheme val="minor"/>
      </rPr>
      <t>change by + or - 20%</t>
    </r>
    <r>
      <rPr>
        <sz val="11"/>
        <color theme="1"/>
        <rFont val="Calibri"/>
        <family val="2"/>
        <scheme val="minor"/>
      </rPr>
      <t xml:space="preserve"> from their current levels. The total available budget is changed in $5MM increments. </t>
    </r>
    <r>
      <rPr>
        <b/>
        <i/>
        <sz val="11"/>
        <color theme="1"/>
        <rFont val="Calibri"/>
        <family val="2"/>
        <scheme val="minor"/>
      </rPr>
      <t>All $ values are in MM.</t>
    </r>
  </si>
  <si>
    <t>Incr. Revenue</t>
  </si>
  <si>
    <t xml:space="preserve">Change from Current </t>
  </si>
  <si>
    <t>Optimal Allocation</t>
  </si>
  <si>
    <t>Curr</t>
  </si>
  <si>
    <t>Incr. TRx</t>
  </si>
  <si>
    <t>3- year Incr. TRx (in '000)</t>
  </si>
  <si>
    <t>Incr. TRx from Promotions (in '000)</t>
  </si>
  <si>
    <t>Budget</t>
  </si>
  <si>
    <r>
      <rPr>
        <b/>
        <sz val="11"/>
        <color rgb="FF0000FF"/>
        <rFont val="Calibri"/>
        <family val="2"/>
        <scheme val="minor"/>
      </rPr>
      <t>Standard Scenarios 30</t>
    </r>
    <r>
      <rPr>
        <sz val="11"/>
        <color theme="1"/>
        <rFont val="Calibri"/>
        <family val="2"/>
        <scheme val="minor"/>
      </rPr>
      <t xml:space="preserve">: Here, budget for each promotion type is allowed to </t>
    </r>
    <r>
      <rPr>
        <sz val="11"/>
        <color rgb="FF0000FF"/>
        <rFont val="Calibri"/>
        <family val="2"/>
        <scheme val="minor"/>
      </rPr>
      <t>change by + or - 30%</t>
    </r>
    <r>
      <rPr>
        <sz val="11"/>
        <color theme="1"/>
        <rFont val="Calibri"/>
        <family val="2"/>
        <scheme val="minor"/>
      </rPr>
      <t xml:space="preserve"> from their current levels. The total available budget is changed in $5MM increments. </t>
    </r>
    <r>
      <rPr>
        <b/>
        <i/>
        <sz val="11"/>
        <color theme="1"/>
        <rFont val="Calibri"/>
        <family val="2"/>
        <scheme val="minor"/>
      </rPr>
      <t>All $ values are in MM.</t>
    </r>
  </si>
  <si>
    <r>
      <rPr>
        <b/>
        <sz val="11"/>
        <color rgb="FF0000FF"/>
        <rFont val="Calibri"/>
        <family val="2"/>
        <scheme val="minor"/>
      </rPr>
      <t>Custom Case: Allocations</t>
    </r>
    <r>
      <rPr>
        <sz val="11"/>
        <color theme="1"/>
        <rFont val="Calibri"/>
        <family val="2"/>
        <scheme val="minor"/>
      </rPr>
      <t xml:space="preserve">
(in MM $)</t>
    </r>
  </si>
  <si>
    <r>
      <rPr>
        <b/>
        <sz val="11"/>
        <color rgb="FF0000FF"/>
        <rFont val="Calibri"/>
        <family val="2"/>
        <scheme val="minor"/>
      </rPr>
      <t>Custom Case: 
Incr. TRx</t>
    </r>
    <r>
      <rPr>
        <sz val="11"/>
        <color theme="1"/>
        <rFont val="Calibri"/>
        <family val="2"/>
        <scheme val="minor"/>
      </rPr>
      <t xml:space="preserve">
 (in '000)</t>
    </r>
  </si>
  <si>
    <t>Sensitivity High (-50% and 200% change in responsiveness)</t>
  </si>
  <si>
    <t>Responsiveness is …..</t>
  </si>
  <si>
    <t xml:space="preserve"> as Modeled</t>
  </si>
  <si>
    <r>
      <rPr>
        <b/>
        <sz val="11"/>
        <color rgb="FF0000FF"/>
        <rFont val="Calibri"/>
        <family val="2"/>
        <scheme val="minor"/>
      </rPr>
      <t>Custom Case: Allocation Senitivity</t>
    </r>
    <r>
      <rPr>
        <sz val="11"/>
        <color theme="1"/>
        <rFont val="Calibri"/>
        <family val="2"/>
        <scheme val="minor"/>
      </rPr>
      <t xml:space="preserve">
(in MM $)</t>
    </r>
  </si>
  <si>
    <t>No change. Always min.</t>
  </si>
  <si>
    <t>No Change. Always max.</t>
  </si>
  <si>
    <t>No Change.Always max.</t>
  </si>
  <si>
    <t>Doubled: goes to max.</t>
  </si>
  <si>
    <t>Sensitivity Medium (-40% and +40% change in responsiveness)</t>
  </si>
  <si>
    <r>
      <rPr>
        <b/>
        <u/>
        <sz val="11"/>
        <color theme="1"/>
        <rFont val="Calibri"/>
        <family val="2"/>
        <scheme val="minor"/>
      </rPr>
      <t>DOUBLED</t>
    </r>
    <r>
      <rPr>
        <sz val="11"/>
        <color theme="1"/>
        <rFont val="Calibri"/>
        <family val="2"/>
        <scheme val="minor"/>
      </rPr>
      <t xml:space="preserve"> for a given channel</t>
    </r>
  </si>
  <si>
    <r>
      <rPr>
        <b/>
        <u/>
        <sz val="11"/>
        <color theme="1"/>
        <rFont val="Calibri"/>
        <family val="2"/>
        <scheme val="minor"/>
      </rPr>
      <t>reduced by 40%</t>
    </r>
    <r>
      <rPr>
        <u/>
        <sz val="11"/>
        <color theme="1"/>
        <rFont val="Calibri"/>
        <family val="2"/>
        <scheme val="minor"/>
      </rPr>
      <t xml:space="preserve"> </t>
    </r>
    <r>
      <rPr>
        <sz val="11"/>
        <color theme="1"/>
        <rFont val="Calibri"/>
        <family val="2"/>
        <scheme val="minor"/>
      </rPr>
      <t>for a given channel</t>
    </r>
  </si>
  <si>
    <r>
      <rPr>
        <b/>
        <u/>
        <sz val="11"/>
        <color theme="1"/>
        <rFont val="Calibri"/>
        <family val="2"/>
        <scheme val="minor"/>
      </rPr>
      <t>increased by 40%</t>
    </r>
    <r>
      <rPr>
        <sz val="11"/>
        <color theme="1"/>
        <rFont val="Calibri"/>
        <family val="2"/>
        <scheme val="minor"/>
      </rPr>
      <t xml:space="preserve"> for a given channel</t>
    </r>
  </si>
  <si>
    <r>
      <t xml:space="preserve">reduced by </t>
    </r>
    <r>
      <rPr>
        <b/>
        <u/>
        <sz val="11"/>
        <color theme="1"/>
        <rFont val="Calibri"/>
        <family val="2"/>
        <scheme val="minor"/>
      </rPr>
      <t>HALF</t>
    </r>
    <r>
      <rPr>
        <u/>
        <sz val="11"/>
        <color theme="1"/>
        <rFont val="Calibri"/>
        <family val="2"/>
        <scheme val="minor"/>
      </rPr>
      <t xml:space="preserve"> </t>
    </r>
    <r>
      <rPr>
        <sz val="11"/>
        <color theme="1"/>
        <rFont val="Calibri"/>
        <family val="2"/>
        <scheme val="minor"/>
      </rPr>
      <t>for a given channel</t>
    </r>
  </si>
  <si>
    <t>[+40%]: goes to max.</t>
  </si>
  <si>
    <t>STD20</t>
  </si>
  <si>
    <t>STD30</t>
  </si>
  <si>
    <t>Standard Scenarios</t>
  </si>
  <si>
    <t>Current Allocation</t>
  </si>
  <si>
    <t>Custom Scenario</t>
  </si>
  <si>
    <t>Reallocation of Current Investment</t>
  </si>
  <si>
    <t>Reallocation with additional $10MM Investment</t>
  </si>
  <si>
    <t>Optimal Allocation*</t>
  </si>
  <si>
    <t>Custom reallocation with additional ~$10MM investment</t>
  </si>
  <si>
    <r>
      <t xml:space="preserve">* Budget for each promotion type is allowed to vary by </t>
    </r>
    <r>
      <rPr>
        <sz val="11"/>
        <color theme="1"/>
        <rFont val="Times New Roman"/>
        <family val="1"/>
      </rPr>
      <t>±</t>
    </r>
    <r>
      <rPr>
        <sz val="11"/>
        <color theme="1"/>
        <rFont val="Calibri"/>
        <family val="2"/>
      </rPr>
      <t>20% from current.</t>
    </r>
  </si>
  <si>
    <t>Promotion Expense Category</t>
  </si>
  <si>
    <t>2013 Planned Spend for 
In-Scope promotions ($)</t>
  </si>
  <si>
    <t>In Scope</t>
  </si>
  <si>
    <t>HCC Media</t>
  </si>
  <si>
    <t>Phar.  Acquisition</t>
  </si>
  <si>
    <t xml:space="preserve">Adherence </t>
  </si>
  <si>
    <t xml:space="preserve">Total In-Scope Budget </t>
  </si>
  <si>
    <t>Journey for Control</t>
  </si>
  <si>
    <t>Print Production</t>
  </si>
  <si>
    <t>Agency Fees and Out of pocket production</t>
  </si>
  <si>
    <t>Pharmacy Acquisition</t>
  </si>
  <si>
    <t>Pharmacy Adherence</t>
  </si>
  <si>
    <t xml:space="preserve">Rep Delivered Material </t>
  </si>
  <si>
    <t xml:space="preserve">Agency Fees and Production </t>
  </si>
  <si>
    <t>2013 Agency Fees and Production Cost Breakdown</t>
  </si>
  <si>
    <t>Total Agency Fees and Production Cost</t>
  </si>
  <si>
    <t>*  Includes Media Planning/Buying Fees, TelRx and Team Merck</t>
  </si>
  <si>
    <t>Miscellaneous*</t>
  </si>
  <si>
    <t>input from James Woodward in July/2013</t>
  </si>
  <si>
    <t xml:space="preserve">Measured Impact at $3.8MM spend: 0.3% of NRx
Assumption: Impact of 1 Redeemed Voucher = Impact of 30 DOT of samples </t>
  </si>
  <si>
    <r>
      <t xml:space="preserve">Measured Impact at $14.9MM Spend: 2.4% of </t>
    </r>
    <r>
      <rPr>
        <u/>
        <sz val="11"/>
        <color rgb="FF0000FF"/>
        <rFont val="Calibri"/>
        <family val="2"/>
        <scheme val="minor"/>
      </rPr>
      <t>TRx</t>
    </r>
    <r>
      <rPr>
        <u/>
        <sz val="11"/>
        <color theme="1"/>
        <rFont val="Calibri"/>
        <family val="2"/>
        <scheme val="minor"/>
      </rPr>
      <t xml:space="preserve"> </t>
    </r>
    <r>
      <rPr>
        <sz val="11"/>
        <color theme="1"/>
        <rFont val="Calibri"/>
        <family val="2"/>
        <scheme val="minor"/>
      </rPr>
      <t xml:space="preserve">
Assumed Maximum attainable impact: 7.5% of </t>
    </r>
    <r>
      <rPr>
        <u/>
        <sz val="11"/>
        <color rgb="FF0000FF"/>
        <rFont val="Calibri"/>
        <family val="2"/>
        <scheme val="minor"/>
      </rPr>
      <t>TRx</t>
    </r>
  </si>
  <si>
    <t>2.4% of TRx</t>
  </si>
  <si>
    <t>Spend per Incr. TRx (2014 NPV)</t>
  </si>
  <si>
    <t>$257 MM</t>
  </si>
  <si>
    <t>$278 MM</t>
  </si>
  <si>
    <t>$17.2 MM</t>
  </si>
  <si>
    <t>$2.9 MM</t>
  </si>
  <si>
    <t>$183 MM</t>
  </si>
  <si>
    <t>$43 MM</t>
  </si>
  <si>
    <t>$9.5 MM</t>
  </si>
  <si>
    <t>$87 MM</t>
  </si>
  <si>
    <t>$94 MM</t>
  </si>
  <si>
    <t>$5.9 MM</t>
  </si>
  <si>
    <t>$0.99 MM</t>
  </si>
  <si>
    <t>$62 MM</t>
  </si>
  <si>
    <t>$14.7 MM</t>
  </si>
  <si>
    <t>$3.2 MM</t>
  </si>
  <si>
    <t>$20 MM 
(~54% of total)</t>
  </si>
  <si>
    <t>$37 MM</t>
  </si>
  <si>
    <r>
      <t>[-40%]: small reduction.</t>
    </r>
    <r>
      <rPr>
        <i/>
        <sz val="11"/>
        <rFont val="Calibri"/>
        <family val="2"/>
        <scheme val="minor"/>
      </rPr>
      <t>[+40%]: no change.</t>
    </r>
  </si>
  <si>
    <r>
      <t xml:space="preserve">Half: small reduction. </t>
    </r>
    <r>
      <rPr>
        <i/>
        <sz val="11"/>
        <rFont val="Calibri"/>
        <family val="2"/>
        <scheme val="minor"/>
      </rPr>
      <t>Doubled: no change.</t>
    </r>
  </si>
  <si>
    <r>
      <t xml:space="preserve">2.4% of </t>
    </r>
    <r>
      <rPr>
        <sz val="11"/>
        <color rgb="FF0000FF"/>
        <rFont val="Calibri"/>
        <family val="2"/>
        <scheme val="minor"/>
      </rPr>
      <t>TRx</t>
    </r>
  </si>
  <si>
    <r>
      <t>2.4% of</t>
    </r>
    <r>
      <rPr>
        <sz val="11"/>
        <color rgb="FF0000FF"/>
        <rFont val="Calibri"/>
        <family val="2"/>
        <scheme val="minor"/>
      </rPr>
      <t xml:space="preserve"> TRx</t>
    </r>
  </si>
  <si>
    <t>Mean Point</t>
  </si>
  <si>
    <t>Change in Revenue</t>
  </si>
  <si>
    <t>Marginal Return (Post Rev / Pre Cost)</t>
  </si>
  <si>
    <t>Marginal Return (Post Rev / Post Cost)</t>
  </si>
  <si>
    <t>Tax Rate for cost</t>
  </si>
  <si>
    <t>Incr. Cost ($ MM)</t>
  </si>
  <si>
    <t xml:space="preserve">Marginal Returns </t>
  </si>
  <si>
    <t>Note: The Marginal returns (numbers between lines) are constructed as lines in secondary axis and then they are hidden and the label positions are changes in order to fit where they are supposed to be.</t>
  </si>
  <si>
    <t>Marginal Returns with respect to current investments.</t>
  </si>
  <si>
    <t>Current - $15MM</t>
  </si>
  <si>
    <t>Current - $10MM</t>
  </si>
  <si>
    <t>Current - $5MM</t>
  </si>
  <si>
    <t>Current + $5MM</t>
  </si>
  <si>
    <t>Current + $10MM</t>
  </si>
  <si>
    <t>Current + $15MM</t>
  </si>
  <si>
    <t>Starting Point</t>
  </si>
</sst>
</file>

<file path=xl/styles.xml><?xml version="1.0" encoding="utf-8"?>
<styleSheet xmlns="http://schemas.openxmlformats.org/spreadsheetml/2006/main" xmlns:mc="http://schemas.openxmlformats.org/markup-compatibility/2006" xmlns:x14ac="http://schemas.microsoft.com/office/spreadsheetml/2009/9/ac" mc:Ignorable="x14ac">
  <numFmts count="21">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quot;$&quot;#,##0.0_);\(&quot;$&quot;#,##0.0\)"/>
    <numFmt numFmtId="168" formatCode="&quot;$&quot;0.0,,"/>
    <numFmt numFmtId="169" formatCode="&quot;$&quot;0,,"/>
    <numFmt numFmtId="170" formatCode="&quot;$&quot;0,000,,"/>
    <numFmt numFmtId="171" formatCode="&quot;$&quot;#,##0.0"/>
    <numFmt numFmtId="172" formatCode="#,###,"/>
    <numFmt numFmtId="173" formatCode="#,"/>
    <numFmt numFmtId="174" formatCode="&quot;$&quot;#.0,,"/>
    <numFmt numFmtId="175" formatCode="&quot;$&quot;#,##0"/>
    <numFmt numFmtId="176" formatCode="&quot;$&quot;#,,"/>
    <numFmt numFmtId="177" formatCode="#,##0,"/>
    <numFmt numFmtId="178" formatCode="&quot;$&quot;#,###,,"/>
    <numFmt numFmtId="179" formatCode="#,##0.0"/>
  </numFmts>
  <fonts count="44" x14ac:knownFonts="1">
    <font>
      <sz val="11"/>
      <color theme="1"/>
      <name val="Calibri"/>
      <family val="2"/>
      <scheme val="minor"/>
    </font>
    <font>
      <sz val="11"/>
      <color theme="1"/>
      <name val="Calibri"/>
      <family val="2"/>
      <scheme val="minor"/>
    </font>
    <font>
      <b/>
      <sz val="11"/>
      <color theme="1"/>
      <name val="Calibri"/>
      <family val="2"/>
      <scheme val="minor"/>
    </font>
    <font>
      <sz val="11"/>
      <color rgb="FF0000FF"/>
      <name val="Calibri"/>
      <family val="2"/>
      <scheme val="minor"/>
    </font>
    <font>
      <u/>
      <sz val="11"/>
      <color rgb="FF0000FF"/>
      <name val="Calibri"/>
      <family val="2"/>
      <scheme val="minor"/>
    </font>
    <font>
      <u/>
      <sz val="11"/>
      <color theme="1"/>
      <name val="Calibri"/>
      <family val="2"/>
      <scheme val="minor"/>
    </font>
    <font>
      <sz val="11"/>
      <color rgb="FFFF0000"/>
      <name val="Calibri"/>
      <family val="2"/>
      <scheme val="minor"/>
    </font>
    <font>
      <b/>
      <sz val="11"/>
      <color rgb="FF0000FF"/>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rgb="FF00B050"/>
      <name val="Calibri"/>
      <family val="2"/>
      <scheme val="minor"/>
    </font>
    <font>
      <sz val="10"/>
      <color theme="1"/>
      <name val="Calibri"/>
      <family val="2"/>
      <scheme val="minor"/>
    </font>
    <font>
      <sz val="10"/>
      <name val="Arial"/>
      <family val="2"/>
    </font>
    <font>
      <sz val="10"/>
      <name val="MS Sans Serif"/>
      <family val="2"/>
    </font>
    <font>
      <b/>
      <sz val="10"/>
      <color rgb="FF000000"/>
      <name val="Arial"/>
      <family val="2"/>
    </font>
    <font>
      <b/>
      <sz val="11"/>
      <color rgb="FF00B050"/>
      <name val="Calibri"/>
      <family val="2"/>
      <scheme val="minor"/>
    </font>
    <font>
      <sz val="11"/>
      <color rgb="FFFF7C80"/>
      <name val="Calibri"/>
      <family val="2"/>
      <scheme val="minor"/>
    </font>
    <font>
      <sz val="11"/>
      <color rgb="FFFFFF00"/>
      <name val="Calibri"/>
      <family val="2"/>
      <scheme val="minor"/>
    </font>
    <font>
      <b/>
      <sz val="11"/>
      <color rgb="FFFF7C80"/>
      <name val="Calibri"/>
      <family val="2"/>
      <scheme val="minor"/>
    </font>
    <font>
      <b/>
      <sz val="11"/>
      <color rgb="FFFFFF00"/>
      <name val="Calibri"/>
      <family val="2"/>
      <scheme val="minor"/>
    </font>
    <font>
      <sz val="11"/>
      <name val="Calibri"/>
      <family val="2"/>
      <scheme val="minor"/>
    </font>
    <font>
      <sz val="11"/>
      <color rgb="FFC00000"/>
      <name val="Calibri"/>
      <family val="2"/>
      <scheme val="minor"/>
    </font>
    <font>
      <b/>
      <i/>
      <sz val="11"/>
      <color theme="1"/>
      <name val="Calibri"/>
      <family val="2"/>
      <scheme val="minor"/>
    </font>
    <font>
      <b/>
      <sz val="11"/>
      <color rgb="FFC00000"/>
      <name val="Calibri"/>
      <family val="2"/>
      <scheme val="minor"/>
    </font>
    <font>
      <i/>
      <sz val="11"/>
      <color theme="1"/>
      <name val="Calibri"/>
      <family val="2"/>
      <scheme val="minor"/>
    </font>
    <font>
      <b/>
      <u/>
      <sz val="11"/>
      <color theme="1"/>
      <name val="Calibri"/>
      <family val="2"/>
      <scheme val="minor"/>
    </font>
    <font>
      <i/>
      <sz val="11"/>
      <color rgb="FFFF0000"/>
      <name val="Calibri"/>
      <family val="2"/>
      <scheme val="minor"/>
    </font>
    <font>
      <i/>
      <sz val="11"/>
      <name val="Calibri"/>
      <family val="2"/>
      <scheme val="minor"/>
    </font>
    <font>
      <b/>
      <sz val="11"/>
      <name val="Calibri"/>
      <family val="2"/>
      <scheme val="minor"/>
    </font>
    <font>
      <sz val="11"/>
      <color theme="1"/>
      <name val="Times New Roman"/>
      <family val="1"/>
    </font>
    <font>
      <sz val="11"/>
      <color theme="1"/>
      <name val="Calibri"/>
      <family val="2"/>
    </font>
    <font>
      <sz val="9"/>
      <color theme="1"/>
      <name val="Calibri"/>
      <family val="2"/>
      <scheme val="minor"/>
    </font>
  </fonts>
  <fills count="45">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CC"/>
        <bgColor indexed="64"/>
      </patternFill>
    </fill>
    <fill>
      <patternFill patternType="solid">
        <fgColor rgb="FF00B050"/>
        <bgColor indexed="64"/>
      </patternFill>
    </fill>
    <fill>
      <patternFill patternType="solid">
        <fgColor rgb="FFFF7C8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rgb="FFFFFF00"/>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4" tint="0.79998168889431442"/>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diagonal/>
    </border>
    <border>
      <left/>
      <right style="medium">
        <color indexed="64"/>
      </right>
      <top style="thin">
        <color indexed="64"/>
      </top>
      <bottom style="thin">
        <color indexed="64"/>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57">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8" fillId="0" borderId="0" applyNumberFormat="0" applyFill="0" applyBorder="0" applyAlignment="0" applyProtection="0"/>
    <xf numFmtId="0" fontId="9" fillId="0" borderId="7" applyNumberFormat="0" applyFill="0" applyAlignment="0" applyProtection="0"/>
    <xf numFmtId="0" fontId="10" fillId="0" borderId="8" applyNumberFormat="0" applyFill="0" applyAlignment="0" applyProtection="0"/>
    <xf numFmtId="0" fontId="11" fillId="0" borderId="9" applyNumberFormat="0" applyFill="0" applyAlignment="0" applyProtection="0"/>
    <xf numFmtId="0" fontId="11" fillId="0" borderId="0" applyNumberFormat="0" applyFill="0" applyBorder="0" applyAlignment="0" applyProtection="0"/>
    <xf numFmtId="0" fontId="12" fillId="7" borderId="0" applyNumberFormat="0" applyBorder="0" applyAlignment="0" applyProtection="0"/>
    <xf numFmtId="0" fontId="13" fillId="8" borderId="0" applyNumberFormat="0" applyBorder="0" applyAlignment="0" applyProtection="0"/>
    <xf numFmtId="0" fontId="14" fillId="9" borderId="0" applyNumberFormat="0" applyBorder="0" applyAlignment="0" applyProtection="0"/>
    <xf numFmtId="0" fontId="15" fillId="10" borderId="10" applyNumberFormat="0" applyAlignment="0" applyProtection="0"/>
    <xf numFmtId="0" fontId="16" fillId="11" borderId="11" applyNumberFormat="0" applyAlignment="0" applyProtection="0"/>
    <xf numFmtId="0" fontId="17" fillId="11" borderId="10" applyNumberFormat="0" applyAlignment="0" applyProtection="0"/>
    <xf numFmtId="0" fontId="18" fillId="0" borderId="12" applyNumberFormat="0" applyFill="0" applyAlignment="0" applyProtection="0"/>
    <xf numFmtId="0" fontId="19" fillId="12" borderId="13" applyNumberFormat="0" applyAlignment="0" applyProtection="0"/>
    <xf numFmtId="0" fontId="6" fillId="0" borderId="0" applyNumberFormat="0" applyFill="0" applyBorder="0" applyAlignment="0" applyProtection="0"/>
    <xf numFmtId="0" fontId="1" fillId="13" borderId="14" applyNumberFormat="0" applyFont="0" applyAlignment="0" applyProtection="0"/>
    <xf numFmtId="0" fontId="20" fillId="0" borderId="0" applyNumberFormat="0" applyFill="0" applyBorder="0" applyAlignment="0" applyProtection="0"/>
    <xf numFmtId="0" fontId="2" fillId="0" borderId="15" applyNumberFormat="0" applyFill="0" applyAlignment="0" applyProtection="0"/>
    <xf numFmtId="0" fontId="2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1" fillId="29" borderId="0" applyNumberFormat="0" applyBorder="0" applyAlignment="0" applyProtection="0"/>
    <xf numFmtId="0" fontId="2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33" borderId="0" applyNumberFormat="0" applyBorder="0" applyAlignment="0" applyProtection="0"/>
    <xf numFmtId="0" fontId="2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1" fillId="37" borderId="0" applyNumberFormat="0" applyBorder="0" applyAlignment="0" applyProtection="0"/>
    <xf numFmtId="0" fontId="24" fillId="0" borderId="0"/>
    <xf numFmtId="43" fontId="24" fillId="0" borderId="0" applyFont="0" applyFill="0" applyBorder="0" applyAlignment="0" applyProtection="0"/>
    <xf numFmtId="43" fontId="24" fillId="0" borderId="0" applyFont="0" applyFill="0" applyBorder="0" applyAlignment="0" applyProtection="0"/>
    <xf numFmtId="43" fontId="25" fillId="0" borderId="0" applyFont="0" applyFill="0" applyBorder="0" applyAlignment="0" applyProtection="0"/>
    <xf numFmtId="44" fontId="24" fillId="0" borderId="0" applyFont="0" applyFill="0" applyBorder="0" applyAlignment="0" applyProtection="0"/>
    <xf numFmtId="0" fontId="24" fillId="0" borderId="0"/>
    <xf numFmtId="0" fontId="25" fillId="0" borderId="0"/>
    <xf numFmtId="9" fontId="25" fillId="0" borderId="0" applyFont="0" applyFill="0" applyBorder="0" applyAlignment="0" applyProtection="0"/>
    <xf numFmtId="0" fontId="26" fillId="0" borderId="0"/>
    <xf numFmtId="0" fontId="26" fillId="0" borderId="0"/>
    <xf numFmtId="43" fontId="26" fillId="0" borderId="0" applyFont="0" applyFill="0" applyBorder="0" applyAlignment="0" applyProtection="0"/>
    <xf numFmtId="0" fontId="26" fillId="0" borderId="0"/>
  </cellStyleXfs>
  <cellXfs count="337">
    <xf numFmtId="0" fontId="0" fillId="0" borderId="0" xfId="0"/>
    <xf numFmtId="0" fontId="0" fillId="0" borderId="0" xfId="0" applyAlignment="1">
      <alignment wrapText="1"/>
    </xf>
    <xf numFmtId="164" fontId="0" fillId="0" borderId="0" xfId="1" applyNumberFormat="1" applyFont="1"/>
    <xf numFmtId="164" fontId="0" fillId="0" borderId="0" xfId="0" applyNumberFormat="1"/>
    <xf numFmtId="0" fontId="0" fillId="0" borderId="0" xfId="0" applyAlignment="1"/>
    <xf numFmtId="0" fontId="0" fillId="0" borderId="2" xfId="0" applyBorder="1"/>
    <xf numFmtId="164" fontId="0" fillId="0" borderId="2" xfId="1" applyNumberFormat="1" applyFont="1" applyBorder="1"/>
    <xf numFmtId="0" fontId="0" fillId="0" borderId="3" xfId="0" applyBorder="1"/>
    <xf numFmtId="164" fontId="0" fillId="0" borderId="3" xfId="1" applyNumberFormat="1" applyFont="1" applyBorder="1"/>
    <xf numFmtId="0" fontId="0" fillId="0" borderId="4" xfId="0" applyBorder="1"/>
    <xf numFmtId="164" fontId="0" fillId="0" borderId="4" xfId="1" applyNumberFormat="1" applyFont="1" applyBorder="1"/>
    <xf numFmtId="0" fontId="3" fillId="0" borderId="3" xfId="0" applyFont="1" applyBorder="1"/>
    <xf numFmtId="0" fontId="2" fillId="3" borderId="1" xfId="0" applyFont="1" applyFill="1" applyBorder="1"/>
    <xf numFmtId="164" fontId="2" fillId="3" borderId="1" xfId="0" applyNumberFormat="1" applyFont="1" applyFill="1" applyBorder="1"/>
    <xf numFmtId="164" fontId="2" fillId="3" borderId="1" xfId="1" applyNumberFormat="1" applyFont="1" applyFill="1" applyBorder="1"/>
    <xf numFmtId="9" fontId="2" fillId="3" borderId="1" xfId="2" applyFont="1" applyFill="1" applyBorder="1"/>
    <xf numFmtId="0" fontId="0" fillId="0" borderId="1" xfId="0" applyBorder="1" applyAlignment="1">
      <alignment vertical="center" wrapText="1"/>
    </xf>
    <xf numFmtId="0" fontId="2" fillId="2" borderId="1" xfId="0" applyFont="1" applyFill="1" applyBorder="1" applyAlignment="1">
      <alignment horizontal="center" vertical="center"/>
    </xf>
    <xf numFmtId="0" fontId="0" fillId="2" borderId="1" xfId="0" applyFill="1" applyBorder="1"/>
    <xf numFmtId="0" fontId="0" fillId="2" borderId="1" xfId="0" applyFill="1" applyBorder="1" applyAlignment="1">
      <alignment wrapText="1"/>
    </xf>
    <xf numFmtId="0" fontId="0" fillId="2" borderId="1" xfId="0" applyFill="1" applyBorder="1" applyAlignment="1">
      <alignment vertical="center" wrapText="1"/>
    </xf>
    <xf numFmtId="5" fontId="0" fillId="0" borderId="1" xfId="1" applyNumberFormat="1" applyFont="1" applyBorder="1" applyAlignment="1">
      <alignment vertical="center" wrapText="1"/>
    </xf>
    <xf numFmtId="3" fontId="0" fillId="0" borderId="1" xfId="0" applyNumberFormat="1" applyBorder="1" applyAlignment="1">
      <alignment vertical="center" wrapText="1"/>
    </xf>
    <xf numFmtId="165" fontId="0" fillId="0" borderId="1" xfId="2" applyNumberFormat="1" applyFont="1" applyBorder="1" applyAlignment="1">
      <alignment vertical="center" wrapText="1"/>
    </xf>
    <xf numFmtId="10" fontId="0" fillId="0" borderId="1" xfId="2" applyNumberFormat="1" applyFont="1" applyBorder="1" applyAlignment="1">
      <alignment vertical="center" wrapText="1"/>
    </xf>
    <xf numFmtId="164" fontId="0" fillId="0" borderId="1" xfId="1" applyNumberFormat="1" applyFont="1" applyBorder="1" applyAlignment="1">
      <alignment horizontal="right" vertical="center" wrapText="1"/>
    </xf>
    <xf numFmtId="6" fontId="0" fillId="0" borderId="1" xfId="0" applyNumberFormat="1" applyBorder="1" applyAlignment="1">
      <alignment horizontal="right" vertical="center"/>
    </xf>
    <xf numFmtId="8" fontId="0" fillId="0" borderId="1" xfId="0" applyNumberFormat="1" applyBorder="1" applyAlignment="1">
      <alignment horizontal="right" vertical="center"/>
    </xf>
    <xf numFmtId="0" fontId="2" fillId="2" borderId="1" xfId="0" applyFont="1" applyFill="1" applyBorder="1" applyAlignment="1">
      <alignment vertical="center" wrapText="1"/>
    </xf>
    <xf numFmtId="167" fontId="0" fillId="3" borderId="1" xfId="1" applyNumberFormat="1" applyFont="1" applyFill="1" applyBorder="1" applyAlignment="1">
      <alignment vertical="center" wrapText="1"/>
    </xf>
    <xf numFmtId="6" fontId="0" fillId="0" borderId="1" xfId="0" applyNumberFormat="1" applyBorder="1" applyAlignment="1">
      <alignment horizontal="right" vertical="center" wrapText="1"/>
    </xf>
    <xf numFmtId="10" fontId="0" fillId="0" borderId="1" xfId="2" applyNumberFormat="1" applyFont="1" applyBorder="1" applyAlignment="1">
      <alignment horizontal="right"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4" borderId="1" xfId="0" applyFill="1" applyBorder="1"/>
    <xf numFmtId="168" fontId="0" fillId="4" borderId="1" xfId="0" applyNumberFormat="1" applyFill="1" applyBorder="1"/>
    <xf numFmtId="9" fontId="0" fillId="4" borderId="1" xfId="2" applyFont="1" applyFill="1" applyBorder="1"/>
    <xf numFmtId="168" fontId="0" fillId="0" borderId="2" xfId="0" applyNumberFormat="1" applyBorder="1"/>
    <xf numFmtId="9" fontId="0" fillId="0" borderId="2" xfId="2" applyFont="1" applyBorder="1"/>
    <xf numFmtId="168" fontId="0" fillId="0" borderId="3" xfId="0" applyNumberFormat="1" applyBorder="1"/>
    <xf numFmtId="9" fontId="0" fillId="0" borderId="3" xfId="2" applyFont="1" applyBorder="1"/>
    <xf numFmtId="168" fontId="0" fillId="0" borderId="4" xfId="0" applyNumberFormat="1" applyBorder="1"/>
    <xf numFmtId="9" fontId="0" fillId="0" borderId="4" xfId="2" applyFont="1" applyBorder="1"/>
    <xf numFmtId="9" fontId="2" fillId="4" borderId="1" xfId="2" applyFont="1" applyFill="1" applyBorder="1"/>
    <xf numFmtId="168" fontId="0" fillId="5" borderId="1" xfId="0" applyNumberFormat="1" applyFill="1" applyBorder="1"/>
    <xf numFmtId="168" fontId="6" fillId="6" borderId="1" xfId="0" applyNumberFormat="1" applyFont="1" applyFill="1" applyBorder="1"/>
    <xf numFmtId="168" fontId="0" fillId="6" borderId="1" xfId="0" applyNumberFormat="1" applyFill="1" applyBorder="1"/>
    <xf numFmtId="9" fontId="1" fillId="0" borderId="0" xfId="2" applyFont="1" applyFill="1" applyBorder="1"/>
    <xf numFmtId="169" fontId="0" fillId="4" borderId="1" xfId="0" applyNumberFormat="1" applyFill="1" applyBorder="1"/>
    <xf numFmtId="168" fontId="0" fillId="3" borderId="2" xfId="0" applyNumberFormat="1" applyFill="1" applyBorder="1"/>
    <xf numFmtId="168" fontId="0" fillId="3" borderId="3" xfId="0" applyNumberFormat="1" applyFill="1" applyBorder="1"/>
    <xf numFmtId="168" fontId="0" fillId="3" borderId="4" xfId="0" applyNumberFormat="1" applyFill="1" applyBorder="1"/>
    <xf numFmtId="168" fontId="0" fillId="3" borderId="1" xfId="0" applyNumberFormat="1" applyFill="1" applyBorder="1"/>
    <xf numFmtId="0" fontId="0" fillId="3" borderId="1" xfId="0" applyFill="1" applyBorder="1" applyAlignment="1">
      <alignment horizontal="center" vertical="center"/>
    </xf>
    <xf numFmtId="168" fontId="0" fillId="38" borderId="1" xfId="0" applyNumberFormat="1" applyFill="1" applyBorder="1"/>
    <xf numFmtId="6" fontId="0" fillId="0" borderId="0" xfId="0" applyNumberFormat="1"/>
    <xf numFmtId="0" fontId="0" fillId="4" borderId="1" xfId="0" applyFill="1" applyBorder="1"/>
    <xf numFmtId="168" fontId="22" fillId="6" borderId="4" xfId="0" applyNumberFormat="1" applyFont="1" applyFill="1" applyBorder="1"/>
    <xf numFmtId="168" fontId="0" fillId="6" borderId="2" xfId="0" applyNumberFormat="1" applyFill="1" applyBorder="1"/>
    <xf numFmtId="170" fontId="0" fillId="3" borderId="1" xfId="0" applyNumberFormat="1" applyFill="1" applyBorder="1"/>
    <xf numFmtId="168" fontId="0" fillId="0" borderId="2" xfId="0" applyNumberFormat="1" applyFill="1" applyBorder="1"/>
    <xf numFmtId="168" fontId="0" fillId="0" borderId="3" xfId="0" applyNumberFormat="1" applyFill="1" applyBorder="1"/>
    <xf numFmtId="168" fontId="0" fillId="0" borderId="4" xfId="0" applyNumberFormat="1" applyFill="1" applyBorder="1"/>
    <xf numFmtId="171" fontId="0" fillId="0" borderId="0" xfId="0" applyNumberFormat="1"/>
    <xf numFmtId="0" fontId="0" fillId="2" borderId="0" xfId="0" applyFill="1"/>
    <xf numFmtId="0" fontId="0" fillId="2" borderId="1" xfId="0" applyFill="1" applyBorder="1" applyAlignment="1">
      <alignment horizontal="center" vertical="center" wrapText="1"/>
    </xf>
    <xf numFmtId="0" fontId="0" fillId="2" borderId="2" xfId="0" applyFill="1" applyBorder="1" applyAlignment="1">
      <alignment horizontal="center" vertical="center"/>
    </xf>
    <xf numFmtId="168" fontId="22" fillId="5" borderId="4" xfId="0" applyNumberFormat="1" applyFont="1" applyFill="1" applyBorder="1"/>
    <xf numFmtId="168" fontId="0" fillId="39" borderId="2" xfId="0" applyNumberFormat="1" applyFill="1" applyBorder="1"/>
    <xf numFmtId="168" fontId="0" fillId="39" borderId="1" xfId="0" applyNumberFormat="1" applyFill="1" applyBorder="1"/>
    <xf numFmtId="0" fontId="0" fillId="0" borderId="1" xfId="0" applyBorder="1" applyAlignment="1">
      <alignment wrapText="1"/>
    </xf>
    <xf numFmtId="165" fontId="0" fillId="0" borderId="4" xfId="2" applyNumberFormat="1" applyFont="1" applyBorder="1" applyAlignment="1">
      <alignment vertical="center" wrapText="1"/>
    </xf>
    <xf numFmtId="167" fontId="0" fillId="3" borderId="4" xfId="1" applyNumberFormat="1" applyFont="1" applyFill="1" applyBorder="1" applyAlignment="1">
      <alignment vertical="center" wrapText="1"/>
    </xf>
    <xf numFmtId="168" fontId="0" fillId="0" borderId="1" xfId="0" applyNumberFormat="1" applyFill="1" applyBorder="1" applyAlignment="1">
      <alignment wrapText="1"/>
    </xf>
    <xf numFmtId="172" fontId="0" fillId="0" borderId="4" xfId="3" applyNumberFormat="1" applyFont="1" applyBorder="1" applyAlignment="1">
      <alignment vertical="center" wrapText="1"/>
    </xf>
    <xf numFmtId="172" fontId="0" fillId="0" borderId="1" xfId="0" applyNumberFormat="1" applyBorder="1" applyAlignment="1">
      <alignment vertical="center" wrapText="1"/>
    </xf>
    <xf numFmtId="172" fontId="0" fillId="0" borderId="1" xfId="3" applyNumberFormat="1" applyFont="1" applyBorder="1" applyAlignment="1">
      <alignment vertical="center" wrapText="1"/>
    </xf>
    <xf numFmtId="0" fontId="0" fillId="0" borderId="0" xfId="0"/>
    <xf numFmtId="168" fontId="0" fillId="0" borderId="4" xfId="0" applyNumberFormat="1" applyFill="1" applyBorder="1" applyAlignment="1">
      <alignment vertical="center" wrapText="1"/>
    </xf>
    <xf numFmtId="168" fontId="0" fillId="0" borderId="1" xfId="0" applyNumberFormat="1" applyFill="1" applyBorder="1" applyAlignment="1">
      <alignment vertical="center" wrapText="1"/>
    </xf>
    <xf numFmtId="169" fontId="0" fillId="2" borderId="4" xfId="0" applyNumberFormat="1" applyFill="1" applyBorder="1" applyAlignment="1">
      <alignment horizontal="center"/>
    </xf>
    <xf numFmtId="0" fontId="0" fillId="4" borderId="22" xfId="0" applyFill="1" applyBorder="1"/>
    <xf numFmtId="0" fontId="0" fillId="0" borderId="0" xfId="0" applyBorder="1" applyAlignment="1">
      <alignment horizontal="center" wrapText="1"/>
    </xf>
    <xf numFmtId="169" fontId="0" fillId="4" borderId="1" xfId="0" applyNumberFormat="1" applyFill="1" applyBorder="1" applyAlignment="1">
      <alignment horizontal="center" vertical="center"/>
    </xf>
    <xf numFmtId="169" fontId="0" fillId="3" borderId="1" xfId="0" applyNumberFormat="1" applyFill="1" applyBorder="1" applyAlignment="1">
      <alignment horizontal="center" vertical="center"/>
    </xf>
    <xf numFmtId="9" fontId="2" fillId="4" borderId="1" xfId="2" applyFont="1" applyFill="1" applyBorder="1" applyAlignment="1">
      <alignment horizontal="center" vertical="center"/>
    </xf>
    <xf numFmtId="0" fontId="0" fillId="3" borderId="2" xfId="0" applyFill="1" applyBorder="1" applyAlignment="1">
      <alignment horizontal="center" vertical="center"/>
    </xf>
    <xf numFmtId="172" fontId="0" fillId="0" borderId="23" xfId="0" applyNumberFormat="1" applyBorder="1"/>
    <xf numFmtId="172" fontId="0" fillId="3" borderId="2" xfId="0" applyNumberFormat="1" applyFill="1" applyBorder="1"/>
    <xf numFmtId="172" fontId="0" fillId="4" borderId="24" xfId="0" applyNumberFormat="1" applyFill="1" applyBorder="1"/>
    <xf numFmtId="172" fontId="0" fillId="0" borderId="4" xfId="0" applyNumberFormat="1" applyBorder="1"/>
    <xf numFmtId="172" fontId="0" fillId="3" borderId="3" xfId="0" applyNumberFormat="1" applyFill="1" applyBorder="1"/>
    <xf numFmtId="172" fontId="0" fillId="0" borderId="3" xfId="0" applyNumberFormat="1" applyBorder="1"/>
    <xf numFmtId="172" fontId="0" fillId="0" borderId="18" xfId="0" applyNumberFormat="1" applyBorder="1"/>
    <xf numFmtId="172" fontId="0" fillId="0" borderId="16" xfId="0" applyNumberFormat="1" applyBorder="1"/>
    <xf numFmtId="172" fontId="0" fillId="3" borderId="4" xfId="0" applyNumberFormat="1" applyFill="1" applyBorder="1"/>
    <xf numFmtId="172" fontId="0" fillId="0" borderId="2" xfId="0" applyNumberFormat="1" applyBorder="1"/>
    <xf numFmtId="172" fontId="0" fillId="3" borderId="24" xfId="0" applyNumberFormat="1" applyFill="1" applyBorder="1"/>
    <xf numFmtId="173" fontId="0" fillId="0" borderId="4" xfId="0" applyNumberFormat="1" applyBorder="1"/>
    <xf numFmtId="173" fontId="0" fillId="3" borderId="3" xfId="0" applyNumberFormat="1" applyFill="1" applyBorder="1"/>
    <xf numFmtId="173" fontId="0" fillId="0" borderId="3" xfId="0" applyNumberFormat="1" applyBorder="1"/>
    <xf numFmtId="173" fontId="0" fillId="0" borderId="18" xfId="0" applyNumberFormat="1" applyBorder="1"/>
    <xf numFmtId="173" fontId="0" fillId="0" borderId="23" xfId="0" applyNumberFormat="1" applyBorder="1"/>
    <xf numFmtId="173" fontId="0" fillId="3" borderId="4" xfId="0" applyNumberFormat="1" applyFill="1" applyBorder="1"/>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0" borderId="5" xfId="0" applyFill="1" applyBorder="1" applyAlignment="1">
      <alignment horizontal="center" vertical="center" wrapText="1"/>
    </xf>
    <xf numFmtId="0" fontId="0" fillId="0" borderId="0" xfId="0"/>
    <xf numFmtId="168" fontId="3" fillId="41" borderId="2" xfId="0" applyNumberFormat="1" applyFont="1" applyFill="1" applyBorder="1"/>
    <xf numFmtId="168" fontId="3" fillId="41" borderId="3" xfId="0" applyNumberFormat="1" applyFont="1" applyFill="1" applyBorder="1"/>
    <xf numFmtId="168" fontId="3" fillId="41" borderId="4" xfId="0" applyNumberFormat="1" applyFont="1" applyFill="1" applyBorder="1"/>
    <xf numFmtId="174" fontId="35" fillId="3" borderId="2" xfId="0" applyNumberFormat="1" applyFont="1" applyFill="1" applyBorder="1" applyAlignment="1">
      <alignment horizontal="center" vertical="center"/>
    </xf>
    <xf numFmtId="0" fontId="2" fillId="3" borderId="3" xfId="0" applyFont="1" applyFill="1" applyBorder="1"/>
    <xf numFmtId="168" fontId="33" fillId="3" borderId="2" xfId="0" applyNumberFormat="1" applyFont="1" applyFill="1" applyBorder="1"/>
    <xf numFmtId="168" fontId="33" fillId="3" borderId="3" xfId="0" applyNumberFormat="1" applyFont="1" applyFill="1" applyBorder="1"/>
    <xf numFmtId="168" fontId="33" fillId="3" borderId="4" xfId="0" applyNumberFormat="1" applyFont="1" applyFill="1" applyBorder="1"/>
    <xf numFmtId="176" fontId="35" fillId="3" borderId="3" xfId="0" applyNumberFormat="1" applyFont="1" applyFill="1" applyBorder="1" applyAlignment="1">
      <alignment horizontal="center" vertical="center"/>
    </xf>
    <xf numFmtId="0" fontId="0" fillId="3" borderId="3" xfId="0" applyFill="1" applyBorder="1"/>
    <xf numFmtId="0" fontId="0" fillId="3" borderId="4" xfId="0" applyFill="1" applyBorder="1"/>
    <xf numFmtId="0" fontId="35" fillId="3" borderId="4" xfId="0" applyFont="1" applyFill="1" applyBorder="1" applyAlignment="1">
      <alignment horizontal="center" vertical="center" wrapText="1"/>
    </xf>
    <xf numFmtId="0" fontId="0" fillId="0" borderId="36" xfId="0" applyBorder="1" applyAlignment="1">
      <alignment horizontal="left" vertical="center" wrapText="1"/>
    </xf>
    <xf numFmtId="168" fontId="0" fillId="6" borderId="25" xfId="0" applyNumberFormat="1" applyFill="1" applyBorder="1"/>
    <xf numFmtId="0" fontId="0" fillId="0" borderId="33" xfId="0" applyBorder="1"/>
    <xf numFmtId="168" fontId="0" fillId="0" borderId="35" xfId="0" applyNumberFormat="1" applyBorder="1"/>
    <xf numFmtId="168" fontId="33" fillId="3" borderId="35" xfId="0" applyNumberFormat="1" applyFont="1" applyFill="1" applyBorder="1"/>
    <xf numFmtId="0" fontId="0" fillId="0" borderId="32" xfId="0" applyBorder="1"/>
    <xf numFmtId="0" fontId="0" fillId="0" borderId="34" xfId="0" applyBorder="1"/>
    <xf numFmtId="0" fontId="0" fillId="0" borderId="28" xfId="0" applyFont="1" applyFill="1" applyBorder="1"/>
    <xf numFmtId="0" fontId="0" fillId="0" borderId="33" xfId="0" applyFont="1" applyFill="1" applyBorder="1"/>
    <xf numFmtId="168" fontId="0" fillId="42" borderId="1" xfId="0" applyNumberFormat="1" applyFill="1" applyBorder="1"/>
    <xf numFmtId="168" fontId="0" fillId="38" borderId="30" xfId="0" applyNumberFormat="1" applyFill="1" applyBorder="1"/>
    <xf numFmtId="168" fontId="3" fillId="41" borderId="35" xfId="0" applyNumberFormat="1" applyFont="1" applyFill="1" applyBorder="1"/>
    <xf numFmtId="0" fontId="0" fillId="0" borderId="36" xfId="0" applyBorder="1"/>
    <xf numFmtId="168" fontId="0" fillId="40" borderId="1" xfId="0" applyNumberFormat="1" applyFill="1" applyBorder="1"/>
    <xf numFmtId="168" fontId="0" fillId="5" borderId="29" xfId="0" applyNumberFormat="1" applyFill="1" applyBorder="1"/>
    <xf numFmtId="0" fontId="0" fillId="0" borderId="0" xfId="0"/>
    <xf numFmtId="177" fontId="35" fillId="3" borderId="3" xfId="0" applyNumberFormat="1" applyFont="1" applyFill="1" applyBorder="1" applyAlignment="1">
      <alignment horizontal="center" vertical="center"/>
    </xf>
    <xf numFmtId="177" fontId="33" fillId="3" borderId="2" xfId="0" applyNumberFormat="1" applyFont="1" applyFill="1" applyBorder="1"/>
    <xf numFmtId="177" fontId="33" fillId="3" borderId="3" xfId="0" applyNumberFormat="1" applyFont="1" applyFill="1" applyBorder="1"/>
    <xf numFmtId="177" fontId="33" fillId="3" borderId="4" xfId="0" applyNumberFormat="1" applyFont="1" applyFill="1" applyBorder="1"/>
    <xf numFmtId="177" fontId="0" fillId="0" borderId="2" xfId="0" applyNumberFormat="1" applyFont="1" applyFill="1" applyBorder="1" applyAlignment="1">
      <alignment vertical="center"/>
    </xf>
    <xf numFmtId="177" fontId="0" fillId="0" borderId="3" xfId="0" applyNumberFormat="1" applyFont="1" applyFill="1" applyBorder="1" applyAlignment="1">
      <alignment vertical="center"/>
    </xf>
    <xf numFmtId="168" fontId="0" fillId="42" borderId="29" xfId="0" applyNumberFormat="1" applyFill="1" applyBorder="1"/>
    <xf numFmtId="0" fontId="23" fillId="0" borderId="3" xfId="0" applyFont="1" applyBorder="1"/>
    <xf numFmtId="176" fontId="0" fillId="0" borderId="23" xfId="0" applyNumberFormat="1" applyFont="1" applyFill="1" applyBorder="1" applyAlignment="1">
      <alignment horizontal="center" vertical="center"/>
    </xf>
    <xf numFmtId="177" fontId="0" fillId="0" borderId="2" xfId="0" applyNumberFormat="1" applyBorder="1"/>
    <xf numFmtId="177" fontId="0" fillId="0" borderId="3" xfId="0" applyNumberFormat="1" applyBorder="1"/>
    <xf numFmtId="177" fontId="0" fillId="0" borderId="4" xfId="0" applyNumberFormat="1" applyBorder="1"/>
    <xf numFmtId="177" fontId="33" fillId="3" borderId="35" xfId="0" applyNumberFormat="1" applyFont="1" applyFill="1" applyBorder="1"/>
    <xf numFmtId="168" fontId="0" fillId="43" borderId="4" xfId="0" applyNumberFormat="1" applyFill="1" applyBorder="1"/>
    <xf numFmtId="0" fontId="38" fillId="0" borderId="3" xfId="0" applyFont="1" applyBorder="1"/>
    <xf numFmtId="0" fontId="36" fillId="0" borderId="4" xfId="0" applyFont="1" applyBorder="1"/>
    <xf numFmtId="0" fontId="0" fillId="0" borderId="0" xfId="0"/>
    <xf numFmtId="0" fontId="23" fillId="0" borderId="3" xfId="0" applyFont="1" applyBorder="1"/>
    <xf numFmtId="0" fontId="38" fillId="0" borderId="4" xfId="0" applyFont="1" applyBorder="1"/>
    <xf numFmtId="168" fontId="0" fillId="39" borderId="4" xfId="0" applyNumberFormat="1" applyFill="1" applyBorder="1"/>
    <xf numFmtId="0" fontId="36" fillId="0" borderId="3" xfId="0" applyFont="1" applyBorder="1"/>
    <xf numFmtId="0" fontId="36" fillId="0" borderId="2" xfId="0" applyFont="1" applyBorder="1"/>
    <xf numFmtId="0" fontId="2" fillId="2" borderId="1" xfId="0" applyFont="1" applyFill="1" applyBorder="1" applyAlignment="1">
      <alignment horizontal="center" vertical="center" wrapText="1"/>
    </xf>
    <xf numFmtId="174" fontId="0" fillId="0" borderId="23" xfId="0" applyNumberFormat="1" applyFont="1" applyFill="1" applyBorder="1" applyAlignment="1">
      <alignment horizontal="center" vertical="center"/>
    </xf>
    <xf numFmtId="168" fontId="32" fillId="0" borderId="2" xfId="0" applyNumberFormat="1" applyFont="1" applyFill="1" applyBorder="1"/>
    <xf numFmtId="168" fontId="32" fillId="0" borderId="3" xfId="0" applyNumberFormat="1" applyFont="1" applyFill="1" applyBorder="1"/>
    <xf numFmtId="168" fontId="32" fillId="0" borderId="4" xfId="0" applyNumberFormat="1" applyFont="1" applyFill="1" applyBorder="1"/>
    <xf numFmtId="168" fontId="32" fillId="0" borderId="35" xfId="0" applyNumberFormat="1" applyFont="1" applyFill="1" applyBorder="1"/>
    <xf numFmtId="168" fontId="0" fillId="6" borderId="29" xfId="0" applyNumberFormat="1" applyFill="1" applyBorder="1"/>
    <xf numFmtId="168" fontId="6" fillId="6" borderId="29" xfId="0" applyNumberFormat="1" applyFont="1" applyFill="1" applyBorder="1"/>
    <xf numFmtId="168" fontId="0" fillId="39" borderId="29" xfId="0" applyNumberFormat="1" applyFill="1" applyBorder="1"/>
    <xf numFmtId="168" fontId="0" fillId="39" borderId="30" xfId="0" applyNumberFormat="1" applyFill="1" applyBorder="1"/>
    <xf numFmtId="165" fontId="0" fillId="0" borderId="1" xfId="2" applyNumberFormat="1" applyFont="1" applyBorder="1" applyAlignment="1">
      <alignment horizontal="right" vertical="center" wrapText="1"/>
    </xf>
    <xf numFmtId="0" fontId="0" fillId="2" borderId="1" xfId="0" applyFill="1" applyBorder="1" applyAlignment="1">
      <alignment horizontal="center" wrapText="1"/>
    </xf>
    <xf numFmtId="0" fontId="0" fillId="0" borderId="0" xfId="0" applyFill="1" applyBorder="1"/>
    <xf numFmtId="164" fontId="0" fillId="0" borderId="0" xfId="1" applyNumberFormat="1" applyFont="1" applyFill="1" applyBorder="1"/>
    <xf numFmtId="0" fontId="2" fillId="0" borderId="0" xfId="0" applyFont="1" applyFill="1" applyBorder="1"/>
    <xf numFmtId="164" fontId="2" fillId="0" borderId="0" xfId="1" applyNumberFormat="1" applyFont="1" applyFill="1" applyBorder="1"/>
    <xf numFmtId="9" fontId="2" fillId="0" borderId="0" xfId="2" applyFont="1" applyFill="1" applyBorder="1"/>
    <xf numFmtId="0" fontId="0" fillId="44" borderId="1" xfId="0" applyFill="1" applyBorder="1"/>
    <xf numFmtId="164" fontId="0" fillId="44" borderId="1" xfId="1" applyNumberFormat="1" applyFont="1" applyFill="1" applyBorder="1"/>
    <xf numFmtId="0" fontId="2" fillId="3" borderId="1" xfId="0" applyFont="1" applyFill="1" applyBorder="1" applyAlignment="1">
      <alignment wrapText="1"/>
    </xf>
    <xf numFmtId="0" fontId="0" fillId="44" borderId="2" xfId="0" applyFont="1" applyFill="1" applyBorder="1" applyAlignment="1">
      <alignment wrapText="1"/>
    </xf>
    <xf numFmtId="164" fontId="1" fillId="44" borderId="2" xfId="1" applyNumberFormat="1" applyFont="1" applyFill="1" applyBorder="1"/>
    <xf numFmtId="0" fontId="0" fillId="44" borderId="4" xfId="0" applyFill="1" applyBorder="1"/>
    <xf numFmtId="164" fontId="0" fillId="44" borderId="4" xfId="1" applyNumberFormat="1" applyFont="1" applyFill="1" applyBorder="1"/>
    <xf numFmtId="0" fontId="0" fillId="0" borderId="2" xfId="0" applyFont="1" applyBorder="1" applyAlignment="1">
      <alignment horizontal="right" vertical="center"/>
    </xf>
    <xf numFmtId="164" fontId="0" fillId="0" borderId="2" xfId="1" applyNumberFormat="1" applyFont="1" applyBorder="1" applyAlignment="1">
      <alignment horizontal="center" vertical="center"/>
    </xf>
    <xf numFmtId="0" fontId="0" fillId="0" borderId="3" xfId="0" applyFont="1" applyBorder="1" applyAlignment="1">
      <alignment horizontal="right"/>
    </xf>
    <xf numFmtId="0" fontId="0" fillId="0" borderId="4" xfId="0" applyFont="1" applyBorder="1" applyAlignment="1">
      <alignment horizontal="right"/>
    </xf>
    <xf numFmtId="9" fontId="0" fillId="0" borderId="0" xfId="2" applyFont="1"/>
    <xf numFmtId="3" fontId="0" fillId="0" borderId="1" xfId="0" applyNumberFormat="1" applyFill="1" applyBorder="1" applyAlignment="1">
      <alignment vertical="center" wrapText="1"/>
    </xf>
    <xf numFmtId="165" fontId="0" fillId="0" borderId="1" xfId="2" applyNumberFormat="1" applyFont="1" applyFill="1" applyBorder="1" applyAlignment="1">
      <alignment vertical="center" wrapText="1"/>
    </xf>
    <xf numFmtId="166" fontId="0" fillId="0" borderId="1" xfId="3" applyNumberFormat="1" applyFont="1" applyFill="1" applyBorder="1" applyAlignment="1">
      <alignment vertical="center" wrapText="1"/>
    </xf>
    <xf numFmtId="5" fontId="0" fillId="0" borderId="1" xfId="1" applyNumberFormat="1" applyFont="1" applyFill="1" applyBorder="1" applyAlignment="1">
      <alignment vertical="center" wrapText="1"/>
    </xf>
    <xf numFmtId="10" fontId="0" fillId="0" borderId="1" xfId="2" applyNumberFormat="1" applyFont="1" applyFill="1" applyBorder="1" applyAlignment="1">
      <alignment vertical="center" wrapText="1"/>
    </xf>
    <xf numFmtId="8" fontId="0" fillId="0" borderId="0" xfId="0" applyNumberFormat="1"/>
    <xf numFmtId="9" fontId="0" fillId="0" borderId="1" xfId="0" applyNumberFormat="1" applyBorder="1"/>
    <xf numFmtId="174" fontId="0" fillId="0" borderId="1" xfId="0" applyNumberFormat="1" applyFont="1" applyFill="1" applyBorder="1" applyAlignment="1">
      <alignment horizontal="center"/>
    </xf>
    <xf numFmtId="0" fontId="2" fillId="0" borderId="0" xfId="0" applyFont="1"/>
    <xf numFmtId="174" fontId="0" fillId="0" borderId="2" xfId="0" applyNumberFormat="1" applyFont="1" applyFill="1" applyBorder="1" applyAlignment="1">
      <alignment horizontal="center" vertical="center"/>
    </xf>
    <xf numFmtId="176" fontId="0" fillId="0" borderId="2" xfId="0" applyNumberFormat="1" applyBorder="1"/>
    <xf numFmtId="179" fontId="0" fillId="0" borderId="2" xfId="0" applyNumberFormat="1" applyBorder="1"/>
    <xf numFmtId="174" fontId="0" fillId="0" borderId="3" xfId="0" applyNumberFormat="1" applyFont="1" applyFill="1" applyBorder="1" applyAlignment="1">
      <alignment horizontal="center" vertical="center"/>
    </xf>
    <xf numFmtId="176" fontId="0" fillId="0" borderId="3" xfId="0" applyNumberFormat="1" applyBorder="1"/>
    <xf numFmtId="179" fontId="0" fillId="0" borderId="3" xfId="0" applyNumberFormat="1" applyBorder="1"/>
    <xf numFmtId="174" fontId="0" fillId="0" borderId="4" xfId="0" applyNumberFormat="1" applyFont="1" applyFill="1" applyBorder="1" applyAlignment="1">
      <alignment horizontal="center" vertical="center"/>
    </xf>
    <xf numFmtId="176" fontId="0" fillId="0" borderId="4" xfId="0" applyNumberFormat="1" applyBorder="1"/>
    <xf numFmtId="179" fontId="0" fillId="0" borderId="4" xfId="0" applyNumberFormat="1" applyBorder="1"/>
    <xf numFmtId="176" fontId="0" fillId="0" borderId="20" xfId="0" applyNumberFormat="1" applyBorder="1"/>
    <xf numFmtId="176" fontId="0" fillId="0" borderId="37" xfId="0" applyNumberFormat="1" applyBorder="1"/>
    <xf numFmtId="176" fontId="0" fillId="0" borderId="19" xfId="0" applyNumberFormat="1" applyBorder="1"/>
    <xf numFmtId="0" fontId="2" fillId="0" borderId="42" xfId="0" applyFont="1" applyBorder="1" applyAlignment="1">
      <alignment horizontal="left" wrapText="1"/>
    </xf>
    <xf numFmtId="0" fontId="0" fillId="0" borderId="21" xfId="0" applyBorder="1" applyAlignment="1">
      <alignment horizontal="center"/>
    </xf>
    <xf numFmtId="0" fontId="0" fillId="0" borderId="20" xfId="0" applyBorder="1" applyAlignment="1">
      <alignment horizontal="center"/>
    </xf>
    <xf numFmtId="0" fontId="43" fillId="0" borderId="21" xfId="0" applyFont="1" applyBorder="1" applyAlignment="1">
      <alignment horizontal="left" wrapText="1"/>
    </xf>
    <xf numFmtId="0" fontId="3" fillId="0" borderId="3" xfId="0" applyFont="1" applyBorder="1" applyAlignment="1">
      <alignment horizontal="left" vertical="center"/>
    </xf>
    <xf numFmtId="164" fontId="0" fillId="0" borderId="3" xfId="1" applyNumberFormat="1" applyFont="1" applyBorder="1" applyAlignment="1">
      <alignment horizontal="center" vertical="center"/>
    </xf>
    <xf numFmtId="5" fontId="0" fillId="0" borderId="1" xfId="1" applyNumberFormat="1" applyFont="1" applyBorder="1" applyAlignment="1">
      <alignment horizontal="center" vertical="center" wrapText="1"/>
    </xf>
    <xf numFmtId="0" fontId="0" fillId="0" borderId="1" xfId="0" applyBorder="1" applyAlignment="1">
      <alignment horizontal="center" vertical="center" wrapText="1"/>
    </xf>
    <xf numFmtId="5" fontId="0" fillId="0" borderId="2" xfId="1" applyNumberFormat="1" applyFont="1" applyBorder="1" applyAlignment="1">
      <alignment horizontal="center" vertical="center" wrapText="1"/>
    </xf>
    <xf numFmtId="5" fontId="0" fillId="0" borderId="4" xfId="1" applyNumberFormat="1" applyFont="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wrapText="1"/>
    </xf>
    <xf numFmtId="174" fontId="0" fillId="2" borderId="5" xfId="0" applyNumberFormat="1" applyFont="1" applyFill="1" applyBorder="1" applyAlignment="1">
      <alignment horizontal="center" vertical="center"/>
    </xf>
    <xf numFmtId="174" fontId="0" fillId="2" borderId="6" xfId="0" applyNumberFormat="1" applyFont="1" applyFill="1" applyBorder="1" applyAlignment="1">
      <alignment horizontal="center" vertical="center"/>
    </xf>
    <xf numFmtId="175" fontId="2" fillId="2" borderId="5" xfId="0" applyNumberFormat="1" applyFont="1" applyFill="1" applyBorder="1" applyAlignment="1">
      <alignment horizontal="center" vertical="center"/>
    </xf>
    <xf numFmtId="175" fontId="2" fillId="2" borderId="6" xfId="0" applyNumberFormat="1" applyFont="1" applyFill="1" applyBorder="1" applyAlignment="1">
      <alignment horizontal="center" vertical="center"/>
    </xf>
    <xf numFmtId="174" fontId="0" fillId="2" borderId="38" xfId="0" applyNumberFormat="1" applyFont="1" applyFill="1" applyBorder="1" applyAlignment="1">
      <alignment horizontal="center" vertical="center"/>
    </xf>
    <xf numFmtId="175" fontId="2" fillId="2" borderId="38" xfId="0" applyNumberFormat="1" applyFont="1" applyFill="1" applyBorder="1" applyAlignment="1">
      <alignment horizontal="center" vertical="center"/>
    </xf>
    <xf numFmtId="176" fontId="0" fillId="0" borderId="16" xfId="0" applyNumberFormat="1" applyFont="1" applyFill="1" applyBorder="1" applyAlignment="1">
      <alignment horizontal="center" vertical="center"/>
    </xf>
    <xf numFmtId="176" fontId="0" fillId="0" borderId="20" xfId="0" applyNumberFormat="1" applyFont="1" applyFill="1" applyBorder="1" applyAlignment="1">
      <alignment horizontal="center" vertical="center"/>
    </xf>
    <xf numFmtId="0" fontId="0" fillId="0" borderId="31" xfId="0" applyBorder="1" applyAlignment="1">
      <alignment horizontal="left" vertical="center" wrapText="1"/>
    </xf>
    <xf numFmtId="0" fontId="0" fillId="0" borderId="26" xfId="0" applyBorder="1" applyAlignment="1">
      <alignment horizontal="left" vertical="center" wrapText="1"/>
    </xf>
    <xf numFmtId="0" fontId="0" fillId="0" borderId="27" xfId="0" applyBorder="1" applyAlignment="1">
      <alignment horizontal="left" vertical="center" wrapText="1"/>
    </xf>
    <xf numFmtId="0" fontId="2" fillId="2" borderId="29"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2" fillId="3" borderId="1" xfId="0" applyFont="1" applyFill="1" applyBorder="1" applyAlignment="1">
      <alignment horizontal="center" vertical="center" wrapText="1"/>
    </xf>
    <xf numFmtId="174" fontId="3" fillId="41" borderId="5" xfId="0" applyNumberFormat="1" applyFont="1" applyFill="1" applyBorder="1" applyAlignment="1">
      <alignment horizontal="center" vertical="center"/>
    </xf>
    <xf numFmtId="174" fontId="3" fillId="41" borderId="6" xfId="0" applyNumberFormat="1" applyFont="1" applyFill="1" applyBorder="1" applyAlignment="1">
      <alignment horizontal="center" vertical="center"/>
    </xf>
    <xf numFmtId="175" fontId="7" fillId="41" borderId="5" xfId="0" applyNumberFormat="1" applyFont="1" applyFill="1" applyBorder="1" applyAlignment="1">
      <alignment horizontal="center" vertical="center"/>
    </xf>
    <xf numFmtId="175" fontId="7" fillId="41" borderId="6" xfId="0" applyNumberFormat="1" applyFont="1" applyFill="1" applyBorder="1" applyAlignment="1">
      <alignment horizontal="center" vertical="center"/>
    </xf>
    <xf numFmtId="176" fontId="0" fillId="0" borderId="41" xfId="0" applyNumberFormat="1" applyFont="1" applyFill="1" applyBorder="1" applyAlignment="1">
      <alignment horizontal="center" vertical="center"/>
    </xf>
    <xf numFmtId="176" fontId="0" fillId="0" borderId="23" xfId="0" applyNumberFormat="1" applyFont="1" applyFill="1" applyBorder="1" applyAlignment="1">
      <alignment horizontal="center" vertical="center"/>
    </xf>
    <xf numFmtId="176" fontId="0" fillId="0" borderId="39" xfId="0" applyNumberFormat="1" applyFont="1" applyFill="1" applyBorder="1" applyAlignment="1">
      <alignment horizontal="center" vertical="center"/>
    </xf>
    <xf numFmtId="9" fontId="2" fillId="0" borderId="18" xfId="2" applyFont="1" applyBorder="1" applyAlignment="1">
      <alignment horizontal="center" vertical="center"/>
    </xf>
    <xf numFmtId="9" fontId="2" fillId="0" borderId="40" xfId="2" applyFont="1" applyBorder="1" applyAlignment="1">
      <alignment horizontal="center" vertical="center"/>
    </xf>
    <xf numFmtId="0" fontId="2" fillId="0" borderId="17" xfId="0" applyFont="1" applyFill="1" applyBorder="1" applyAlignment="1">
      <alignment horizontal="center" vertical="center"/>
    </xf>
    <xf numFmtId="0" fontId="2" fillId="0" borderId="38" xfId="0" applyFont="1" applyFill="1" applyBorder="1" applyAlignment="1">
      <alignment horizontal="center" vertical="center"/>
    </xf>
    <xf numFmtId="176" fontId="0" fillId="0" borderId="37" xfId="0" applyNumberFormat="1" applyFont="1" applyFill="1" applyBorder="1" applyAlignment="1">
      <alignment horizontal="center" vertical="center"/>
    </xf>
    <xf numFmtId="9" fontId="2" fillId="0" borderId="19" xfId="2" applyFont="1" applyBorder="1" applyAlignment="1">
      <alignment horizontal="center" vertical="center"/>
    </xf>
    <xf numFmtId="176" fontId="3" fillId="41" borderId="16" xfId="0" applyNumberFormat="1" applyFont="1" applyFill="1" applyBorder="1" applyAlignment="1">
      <alignment horizontal="center" vertical="center"/>
    </xf>
    <xf numFmtId="176" fontId="3" fillId="41" borderId="20" xfId="0" applyNumberFormat="1" applyFont="1" applyFill="1" applyBorder="1" applyAlignment="1">
      <alignment horizontal="center" vertical="center"/>
    </xf>
    <xf numFmtId="176" fontId="3" fillId="41" borderId="23" xfId="0" applyNumberFormat="1" applyFont="1" applyFill="1" applyBorder="1" applyAlignment="1">
      <alignment horizontal="center" vertical="center"/>
    </xf>
    <xf numFmtId="176" fontId="3" fillId="41" borderId="37" xfId="0" applyNumberFormat="1" applyFont="1" applyFill="1" applyBorder="1" applyAlignment="1">
      <alignment horizontal="center" vertical="center"/>
    </xf>
    <xf numFmtId="9" fontId="7" fillId="41" borderId="18" xfId="2" applyFont="1" applyFill="1" applyBorder="1" applyAlignment="1">
      <alignment horizontal="center" vertical="center"/>
    </xf>
    <xf numFmtId="9" fontId="7" fillId="41" borderId="19" xfId="2" applyFont="1" applyFill="1" applyBorder="1" applyAlignment="1">
      <alignment horizontal="center" vertical="center"/>
    </xf>
    <xf numFmtId="177" fontId="0" fillId="0" borderId="16" xfId="0" applyNumberFormat="1" applyFont="1" applyFill="1" applyBorder="1" applyAlignment="1">
      <alignment horizontal="center" vertical="center" wrapText="1"/>
    </xf>
    <xf numFmtId="177" fontId="0" fillId="0" borderId="20" xfId="0" applyNumberFormat="1" applyFont="1" applyFill="1" applyBorder="1" applyAlignment="1">
      <alignment horizontal="center" vertical="center" wrapText="1"/>
    </xf>
    <xf numFmtId="177" fontId="3" fillId="41" borderId="16" xfId="0" applyNumberFormat="1" applyFont="1" applyFill="1" applyBorder="1" applyAlignment="1">
      <alignment horizontal="center" vertical="center"/>
    </xf>
    <xf numFmtId="177" fontId="3" fillId="41" borderId="20" xfId="0" applyNumberFormat="1" applyFont="1" applyFill="1" applyBorder="1" applyAlignment="1">
      <alignment horizontal="center" vertical="center"/>
    </xf>
    <xf numFmtId="177" fontId="0" fillId="0" borderId="16" xfId="0" applyNumberFormat="1" applyFont="1" applyFill="1" applyBorder="1" applyAlignment="1">
      <alignment horizontal="center" vertical="center"/>
    </xf>
    <xf numFmtId="177" fontId="0" fillId="0" borderId="20" xfId="0" applyNumberFormat="1" applyFont="1" applyFill="1" applyBorder="1" applyAlignment="1">
      <alignment horizontal="center" vertical="center"/>
    </xf>
    <xf numFmtId="177" fontId="0" fillId="0" borderId="41" xfId="0" applyNumberFormat="1" applyFont="1" applyFill="1" applyBorder="1" applyAlignment="1">
      <alignment horizontal="center" vertical="center"/>
    </xf>
    <xf numFmtId="177" fontId="0" fillId="0" borderId="23" xfId="0" applyNumberFormat="1" applyFont="1" applyFill="1" applyBorder="1" applyAlignment="1">
      <alignment horizontal="center" vertical="center"/>
    </xf>
    <xf numFmtId="177" fontId="0" fillId="0" borderId="37" xfId="0" applyNumberFormat="1" applyFont="1" applyFill="1" applyBorder="1" applyAlignment="1">
      <alignment horizontal="center" vertical="center"/>
    </xf>
    <xf numFmtId="177" fontId="0" fillId="0" borderId="39" xfId="0" applyNumberFormat="1" applyFont="1" applyFill="1" applyBorder="1" applyAlignment="1">
      <alignment horizontal="center" vertical="center"/>
    </xf>
    <xf numFmtId="177" fontId="3" fillId="41" borderId="23" xfId="0" applyNumberFormat="1" applyFont="1" applyFill="1" applyBorder="1" applyAlignment="1">
      <alignment horizontal="center" vertical="center"/>
    </xf>
    <xf numFmtId="177" fontId="3" fillId="41" borderId="37" xfId="0" applyNumberFormat="1" applyFont="1" applyFill="1" applyBorder="1" applyAlignment="1">
      <alignment horizontal="center" vertical="center"/>
    </xf>
    <xf numFmtId="177" fontId="0" fillId="0" borderId="16" xfId="0" applyNumberFormat="1" applyFont="1" applyFill="1" applyBorder="1" applyAlignment="1">
      <alignment horizontal="right" vertical="center"/>
    </xf>
    <xf numFmtId="177" fontId="0" fillId="0" borderId="20" xfId="0" applyNumberFormat="1" applyFont="1" applyFill="1" applyBorder="1" applyAlignment="1">
      <alignment horizontal="right" vertical="center"/>
    </xf>
    <xf numFmtId="177" fontId="0" fillId="0" borderId="23" xfId="0" applyNumberFormat="1" applyFont="1" applyFill="1" applyBorder="1" applyAlignment="1">
      <alignment horizontal="right" vertical="center"/>
    </xf>
    <xf numFmtId="177" fontId="0" fillId="0" borderId="37" xfId="0" applyNumberFormat="1" applyFont="1" applyFill="1" applyBorder="1" applyAlignment="1">
      <alignment horizontal="right" vertical="center"/>
    </xf>
    <xf numFmtId="177" fontId="0" fillId="41" borderId="16" xfId="0" applyNumberFormat="1" applyFont="1" applyFill="1" applyBorder="1" applyAlignment="1">
      <alignment horizontal="right" vertical="center"/>
    </xf>
    <xf numFmtId="177" fontId="0" fillId="41" borderId="20" xfId="0" applyNumberFormat="1" applyFont="1" applyFill="1" applyBorder="1" applyAlignment="1">
      <alignment horizontal="right" vertical="center"/>
    </xf>
    <xf numFmtId="177" fontId="0" fillId="41" borderId="23" xfId="0" applyNumberFormat="1" applyFont="1" applyFill="1" applyBorder="1" applyAlignment="1">
      <alignment horizontal="right" vertical="center"/>
    </xf>
    <xf numFmtId="177" fontId="0" fillId="41" borderId="37" xfId="0" applyNumberFormat="1" applyFont="1" applyFill="1" applyBorder="1" applyAlignment="1">
      <alignment horizontal="right" vertical="center"/>
    </xf>
    <xf numFmtId="177" fontId="0" fillId="0" borderId="18" xfId="0" applyNumberFormat="1" applyFont="1" applyFill="1" applyBorder="1" applyAlignment="1">
      <alignment horizontal="right" vertical="center"/>
    </xf>
    <xf numFmtId="177" fontId="0" fillId="0" borderId="19" xfId="0" applyNumberFormat="1" applyFont="1" applyFill="1" applyBorder="1" applyAlignment="1">
      <alignment horizontal="right" vertical="center"/>
    </xf>
    <xf numFmtId="177" fontId="0" fillId="0" borderId="43" xfId="0" applyNumberFormat="1" applyFont="1" applyFill="1" applyBorder="1" applyAlignment="1">
      <alignment horizontal="right" vertical="center"/>
    </xf>
    <xf numFmtId="177" fontId="0" fillId="0" borderId="44" xfId="0" applyNumberFormat="1" applyFont="1" applyFill="1" applyBorder="1" applyAlignment="1">
      <alignment horizontal="right" vertical="center"/>
    </xf>
    <xf numFmtId="177" fontId="0" fillId="41" borderId="18" xfId="0" applyNumberFormat="1" applyFont="1" applyFill="1" applyBorder="1" applyAlignment="1">
      <alignment horizontal="right" vertical="center"/>
    </xf>
    <xf numFmtId="177" fontId="0" fillId="41" borderId="19" xfId="0" applyNumberFormat="1" applyFont="1" applyFill="1" applyBorder="1" applyAlignment="1">
      <alignment horizontal="right" vertical="center"/>
    </xf>
    <xf numFmtId="177" fontId="0" fillId="41" borderId="43" xfId="0" applyNumberFormat="1" applyFont="1" applyFill="1" applyBorder="1" applyAlignment="1">
      <alignment horizontal="right" vertical="center"/>
    </xf>
    <xf numFmtId="177" fontId="0" fillId="41" borderId="44" xfId="0" applyNumberFormat="1" applyFont="1" applyFill="1" applyBorder="1" applyAlignment="1">
      <alignment horizontal="right" vertical="center"/>
    </xf>
    <xf numFmtId="177" fontId="0" fillId="0" borderId="39" xfId="0" applyNumberFormat="1" applyFont="1" applyFill="1" applyBorder="1" applyAlignment="1">
      <alignment horizontal="right" vertical="center"/>
    </xf>
    <xf numFmtId="177" fontId="0" fillId="0" borderId="45" xfId="0" applyNumberFormat="1" applyFont="1" applyFill="1" applyBorder="1" applyAlignment="1">
      <alignment horizontal="right" vertical="center"/>
    </xf>
    <xf numFmtId="177" fontId="0" fillId="0" borderId="41" xfId="0" applyNumberFormat="1" applyFont="1" applyFill="1" applyBorder="1" applyAlignment="1">
      <alignment horizontal="right" vertical="center"/>
    </xf>
    <xf numFmtId="177" fontId="0" fillId="0" borderId="40" xfId="0" applyNumberFormat="1" applyFont="1" applyFill="1" applyBorder="1" applyAlignment="1">
      <alignment horizontal="right" vertical="center"/>
    </xf>
    <xf numFmtId="178" fontId="0" fillId="0" borderId="16" xfId="0" applyNumberFormat="1" applyFont="1" applyFill="1" applyBorder="1" applyAlignment="1">
      <alignment horizontal="center" vertical="center"/>
    </xf>
    <xf numFmtId="178" fontId="0" fillId="0" borderId="20" xfId="0" applyNumberFormat="1" applyFont="1" applyFill="1" applyBorder="1" applyAlignment="1">
      <alignment horizontal="center" vertical="center"/>
    </xf>
    <xf numFmtId="178" fontId="3" fillId="41" borderId="16" xfId="0" applyNumberFormat="1" applyFont="1" applyFill="1" applyBorder="1" applyAlignment="1">
      <alignment horizontal="center" vertical="center"/>
    </xf>
    <xf numFmtId="178" fontId="3" fillId="41" borderId="20" xfId="0" applyNumberFormat="1" applyFont="1" applyFill="1" applyBorder="1" applyAlignment="1">
      <alignment horizontal="center" vertical="center"/>
    </xf>
    <xf numFmtId="178" fontId="0" fillId="0" borderId="41" xfId="0" applyNumberFormat="1" applyFont="1" applyFill="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3" borderId="6" xfId="0" applyFill="1" applyBorder="1" applyAlignment="1">
      <alignment horizontal="center" vertical="center"/>
    </xf>
    <xf numFmtId="169" fontId="0" fillId="2" borderId="4" xfId="0" applyNumberFormat="1" applyFill="1" applyBorder="1" applyAlignment="1">
      <alignment horizont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1" xfId="0" applyFill="1" applyBorder="1" applyAlignment="1">
      <alignment horizontal="center" vertical="center"/>
    </xf>
    <xf numFmtId="0" fontId="7" fillId="2" borderId="1" xfId="0" applyFont="1" applyFill="1" applyBorder="1" applyAlignment="1">
      <alignment horizontal="center" vertical="center" wrapText="1"/>
    </xf>
    <xf numFmtId="0" fontId="0" fillId="0" borderId="21" xfId="0" applyBorder="1" applyAlignment="1">
      <alignment horizontal="center" wrapText="1"/>
    </xf>
    <xf numFmtId="0" fontId="7" fillId="0" borderId="42" xfId="0" applyFont="1" applyBorder="1" applyAlignment="1">
      <alignment horizontal="left"/>
    </xf>
    <xf numFmtId="0" fontId="0" fillId="2" borderId="2" xfId="0"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0" fillId="0" borderId="5" xfId="0" applyFill="1" applyBorder="1" applyAlignment="1">
      <alignment horizontal="center" vertical="center" wrapText="1"/>
    </xf>
    <xf numFmtId="0" fontId="0" fillId="0" borderId="6" xfId="0" applyFill="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35" fillId="3" borderId="47" xfId="0" applyFont="1" applyFill="1" applyBorder="1" applyAlignment="1">
      <alignment horizontal="center" vertical="center" wrapText="1"/>
    </xf>
    <xf numFmtId="0" fontId="35" fillId="3" borderId="4" xfId="0" applyFont="1" applyFill="1" applyBorder="1" applyAlignment="1">
      <alignment horizontal="center" vertical="center" wrapText="1"/>
    </xf>
    <xf numFmtId="0" fontId="2" fillId="2" borderId="26" xfId="0" applyFont="1" applyFill="1" applyBorder="1" applyAlignment="1">
      <alignment horizontal="center" vertical="center" wrapText="1"/>
    </xf>
    <xf numFmtId="0" fontId="2" fillId="2" borderId="48" xfId="0" applyFont="1" applyFill="1" applyBorder="1" applyAlignment="1">
      <alignment horizontal="center" vertical="center" wrapText="1"/>
    </xf>
    <xf numFmtId="0" fontId="2" fillId="2" borderId="49"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0" fillId="0" borderId="0" xfId="0" applyAlignment="1">
      <alignment horizontal="left"/>
    </xf>
    <xf numFmtId="9" fontId="40" fillId="0" borderId="18" xfId="2" applyFont="1" applyFill="1" applyBorder="1" applyAlignment="1">
      <alignment horizontal="center" vertical="center"/>
    </xf>
    <xf numFmtId="9" fontId="40" fillId="0" borderId="19" xfId="2" applyFont="1" applyFill="1" applyBorder="1" applyAlignment="1">
      <alignment horizontal="center" vertical="center"/>
    </xf>
    <xf numFmtId="177" fontId="32" fillId="0" borderId="23" xfId="0" applyNumberFormat="1" applyFont="1" applyFill="1" applyBorder="1" applyAlignment="1">
      <alignment horizontal="center" vertical="center"/>
    </xf>
    <xf numFmtId="177" fontId="32" fillId="0" borderId="37" xfId="0" applyNumberFormat="1" applyFont="1" applyFill="1" applyBorder="1" applyAlignment="1">
      <alignment horizontal="center" vertical="center"/>
    </xf>
    <xf numFmtId="0" fontId="2" fillId="3" borderId="46" xfId="0" applyFont="1" applyFill="1" applyBorder="1" applyAlignment="1">
      <alignment horizontal="center" vertical="center" wrapText="1"/>
    </xf>
    <xf numFmtId="0" fontId="2" fillId="3" borderId="26" xfId="0" applyFont="1" applyFill="1" applyBorder="1" applyAlignment="1">
      <alignment horizontal="center" vertical="center" wrapText="1"/>
    </xf>
    <xf numFmtId="0" fontId="2" fillId="0" borderId="50" xfId="0" applyFont="1" applyFill="1" applyBorder="1" applyAlignment="1">
      <alignment horizontal="center" vertical="center"/>
    </xf>
    <xf numFmtId="0" fontId="2" fillId="0" borderId="51" xfId="0" applyFont="1" applyFill="1" applyBorder="1" applyAlignment="1">
      <alignment horizontal="center" vertical="center"/>
    </xf>
    <xf numFmtId="177" fontId="32" fillId="0" borderId="16" xfId="0" applyNumberFormat="1" applyFont="1" applyFill="1" applyBorder="1" applyAlignment="1">
      <alignment horizontal="center" vertical="center"/>
    </xf>
    <xf numFmtId="177" fontId="32" fillId="0" borderId="20" xfId="0" applyNumberFormat="1" applyFont="1" applyFill="1" applyBorder="1" applyAlignment="1">
      <alignment horizontal="center" vertical="center"/>
    </xf>
    <xf numFmtId="176" fontId="32" fillId="0" borderId="23" xfId="0" applyNumberFormat="1" applyFont="1" applyFill="1" applyBorder="1" applyAlignment="1">
      <alignment horizontal="center" vertical="center"/>
    </xf>
    <xf numFmtId="176" fontId="32" fillId="0" borderId="37" xfId="0" applyNumberFormat="1" applyFont="1" applyFill="1" applyBorder="1" applyAlignment="1">
      <alignment horizontal="center" vertical="center"/>
    </xf>
    <xf numFmtId="0" fontId="0" fillId="0" borderId="46" xfId="0" applyBorder="1" applyAlignment="1">
      <alignment horizontal="center" vertical="center" wrapText="1"/>
    </xf>
    <xf numFmtId="0" fontId="0" fillId="0" borderId="28" xfId="0" applyBorder="1" applyAlignment="1">
      <alignment horizontal="center" vertical="center" wrapText="1"/>
    </xf>
    <xf numFmtId="168" fontId="32" fillId="0" borderId="5" xfId="0" applyNumberFormat="1" applyFont="1" applyFill="1" applyBorder="1" applyAlignment="1">
      <alignment horizontal="center"/>
    </xf>
    <xf numFmtId="168" fontId="32" fillId="0" borderId="38" xfId="0" applyNumberFormat="1" applyFont="1" applyFill="1" applyBorder="1" applyAlignment="1">
      <alignment horizontal="center"/>
    </xf>
    <xf numFmtId="174" fontId="32" fillId="0" borderId="5" xfId="0" applyNumberFormat="1" applyFont="1" applyFill="1" applyBorder="1" applyAlignment="1">
      <alignment horizontal="center" vertical="center"/>
    </xf>
    <xf numFmtId="174" fontId="32" fillId="0" borderId="6" xfId="0" applyNumberFormat="1" applyFont="1" applyFill="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wrapText="1"/>
    </xf>
  </cellXfs>
  <cellStyles count="57">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3" builtinId="3"/>
    <cellStyle name="Comma 2" xfId="46"/>
    <cellStyle name="Comma 2 2" xfId="47"/>
    <cellStyle name="Comma 2 3" xfId="48"/>
    <cellStyle name="Comma 3" xfId="55"/>
    <cellStyle name="Currency" xfId="1" builtinId="4"/>
    <cellStyle name="Currency 2" xfId="49"/>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rmal 2" xfId="45"/>
    <cellStyle name="Normal 2 2" xfId="50"/>
    <cellStyle name="Normal 2 2 2" xfId="56"/>
    <cellStyle name="Normal 2 3" xfId="51"/>
    <cellStyle name="Normal 3" xfId="53"/>
    <cellStyle name="Normal 4" xfId="54"/>
    <cellStyle name="Note" xfId="18" builtinId="10" customBuiltin="1"/>
    <cellStyle name="Output" xfId="13" builtinId="21" customBuiltin="1"/>
    <cellStyle name="Percent" xfId="2" builtinId="5"/>
    <cellStyle name="Percent 2" xfId="52"/>
    <cellStyle name="Title" xfId="4" builtinId="15" customBuiltin="1"/>
    <cellStyle name="Total" xfId="20" builtinId="25" customBuiltin="1"/>
    <cellStyle name="Warning Text" xfId="17" builtinId="11" customBuiltin="1"/>
  </cellStyles>
  <dxfs count="0"/>
  <tableStyles count="0" defaultTableStyle="TableStyleMedium2" defaultPivotStyle="PivotStyleMedium9"/>
  <colors>
    <mruColors>
      <color rgb="FF0000FF"/>
      <color rgb="FFFF7C80"/>
      <color rgb="FFFFFF99"/>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Custom Case: Budget Allocation</a:t>
            </a:r>
          </a:p>
        </c:rich>
      </c:tx>
      <c:layout>
        <c:manualLayout>
          <c:xMode val="edge"/>
          <c:yMode val="edge"/>
          <c:x val="0.32243797131098795"/>
          <c:y val="8.914972936386184E-3"/>
        </c:manualLayout>
      </c:layout>
      <c:overlay val="0"/>
    </c:title>
    <c:autoTitleDeleted val="0"/>
    <c:plotArea>
      <c:layout>
        <c:manualLayout>
          <c:layoutTarget val="inner"/>
          <c:xMode val="edge"/>
          <c:yMode val="edge"/>
          <c:x val="0.23767633275447819"/>
          <c:y val="0.11643910315575953"/>
          <c:w val="0.68183822188389598"/>
          <c:h val="0.76488626421697292"/>
        </c:manualLayout>
      </c:layout>
      <c:barChart>
        <c:barDir val="bar"/>
        <c:grouping val="clustered"/>
        <c:varyColors val="0"/>
        <c:ser>
          <c:idx val="0"/>
          <c:order val="0"/>
          <c:tx>
            <c:strRef>
              <c:f>'Custom Case'!$B$3</c:f>
              <c:strCache>
                <c:ptCount val="1"/>
                <c:pt idx="0">
                  <c:v>Current</c:v>
                </c:pt>
              </c:strCache>
            </c:strRef>
          </c:tx>
          <c:spPr>
            <a:solidFill>
              <a:srgbClr val="FFFF99"/>
            </a:solidFill>
            <a:ln>
              <a:solidFill>
                <a:schemeClr val="tx1"/>
              </a:solidFill>
            </a:ln>
          </c:spPr>
          <c:invertIfNegative val="0"/>
          <c:dLbls>
            <c:dLbl>
              <c:idx val="4"/>
              <c:layout>
                <c:manualLayout>
                  <c:x val="-8.0667626138877652E-2"/>
                  <c:y val="2.1218042975024242E-7"/>
                </c:manualLayout>
              </c:layout>
              <c:dLblPos val="outEnd"/>
              <c:showLegendKey val="0"/>
              <c:showVal val="1"/>
              <c:showCatName val="0"/>
              <c:showSerName val="0"/>
              <c:showPercent val="0"/>
              <c:showBubbleSize val="0"/>
            </c:dLbl>
            <c:dLbl>
              <c:idx val="5"/>
              <c:layout>
                <c:manualLayout>
                  <c:x val="-7.0263498029513677E-2"/>
                  <c:y val="2.1218042975024242E-7"/>
                </c:manualLayout>
              </c:layout>
              <c:dLblPos val="outEnd"/>
              <c:showLegendKey val="0"/>
              <c:showVal val="1"/>
              <c:showCatName val="0"/>
              <c:showSerName val="0"/>
              <c:showPercent val="0"/>
              <c:showBubbleSize val="0"/>
            </c:dLbl>
            <c:dLbl>
              <c:idx val="7"/>
              <c:layout>
                <c:manualLayout>
                  <c:x val="-7.6675111608027854E-2"/>
                  <c:y val="4.2436085950048484E-7"/>
                </c:manualLayout>
              </c:layout>
              <c:dLblPos val="outEnd"/>
              <c:showLegendKey val="0"/>
              <c:showVal val="1"/>
              <c:showCatName val="0"/>
              <c:showSerName val="0"/>
              <c:showPercent val="0"/>
              <c:showBubbleSize val="0"/>
            </c:dLbl>
            <c:numFmt formatCode="&quot;$&quot;#,##0.0" sourceLinked="0"/>
            <c:dLblPos val="ctr"/>
            <c:showLegendKey val="0"/>
            <c:showVal val="1"/>
            <c:showCatName val="0"/>
            <c:showSerName val="0"/>
            <c:showPercent val="0"/>
            <c:showBubbleSize val="0"/>
            <c:showLeaderLines val="0"/>
          </c:dLbls>
          <c:errBars>
            <c:errBarType val="both"/>
            <c:errValType val="cust"/>
            <c:noEndCap val="0"/>
            <c:plus>
              <c:numRef>
                <c:f>'Custom Case'!$P$4:$P$11</c:f>
                <c:numCache>
                  <c:formatCode>General</c:formatCode>
                  <c:ptCount val="8"/>
                  <c:pt idx="0">
                    <c:v>1198299.7999999998</c:v>
                  </c:pt>
                  <c:pt idx="1">
                    <c:v>3122087</c:v>
                  </c:pt>
                  <c:pt idx="2">
                    <c:v>13857696</c:v>
                  </c:pt>
                  <c:pt idx="3">
                    <c:v>781898.40000000037</c:v>
                  </c:pt>
                  <c:pt idx="4">
                    <c:v>380471.60000000056</c:v>
                  </c:pt>
                  <c:pt idx="5">
                    <c:v>1464055</c:v>
                  </c:pt>
                  <c:pt idx="6">
                    <c:v>1604695</c:v>
                  </c:pt>
                  <c:pt idx="7">
                    <c:v>1813528.5509214355</c:v>
                  </c:pt>
                </c:numCache>
              </c:numRef>
            </c:plus>
            <c:minus>
              <c:numRef>
                <c:f>'Custom Case'!$O$4:$O$11</c:f>
                <c:numCache>
                  <c:formatCode>General</c:formatCode>
                  <c:ptCount val="8"/>
                  <c:pt idx="0">
                    <c:v>1198299.7999999998</c:v>
                  </c:pt>
                  <c:pt idx="1">
                    <c:v>3122087</c:v>
                  </c:pt>
                  <c:pt idx="2">
                    <c:v>0</c:v>
                  </c:pt>
                  <c:pt idx="3">
                    <c:v>1563796.7999999998</c:v>
                  </c:pt>
                  <c:pt idx="4">
                    <c:v>380471.60000000009</c:v>
                  </c:pt>
                  <c:pt idx="5">
                    <c:v>0</c:v>
                  </c:pt>
                  <c:pt idx="6">
                    <c:v>2895305</c:v>
                  </c:pt>
                  <c:pt idx="7">
                    <c:v>0</c:v>
                  </c:pt>
                </c:numCache>
              </c:numRef>
            </c:minus>
            <c:spPr>
              <a:ln w="12700"/>
            </c:spPr>
          </c:errBars>
          <c:cat>
            <c:strRef>
              <c:f>'Custom Case'!$A$4:$A$11</c:f>
              <c:strCache>
                <c:ptCount val="8"/>
                <c:pt idx="0">
                  <c:v>Samples - JAN</c:v>
                </c:pt>
                <c:pt idx="1">
                  <c:v>Samples - JMT</c:v>
                </c:pt>
                <c:pt idx="2">
                  <c:v>HCC Media</c:v>
                </c:pt>
                <c:pt idx="3">
                  <c:v>MCM</c:v>
                </c:pt>
                <c:pt idx="4">
                  <c:v>Vouchers</c:v>
                </c:pt>
                <c:pt idx="5">
                  <c:v>Phar. Acquisition</c:v>
                </c:pt>
                <c:pt idx="6">
                  <c:v>Adherence</c:v>
                </c:pt>
                <c:pt idx="7">
                  <c:v>MMF</c:v>
                </c:pt>
              </c:strCache>
            </c:strRef>
          </c:cat>
          <c:val>
            <c:numRef>
              <c:f>'Custom Case'!$B$4:$B$11</c:f>
              <c:numCache>
                <c:formatCode>"$"0.0,,</c:formatCode>
                <c:ptCount val="8"/>
                <c:pt idx="0">
                  <c:v>5991499</c:v>
                </c:pt>
                <c:pt idx="1">
                  <c:v>15610435</c:v>
                </c:pt>
                <c:pt idx="2">
                  <c:v>22954000</c:v>
                </c:pt>
                <c:pt idx="3">
                  <c:v>7818984</c:v>
                </c:pt>
                <c:pt idx="4">
                  <c:v>3804716</c:v>
                </c:pt>
                <c:pt idx="5">
                  <c:v>3535945</c:v>
                </c:pt>
                <c:pt idx="6">
                  <c:v>14895305</c:v>
                </c:pt>
                <c:pt idx="7">
                  <c:v>4440000</c:v>
                </c:pt>
              </c:numCache>
            </c:numRef>
          </c:val>
        </c:ser>
        <c:ser>
          <c:idx val="3"/>
          <c:order val="1"/>
          <c:tx>
            <c:strRef>
              <c:f>'Custom Case'!$E$3</c:f>
              <c:strCache>
                <c:ptCount val="1"/>
                <c:pt idx="0">
                  <c:v>Optimal</c:v>
                </c:pt>
              </c:strCache>
            </c:strRef>
          </c:tx>
          <c:spPr>
            <a:solidFill>
              <a:schemeClr val="accent3">
                <a:lumMod val="50000"/>
              </a:schemeClr>
            </a:solidFill>
            <a:ln>
              <a:solidFill>
                <a:schemeClr val="tx1"/>
              </a:solidFill>
            </a:ln>
          </c:spPr>
          <c:invertIfNegative val="0"/>
          <c:dLbls>
            <c:numFmt formatCode="&quot;$&quot;#,##0.0" sourceLinked="0"/>
            <c:txPr>
              <a:bodyPr/>
              <a:lstStyle/>
              <a:p>
                <a:pPr>
                  <a:defRPr>
                    <a:solidFill>
                      <a:schemeClr val="bg1"/>
                    </a:solidFill>
                  </a:defRPr>
                </a:pPr>
                <a:endParaRPr lang="en-US"/>
              </a:p>
            </c:txPr>
            <c:dLblPos val="ctr"/>
            <c:showLegendKey val="0"/>
            <c:showVal val="1"/>
            <c:showCatName val="0"/>
            <c:showSerName val="0"/>
            <c:showPercent val="0"/>
            <c:showBubbleSize val="0"/>
            <c:showLeaderLines val="0"/>
          </c:dLbls>
          <c:cat>
            <c:strRef>
              <c:f>'Custom Case'!$A$4:$A$11</c:f>
              <c:strCache>
                <c:ptCount val="8"/>
                <c:pt idx="0">
                  <c:v>Samples - JAN</c:v>
                </c:pt>
                <c:pt idx="1">
                  <c:v>Samples - JMT</c:v>
                </c:pt>
                <c:pt idx="2">
                  <c:v>HCC Media</c:v>
                </c:pt>
                <c:pt idx="3">
                  <c:v>MCM</c:v>
                </c:pt>
                <c:pt idx="4">
                  <c:v>Vouchers</c:v>
                </c:pt>
                <c:pt idx="5">
                  <c:v>Phar. Acquisition</c:v>
                </c:pt>
                <c:pt idx="6">
                  <c:v>Adherence</c:v>
                </c:pt>
                <c:pt idx="7">
                  <c:v>MMF</c:v>
                </c:pt>
              </c:strCache>
            </c:strRef>
          </c:cat>
          <c:val>
            <c:numRef>
              <c:f>'Custom Case'!$E$4:$E$11</c:f>
              <c:numCache>
                <c:formatCode>"$"0.0,,</c:formatCode>
                <c:ptCount val="8"/>
                <c:pt idx="0">
                  <c:v>7189798.7999999998</c:v>
                </c:pt>
                <c:pt idx="1">
                  <c:v>18732522</c:v>
                </c:pt>
                <c:pt idx="2">
                  <c:v>33364081.59999875</c:v>
                </c:pt>
                <c:pt idx="3">
                  <c:v>6255187.2000000002</c:v>
                </c:pt>
                <c:pt idx="4">
                  <c:v>3424244.4</c:v>
                </c:pt>
                <c:pt idx="5">
                  <c:v>3535945</c:v>
                </c:pt>
                <c:pt idx="6">
                  <c:v>12000000</c:v>
                </c:pt>
                <c:pt idx="7">
                  <c:v>4440000</c:v>
                </c:pt>
              </c:numCache>
            </c:numRef>
          </c:val>
        </c:ser>
        <c:dLbls>
          <c:dLblPos val="outEnd"/>
          <c:showLegendKey val="0"/>
          <c:showVal val="1"/>
          <c:showCatName val="0"/>
          <c:showSerName val="0"/>
          <c:showPercent val="0"/>
          <c:showBubbleSize val="0"/>
        </c:dLbls>
        <c:gapWidth val="50"/>
        <c:axId val="45258624"/>
        <c:axId val="45268352"/>
      </c:barChart>
      <c:catAx>
        <c:axId val="45258624"/>
        <c:scaling>
          <c:orientation val="maxMin"/>
        </c:scaling>
        <c:delete val="0"/>
        <c:axPos val="l"/>
        <c:majorTickMark val="out"/>
        <c:minorTickMark val="none"/>
        <c:tickLblPos val="nextTo"/>
        <c:txPr>
          <a:bodyPr/>
          <a:lstStyle/>
          <a:p>
            <a:pPr>
              <a:defRPr sz="1200"/>
            </a:pPr>
            <a:endParaRPr lang="en-US"/>
          </a:p>
        </c:txPr>
        <c:crossAx val="45268352"/>
        <c:crosses val="autoZero"/>
        <c:auto val="1"/>
        <c:lblAlgn val="ctr"/>
        <c:lblOffset val="100"/>
        <c:noMultiLvlLbl val="0"/>
      </c:catAx>
      <c:valAx>
        <c:axId val="45268352"/>
        <c:scaling>
          <c:orientation val="minMax"/>
          <c:max val="40000000"/>
          <c:min val="0"/>
        </c:scaling>
        <c:delete val="0"/>
        <c:axPos val="t"/>
        <c:majorGridlines/>
        <c:title>
          <c:tx>
            <c:rich>
              <a:bodyPr/>
              <a:lstStyle/>
              <a:p>
                <a:pPr>
                  <a:defRPr sz="1200"/>
                </a:pPr>
                <a:r>
                  <a:rPr lang="en-US" sz="1200"/>
                  <a:t>Budget Allocation (MM $)</a:t>
                </a:r>
              </a:p>
            </c:rich>
          </c:tx>
          <c:layout>
            <c:manualLayout>
              <c:xMode val="edge"/>
              <c:yMode val="edge"/>
              <c:x val="0.43331053595641933"/>
              <c:y val="0.94465252271921951"/>
            </c:manualLayout>
          </c:layout>
          <c:overlay val="0"/>
        </c:title>
        <c:numFmt formatCode="&quot;$&quot;#,##0" sourceLinked="0"/>
        <c:majorTickMark val="none"/>
        <c:minorTickMark val="none"/>
        <c:tickLblPos val="high"/>
        <c:crossAx val="45258624"/>
        <c:crosses val="autoZero"/>
        <c:crossBetween val="between"/>
        <c:majorUnit val="5000000"/>
        <c:dispUnits>
          <c:builtInUnit val="millions"/>
        </c:dispUnits>
      </c:valAx>
      <c:spPr>
        <a:ln>
          <a:solidFill>
            <a:schemeClr val="tx1"/>
          </a:solidFill>
        </a:ln>
      </c:spPr>
    </c:plotArea>
    <c:legend>
      <c:legendPos val="t"/>
      <c:layout>
        <c:manualLayout>
          <c:xMode val="edge"/>
          <c:yMode val="edge"/>
          <c:x val="0.6088628271919182"/>
          <c:y val="6.3123253489837619E-2"/>
          <c:w val="0.31074133104963086"/>
          <c:h val="5.5250723004814366E-2"/>
        </c:manualLayout>
      </c:layout>
      <c:overlay val="0"/>
      <c:txPr>
        <a:bodyPr/>
        <a:lstStyle/>
        <a:p>
          <a:pPr>
            <a:defRPr sz="1200"/>
          </a:pPr>
          <a:endParaRPr lang="en-US"/>
        </a:p>
      </c:txPr>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Januvia Family: Estimated </a:t>
            </a:r>
            <a:r>
              <a:rPr lang="en-US" sz="1200">
                <a:solidFill>
                  <a:srgbClr val="0000FF"/>
                </a:solidFill>
              </a:rPr>
              <a:t>Incr. TRx</a:t>
            </a:r>
            <a:r>
              <a:rPr lang="en-US" sz="1200"/>
              <a:t> from HCC Adherence</a:t>
            </a:r>
            <a:r>
              <a:rPr lang="en-US" sz="1200" baseline="0"/>
              <a:t> </a:t>
            </a:r>
            <a:r>
              <a:rPr lang="en-US" sz="1200"/>
              <a:t>Spend</a:t>
            </a:r>
          </a:p>
        </c:rich>
      </c:tx>
      <c:overlay val="0"/>
    </c:title>
    <c:autoTitleDeleted val="0"/>
    <c:plotArea>
      <c:layout/>
      <c:scatterChart>
        <c:scatterStyle val="lineMarker"/>
        <c:varyColors val="0"/>
        <c:ser>
          <c:idx val="0"/>
          <c:order val="0"/>
          <c:tx>
            <c:v>Curr</c:v>
          </c:tx>
          <c:spPr>
            <a:ln w="44450">
              <a:solidFill>
                <a:srgbClr val="C00000"/>
              </a:solidFill>
            </a:ln>
          </c:spPr>
          <c:marker>
            <c:symbol val="diamond"/>
            <c:size val="9"/>
            <c:spPr>
              <a:solidFill>
                <a:srgbClr val="C00000"/>
              </a:solidFill>
              <a:ln w="19050">
                <a:solidFill>
                  <a:srgbClr val="C00000"/>
                </a:solidFill>
              </a:ln>
            </c:spPr>
          </c:marker>
          <c:dLbls>
            <c:numFmt formatCode="&quot;$&quot;#,##0.0" sourceLinked="0"/>
            <c:txPr>
              <a:bodyPr/>
              <a:lstStyle/>
              <a:p>
                <a:pPr>
                  <a:defRPr sz="1000"/>
                </a:pPr>
                <a:endParaRPr lang="en-US"/>
              </a:p>
            </c:txPr>
            <c:dLblPos val="r"/>
            <c:showLegendKey val="0"/>
            <c:showVal val="0"/>
            <c:showCatName val="1"/>
            <c:showSerName val="1"/>
            <c:showPercent val="0"/>
            <c:showBubbleSize val="0"/>
            <c:separator>; </c:separator>
            <c:showLeaderLines val="0"/>
          </c:dLbls>
          <c:xVal>
            <c:numRef>
              <c:f>[1]JJHCC_ADH!$G$9</c:f>
              <c:numCache>
                <c:formatCode>General</c:formatCode>
                <c:ptCount val="1"/>
                <c:pt idx="0">
                  <c:v>14895305</c:v>
                </c:pt>
              </c:numCache>
            </c:numRef>
          </c:xVal>
          <c:yVal>
            <c:numRef>
              <c:f>[1]JJHCC_ADH!$I$9</c:f>
              <c:numCache>
                <c:formatCode>General</c:formatCode>
                <c:ptCount val="1"/>
                <c:pt idx="0">
                  <c:v>357940.73004525341</c:v>
                </c:pt>
              </c:numCache>
            </c:numRef>
          </c:yVal>
          <c:smooth val="0"/>
        </c:ser>
        <c:ser>
          <c:idx val="1"/>
          <c:order val="1"/>
          <c:tx>
            <c:strRef>
              <c:f>[1]JJHCC_ADH!$F$2</c:f>
              <c:strCache>
                <c:ptCount val="1"/>
                <c:pt idx="0">
                  <c:v>Incr. TRx</c:v>
                </c:pt>
              </c:strCache>
            </c:strRef>
          </c:tx>
          <c:spPr>
            <a:ln>
              <a:solidFill>
                <a:schemeClr val="tx2">
                  <a:lumMod val="50000"/>
                </a:schemeClr>
              </a:solidFill>
            </a:ln>
          </c:spPr>
          <c:marker>
            <c:symbol val="none"/>
          </c:marker>
          <c:xVal>
            <c:numRef>
              <c:f>[1]JJHCC_ADH!$A$22:$A$42</c:f>
              <c:numCache>
                <c:formatCode>General</c:formatCode>
                <c:ptCount val="21"/>
                <c:pt idx="0">
                  <c:v>0</c:v>
                </c:pt>
                <c:pt idx="1">
                  <c:v>2500000</c:v>
                </c:pt>
                <c:pt idx="2">
                  <c:v>5000000</c:v>
                </c:pt>
                <c:pt idx="3">
                  <c:v>7500000</c:v>
                </c:pt>
                <c:pt idx="4">
                  <c:v>10000000</c:v>
                </c:pt>
                <c:pt idx="5">
                  <c:v>12500000</c:v>
                </c:pt>
                <c:pt idx="6">
                  <c:v>15000000</c:v>
                </c:pt>
                <c:pt idx="7">
                  <c:v>17500000</c:v>
                </c:pt>
                <c:pt idx="8">
                  <c:v>20000000</c:v>
                </c:pt>
                <c:pt idx="9">
                  <c:v>22500000</c:v>
                </c:pt>
                <c:pt idx="10">
                  <c:v>25000000</c:v>
                </c:pt>
                <c:pt idx="11">
                  <c:v>27500000</c:v>
                </c:pt>
                <c:pt idx="12">
                  <c:v>30000000</c:v>
                </c:pt>
                <c:pt idx="13">
                  <c:v>32500000</c:v>
                </c:pt>
                <c:pt idx="14">
                  <c:v>35000000</c:v>
                </c:pt>
                <c:pt idx="15">
                  <c:v>37500000</c:v>
                </c:pt>
                <c:pt idx="16">
                  <c:v>40000000</c:v>
                </c:pt>
                <c:pt idx="17">
                  <c:v>42500000</c:v>
                </c:pt>
                <c:pt idx="18">
                  <c:v>45000000</c:v>
                </c:pt>
                <c:pt idx="19">
                  <c:v>47500000</c:v>
                </c:pt>
                <c:pt idx="20">
                  <c:v>50000000</c:v>
                </c:pt>
              </c:numCache>
            </c:numRef>
          </c:xVal>
          <c:yVal>
            <c:numRef>
              <c:f>[1]JJHCC_ADH!$C$22:$C$42</c:f>
              <c:numCache>
                <c:formatCode>General</c:formatCode>
                <c:ptCount val="21"/>
                <c:pt idx="0">
                  <c:v>-1.862645149230957E-9</c:v>
                </c:pt>
                <c:pt idx="1">
                  <c:v>69613.343456786126</c:v>
                </c:pt>
                <c:pt idx="2">
                  <c:v>135113.29644636251</c:v>
                </c:pt>
                <c:pt idx="3">
                  <c:v>196706.01895291917</c:v>
                </c:pt>
                <c:pt idx="4">
                  <c:v>254591.97913881578</c:v>
                </c:pt>
                <c:pt idx="5">
                  <c:v>308965.47104606405</c:v>
                </c:pt>
                <c:pt idx="6">
                  <c:v>360014.24244978279</c:v>
                </c:pt>
                <c:pt idx="7">
                  <c:v>407919.22098019347</c:v>
                </c:pt>
                <c:pt idx="8">
                  <c:v>452854.32718004286</c:v>
                </c:pt>
                <c:pt idx="9">
                  <c:v>494986.36381567456</c:v>
                </c:pt>
                <c:pt idx="10">
                  <c:v>534474.97147820704</c:v>
                </c:pt>
                <c:pt idx="11">
                  <c:v>571472.64126765914</c:v>
                </c:pt>
                <c:pt idx="12">
                  <c:v>606124.7761241179</c:v>
                </c:pt>
                <c:pt idx="13">
                  <c:v>638569.79313788004</c:v>
                </c:pt>
                <c:pt idx="14">
                  <c:v>668939.25991971605</c:v>
                </c:pt>
                <c:pt idx="15">
                  <c:v>697358.05883310176</c:v>
                </c:pt>
                <c:pt idx="16">
                  <c:v>723944.57357360981</c:v>
                </c:pt>
                <c:pt idx="17">
                  <c:v>748810.89322213084</c:v>
                </c:pt>
                <c:pt idx="18">
                  <c:v>772063.02949445881</c:v>
                </c:pt>
                <c:pt idx="19">
                  <c:v>793801.14345869608</c:v>
                </c:pt>
                <c:pt idx="20">
                  <c:v>814119.77849387564</c:v>
                </c:pt>
              </c:numCache>
            </c:numRef>
          </c:yVal>
          <c:smooth val="0"/>
        </c:ser>
        <c:ser>
          <c:idx val="2"/>
          <c:order val="2"/>
          <c:tx>
            <c:v>Xmin</c:v>
          </c:tx>
          <c:spPr>
            <a:ln>
              <a:solidFill>
                <a:schemeClr val="tx2"/>
              </a:solidFill>
            </a:ln>
          </c:spPr>
          <c:marker>
            <c:symbol val="circle"/>
            <c:size val="7"/>
            <c:spPr>
              <a:solidFill>
                <a:schemeClr val="tx2"/>
              </a:solidFill>
            </c:spPr>
          </c:marker>
          <c:xVal>
            <c:numRef>
              <c:f>[1]JJHCC_ADH!$B$9</c:f>
              <c:numCache>
                <c:formatCode>General</c:formatCode>
                <c:ptCount val="1"/>
                <c:pt idx="0">
                  <c:v>12000000</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[1]JJHCC_ADH!$C$9</c:f>
              <c:numCache>
                <c:formatCode>General</c:formatCode>
                <c:ptCount val="1"/>
                <c:pt idx="0">
                  <c:v>16500000</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dLbl>
              <c:idx val="0"/>
              <c:layout>
                <c:manualLayout>
                  <c:x val="-7.1024591386303982E-3"/>
                  <c:y val="2.1739130434782608E-2"/>
                </c:manualLayout>
              </c:layout>
              <c:showLegendKey val="0"/>
              <c:showVal val="0"/>
              <c:showCatName val="1"/>
              <c:showSerName val="1"/>
              <c:showPercent val="0"/>
              <c:showBubbleSize val="0"/>
              <c:separator>; </c:separator>
            </c:dLbl>
            <c:numFmt formatCode="&quot;$&quot;#,##0.0" sourceLinked="0"/>
            <c:showLegendKey val="0"/>
            <c:showVal val="0"/>
            <c:showCatName val="1"/>
            <c:showSerName val="1"/>
            <c:showPercent val="0"/>
            <c:showBubbleSize val="0"/>
            <c:separator>; </c:separator>
            <c:showLeaderLines val="0"/>
          </c:dLbls>
          <c:xVal>
            <c:numRef>
              <c:f>[1]JJHCC_ADH!$D$9</c:f>
              <c:numCache>
                <c:formatCode>General</c:formatCode>
                <c:ptCount val="1"/>
                <c:pt idx="0">
                  <c:v>12000000</c:v>
                </c:pt>
              </c:numCache>
            </c:numRef>
          </c:xVal>
          <c:yVal>
            <c:numRef>
              <c:f>[1]JJHCC_ADH!$F$9</c:f>
              <c:numCache>
                <c:formatCode>General</c:formatCode>
                <c:ptCount val="1"/>
                <c:pt idx="0">
                  <c:v>298362.66148692742</c:v>
                </c:pt>
              </c:numCache>
            </c:numRef>
          </c:yVal>
          <c:smooth val="0"/>
        </c:ser>
        <c:dLbls>
          <c:showLegendKey val="0"/>
          <c:showVal val="0"/>
          <c:showCatName val="0"/>
          <c:showSerName val="0"/>
          <c:showPercent val="0"/>
          <c:showBubbleSize val="0"/>
        </c:dLbls>
        <c:axId val="320860160"/>
        <c:axId val="320862464"/>
      </c:scatterChart>
      <c:valAx>
        <c:axId val="320860160"/>
        <c:scaling>
          <c:orientation val="minMax"/>
        </c:scaling>
        <c:delete val="0"/>
        <c:axPos val="b"/>
        <c:majorGridlines/>
        <c:title>
          <c:tx>
            <c:rich>
              <a:bodyPr/>
              <a:lstStyle/>
              <a:p>
                <a:pPr>
                  <a:defRPr/>
                </a:pPr>
                <a:r>
                  <a:rPr lang="en-US"/>
                  <a:t>Januvia Family HCC Adherence Spend (in MM $)</a:t>
                </a:r>
              </a:p>
            </c:rich>
          </c:tx>
          <c:overlay val="0"/>
        </c:title>
        <c:numFmt formatCode="&quot;$&quot;#,##0.0" sourceLinked="0"/>
        <c:majorTickMark val="out"/>
        <c:minorTickMark val="none"/>
        <c:tickLblPos val="nextTo"/>
        <c:crossAx val="320862464"/>
        <c:crosses val="autoZero"/>
        <c:crossBetween val="midCat"/>
        <c:dispUnits>
          <c:builtInUnit val="millions"/>
        </c:dispUnits>
      </c:valAx>
      <c:valAx>
        <c:axId val="320862464"/>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overlay val="0"/>
        </c:title>
        <c:numFmt formatCode="#,##0" sourceLinked="0"/>
        <c:majorTickMark val="out"/>
        <c:minorTickMark val="none"/>
        <c:tickLblPos val="nextTo"/>
        <c:crossAx val="320860160"/>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Allocation</a:t>
            </a:r>
            <a:r>
              <a:rPr lang="en-US" sz="1400" baseline="0"/>
              <a:t> Scenarios: </a:t>
            </a:r>
            <a:r>
              <a:rPr lang="en-US" sz="1400"/>
              <a:t>Promotion Budget vs. Incr.</a:t>
            </a:r>
            <a:r>
              <a:rPr lang="en-US" sz="1400" baseline="0"/>
              <a:t> Revenue </a:t>
            </a:r>
            <a:endParaRPr lang="en-US" sz="1400"/>
          </a:p>
        </c:rich>
      </c:tx>
      <c:layout/>
      <c:overlay val="0"/>
    </c:title>
    <c:autoTitleDeleted val="0"/>
    <c:plotArea>
      <c:layout>
        <c:manualLayout>
          <c:layoutTarget val="inner"/>
          <c:xMode val="edge"/>
          <c:yMode val="edge"/>
          <c:x val="0.14911562332332767"/>
          <c:y val="0.10980962410699548"/>
          <c:w val="0.7446689070634126"/>
          <c:h val="0.76864087641218759"/>
        </c:manualLayout>
      </c:layout>
      <c:scatterChart>
        <c:scatterStyle val="lineMarker"/>
        <c:varyColors val="0"/>
        <c:ser>
          <c:idx val="1"/>
          <c:order val="0"/>
          <c:tx>
            <c:v>Standard + or - 20%</c:v>
          </c:tx>
          <c:marker>
            <c:symbol val="circle"/>
            <c:size val="7"/>
          </c:marker>
          <c:dLbls>
            <c:dLbl>
              <c:idx val="0"/>
              <c:layout>
                <c:manualLayout>
                  <c:x val="-0.14381443859572801"/>
                  <c:y val="5.8491821269797337E-2"/>
                </c:manualLayout>
              </c:layout>
              <c:tx>
                <c:rich>
                  <a:bodyPr/>
                  <a:lstStyle/>
                  <a:p>
                    <a:pPr>
                      <a:defRPr sz="1100"/>
                    </a:pPr>
                    <a:r>
                      <a:rPr lang="en-US" sz="1100"/>
                      <a:t>Standard</a:t>
                    </a:r>
                  </a:p>
                  <a:p>
                    <a:pPr>
                      <a:defRPr sz="1100"/>
                    </a:pPr>
                    <a:r>
                      <a:rPr lang="en-US" sz="1100"/>
                      <a:t> + or - 20%</a:t>
                    </a:r>
                    <a:endParaRPr lang="en-US"/>
                  </a:p>
                </c:rich>
              </c:tx>
              <c:spPr>
                <a:solidFill>
                  <a:schemeClr val="bg1"/>
                </a:solidFill>
              </c:spPr>
              <c:showLegendKey val="0"/>
              <c:showVal val="0"/>
              <c:showCatName val="0"/>
              <c:showSerName val="1"/>
              <c:showPercent val="0"/>
              <c:showBubbleSize val="0"/>
            </c:dLbl>
            <c:txPr>
              <a:bodyPr/>
              <a:lstStyle/>
              <a:p>
                <a:pPr>
                  <a:defRPr sz="1100"/>
                </a:pPr>
                <a:endParaRPr lang="en-US"/>
              </a:p>
            </c:txPr>
            <c:showLegendKey val="0"/>
            <c:showVal val="0"/>
            <c:showCatName val="0"/>
            <c:showSerName val="0"/>
            <c:showPercent val="0"/>
            <c:showBubbleSize val="0"/>
          </c:dLbls>
          <c:xVal>
            <c:numRef>
              <c:f>'Charts - Contrib'!$A$5:$A$11</c:f>
              <c:numCache>
                <c:formatCode>"$"#,,</c:formatCode>
                <c:ptCount val="7"/>
                <c:pt idx="0">
                  <c:v>64050884</c:v>
                </c:pt>
                <c:pt idx="1">
                  <c:v>69050884</c:v>
                </c:pt>
                <c:pt idx="2">
                  <c:v>74050884</c:v>
                </c:pt>
                <c:pt idx="3">
                  <c:v>79050884</c:v>
                </c:pt>
                <c:pt idx="4">
                  <c:v>84050884</c:v>
                </c:pt>
                <c:pt idx="5">
                  <c:v>89050884</c:v>
                </c:pt>
                <c:pt idx="6">
                  <c:v>94050884</c:v>
                </c:pt>
              </c:numCache>
            </c:numRef>
          </c:xVal>
          <c:yVal>
            <c:numRef>
              <c:f>'Charts - Contrib'!$B$5:$B$11</c:f>
              <c:numCache>
                <c:formatCode>"$"#,,</c:formatCode>
                <c:ptCount val="7"/>
                <c:pt idx="0">
                  <c:v>702728115.32775736</c:v>
                </c:pt>
                <c:pt idx="1">
                  <c:v>830428101.32387698</c:v>
                </c:pt>
                <c:pt idx="2">
                  <c:v>896394167.65181732</c:v>
                </c:pt>
                <c:pt idx="3">
                  <c:v>930689430.5435524</c:v>
                </c:pt>
                <c:pt idx="4">
                  <c:v>958610537.51406026</c:v>
                </c:pt>
                <c:pt idx="5">
                  <c:v>973974051.09660339</c:v>
                </c:pt>
                <c:pt idx="6">
                  <c:v>982614219.30281579</c:v>
                </c:pt>
              </c:numCache>
            </c:numRef>
          </c:yVal>
          <c:smooth val="0"/>
        </c:ser>
        <c:ser>
          <c:idx val="2"/>
          <c:order val="1"/>
          <c:tx>
            <c:v>Standard + or - 30%</c:v>
          </c:tx>
          <c:marker>
            <c:symbol val="circle"/>
            <c:size val="6"/>
          </c:marker>
          <c:dLbls>
            <c:dLbl>
              <c:idx val="0"/>
              <c:layout>
                <c:manualLayout>
                  <c:x val="-0.13652354229202013"/>
                  <c:y val="5.8961397170404578E-2"/>
                </c:manualLayout>
              </c:layout>
              <c:tx>
                <c:rich>
                  <a:bodyPr/>
                  <a:lstStyle/>
                  <a:p>
                    <a:pPr>
                      <a:defRPr sz="1100"/>
                    </a:pPr>
                    <a:r>
                      <a:rPr lang="en-US" sz="1100"/>
                      <a:t>Standard</a:t>
                    </a:r>
                  </a:p>
                  <a:p>
                    <a:pPr>
                      <a:defRPr sz="1100"/>
                    </a:pPr>
                    <a:r>
                      <a:rPr lang="en-US" sz="1100"/>
                      <a:t> + or - 30%</a:t>
                    </a:r>
                    <a:endParaRPr lang="en-US"/>
                  </a:p>
                </c:rich>
              </c:tx>
              <c:spPr>
                <a:solidFill>
                  <a:schemeClr val="bg1"/>
                </a:solidFill>
              </c:spPr>
              <c:showLegendKey val="0"/>
              <c:showVal val="0"/>
              <c:showCatName val="0"/>
              <c:showSerName val="1"/>
              <c:showPercent val="0"/>
              <c:showBubbleSize val="0"/>
            </c:dLbl>
            <c:txPr>
              <a:bodyPr/>
              <a:lstStyle/>
              <a:p>
                <a:pPr>
                  <a:defRPr sz="1100"/>
                </a:pPr>
                <a:endParaRPr lang="en-US"/>
              </a:p>
            </c:txPr>
            <c:showLegendKey val="0"/>
            <c:showVal val="0"/>
            <c:showCatName val="0"/>
            <c:showSerName val="0"/>
            <c:showPercent val="0"/>
            <c:showBubbleSize val="0"/>
          </c:dLbls>
          <c:xVal>
            <c:numRef>
              <c:f>'Charts - Contrib'!$A$5:$A$11</c:f>
              <c:numCache>
                <c:formatCode>"$"#,,</c:formatCode>
                <c:ptCount val="7"/>
                <c:pt idx="0">
                  <c:v>64050884</c:v>
                </c:pt>
                <c:pt idx="1">
                  <c:v>69050884</c:v>
                </c:pt>
                <c:pt idx="2">
                  <c:v>74050884</c:v>
                </c:pt>
                <c:pt idx="3">
                  <c:v>79050884</c:v>
                </c:pt>
                <c:pt idx="4">
                  <c:v>84050884</c:v>
                </c:pt>
                <c:pt idx="5">
                  <c:v>89050884</c:v>
                </c:pt>
                <c:pt idx="6">
                  <c:v>94050884</c:v>
                </c:pt>
              </c:numCache>
            </c:numRef>
          </c:xVal>
          <c:yVal>
            <c:numRef>
              <c:f>'Charts - Contrib'!$C$5:$C$11</c:f>
              <c:numCache>
                <c:formatCode>"$"#,,</c:formatCode>
                <c:ptCount val="7"/>
                <c:pt idx="0">
                  <c:v>830884595.43743718</c:v>
                </c:pt>
                <c:pt idx="1">
                  <c:v>912105801.09912348</c:v>
                </c:pt>
                <c:pt idx="2">
                  <c:v>948056929.28671288</c:v>
                </c:pt>
                <c:pt idx="3">
                  <c:v>981791829.16346383</c:v>
                </c:pt>
                <c:pt idx="4">
                  <c:v>1011278919.2055202</c:v>
                </c:pt>
                <c:pt idx="5">
                  <c:v>1034572873.8191965</c:v>
                </c:pt>
                <c:pt idx="6">
                  <c:v>1046440666.8196771</c:v>
                </c:pt>
              </c:numCache>
            </c:numRef>
          </c:yVal>
          <c:smooth val="0"/>
        </c:ser>
        <c:ser>
          <c:idx val="0"/>
          <c:order val="2"/>
          <c:tx>
            <c:v>Current</c:v>
          </c:tx>
          <c:marker>
            <c:symbol val="square"/>
            <c:size val="8"/>
            <c:spPr>
              <a:solidFill>
                <a:schemeClr val="accent6">
                  <a:lumMod val="50000"/>
                </a:schemeClr>
              </a:solidFill>
            </c:spPr>
          </c:marker>
          <c:dLbls>
            <c:spPr>
              <a:solidFill>
                <a:schemeClr val="bg1"/>
              </a:solidFill>
            </c:spPr>
            <c:showLegendKey val="0"/>
            <c:showVal val="0"/>
            <c:showCatName val="0"/>
            <c:showSerName val="1"/>
            <c:showPercent val="0"/>
            <c:showBubbleSize val="0"/>
            <c:showLeaderLines val="0"/>
          </c:dLbls>
          <c:xVal>
            <c:numRef>
              <c:f>'Charts - Contrib'!$E$5</c:f>
              <c:numCache>
                <c:formatCode>"$"#.0,,</c:formatCode>
                <c:ptCount val="1"/>
                <c:pt idx="0">
                  <c:v>79050884</c:v>
                </c:pt>
              </c:numCache>
            </c:numRef>
          </c:xVal>
          <c:yVal>
            <c:numRef>
              <c:f>'Charts - Contrib'!$F$5</c:f>
              <c:numCache>
                <c:formatCode>"$"#,,</c:formatCode>
                <c:ptCount val="1"/>
                <c:pt idx="0">
                  <c:v>827170348.29772973</c:v>
                </c:pt>
              </c:numCache>
            </c:numRef>
          </c:yVal>
          <c:smooth val="0"/>
        </c:ser>
        <c:ser>
          <c:idx val="3"/>
          <c:order val="3"/>
          <c:tx>
            <c:v>Custom</c:v>
          </c:tx>
          <c:marker>
            <c:symbol val="circle"/>
            <c:size val="9"/>
            <c:spPr>
              <a:solidFill>
                <a:srgbClr val="00B050"/>
              </a:solidFill>
            </c:spPr>
          </c:marker>
          <c:dLbls>
            <c:dLbl>
              <c:idx val="0"/>
              <c:layout>
                <c:manualLayout>
                  <c:x val="-2.5402582619161555E-2"/>
                  <c:y val="-3.5735357317153119E-2"/>
                </c:manualLayout>
              </c:layout>
              <c:showLegendKey val="0"/>
              <c:showVal val="0"/>
              <c:showCatName val="0"/>
              <c:showSerName val="1"/>
              <c:showPercent val="0"/>
              <c:showBubbleSize val="0"/>
            </c:dLbl>
            <c:spPr>
              <a:solidFill>
                <a:schemeClr val="bg1"/>
              </a:solidFill>
            </c:spPr>
            <c:showLegendKey val="0"/>
            <c:showVal val="0"/>
            <c:showCatName val="0"/>
            <c:showSerName val="1"/>
            <c:showPercent val="0"/>
            <c:showBubbleSize val="0"/>
            <c:showLeaderLines val="0"/>
          </c:dLbls>
          <c:xVal>
            <c:numRef>
              <c:f>'Charts - Contrib'!$H$5</c:f>
              <c:numCache>
                <c:formatCode>"$"#.0,,</c:formatCode>
                <c:ptCount val="1"/>
                <c:pt idx="0">
                  <c:v>88941778.999998763</c:v>
                </c:pt>
              </c:numCache>
            </c:numRef>
          </c:xVal>
          <c:yVal>
            <c:numRef>
              <c:f>'Charts - Contrib'!$I$5</c:f>
              <c:numCache>
                <c:formatCode>"$"#,,</c:formatCode>
                <c:ptCount val="1"/>
                <c:pt idx="0">
                  <c:v>984362460.20357931</c:v>
                </c:pt>
              </c:numCache>
            </c:numRef>
          </c:yVal>
          <c:smooth val="0"/>
        </c:ser>
        <c:dLbls>
          <c:showLegendKey val="0"/>
          <c:showVal val="0"/>
          <c:showCatName val="0"/>
          <c:showSerName val="0"/>
          <c:showPercent val="0"/>
          <c:showBubbleSize val="0"/>
        </c:dLbls>
        <c:axId val="321076224"/>
        <c:axId val="321082496"/>
      </c:scatterChart>
      <c:scatterChart>
        <c:scatterStyle val="lineMarker"/>
        <c:varyColors val="0"/>
        <c:ser>
          <c:idx val="4"/>
          <c:order val="4"/>
          <c:tx>
            <c:v>Margimal Return for 20% case</c:v>
          </c:tx>
          <c:spPr>
            <a:ln>
              <a:solidFill>
                <a:srgbClr val="C00000"/>
              </a:solidFill>
              <a:prstDash val="sysDot"/>
            </a:ln>
          </c:spPr>
          <c:marker>
            <c:symbol val="plus"/>
            <c:size val="7"/>
            <c:spPr>
              <a:noFill/>
              <a:ln>
                <a:solidFill>
                  <a:srgbClr val="C00000"/>
                </a:solidFill>
              </a:ln>
            </c:spPr>
          </c:marker>
          <c:dLbls>
            <c:dLbl>
              <c:idx val="0"/>
              <c:layout>
                <c:manualLayout>
                  <c:x val="-0.17955819231159642"/>
                  <c:y val="-5.2420598211532533E-2"/>
                </c:manualLayout>
              </c:layout>
              <c:showLegendKey val="0"/>
              <c:showVal val="0"/>
              <c:showCatName val="0"/>
              <c:showSerName val="1"/>
              <c:showPercent val="0"/>
              <c:showBubbleSize val="0"/>
            </c:dLbl>
            <c:dLbl>
              <c:idx val="1"/>
              <c:delete val="1"/>
            </c:dLbl>
            <c:dLbl>
              <c:idx val="2"/>
              <c:delete val="1"/>
            </c:dLbl>
            <c:dLbl>
              <c:idx val="3"/>
              <c:delete val="1"/>
            </c:dLbl>
            <c:dLbl>
              <c:idx val="4"/>
              <c:delete val="1"/>
            </c:dLbl>
            <c:dLbl>
              <c:idx val="5"/>
              <c:delete val="1"/>
            </c:dLbl>
            <c:spPr>
              <a:solidFill>
                <a:schemeClr val="bg1"/>
              </a:solidFill>
            </c:spPr>
            <c:showLegendKey val="0"/>
            <c:showVal val="0"/>
            <c:showCatName val="0"/>
            <c:showSerName val="1"/>
            <c:showPercent val="0"/>
            <c:showBubbleSize val="0"/>
            <c:showLeaderLines val="0"/>
          </c:dLbls>
          <c:xVal>
            <c:numRef>
              <c:f>'Charts - Contrib'!$A$18:$A$23</c:f>
              <c:numCache>
                <c:formatCode>"$"#.0,,</c:formatCode>
                <c:ptCount val="6"/>
                <c:pt idx="0">
                  <c:v>64050884</c:v>
                </c:pt>
                <c:pt idx="1">
                  <c:v>69050884</c:v>
                </c:pt>
                <c:pt idx="2">
                  <c:v>74050884</c:v>
                </c:pt>
                <c:pt idx="3">
                  <c:v>79050884</c:v>
                </c:pt>
                <c:pt idx="4">
                  <c:v>84050884</c:v>
                </c:pt>
                <c:pt idx="5">
                  <c:v>89050884</c:v>
                </c:pt>
              </c:numCache>
            </c:numRef>
          </c:xVal>
          <c:yVal>
            <c:numRef>
              <c:f>'Charts - Contrib'!$D$18:$D$23</c:f>
              <c:numCache>
                <c:formatCode>#,##0.0</c:formatCode>
                <c:ptCount val="6"/>
                <c:pt idx="0">
                  <c:v>41.8688478675802</c:v>
                </c:pt>
                <c:pt idx="1">
                  <c:v>21.628218468177163</c:v>
                </c:pt>
                <c:pt idx="2">
                  <c:v>11.244348489093468</c:v>
                </c:pt>
                <c:pt idx="3">
                  <c:v>9.1544613018058563</c:v>
                </c:pt>
                <c:pt idx="4">
                  <c:v>5.0372175680469296</c:v>
                </c:pt>
                <c:pt idx="5">
                  <c:v>2.832842034823738</c:v>
                </c:pt>
              </c:numCache>
            </c:numRef>
          </c:yVal>
          <c:smooth val="0"/>
        </c:ser>
        <c:ser>
          <c:idx val="5"/>
          <c:order val="5"/>
          <c:tx>
            <c:v>Marginal Return for 30% case</c:v>
          </c:tx>
          <c:spPr>
            <a:ln>
              <a:solidFill>
                <a:schemeClr val="accent3">
                  <a:lumMod val="50000"/>
                </a:schemeClr>
              </a:solidFill>
              <a:prstDash val="sysDot"/>
            </a:ln>
          </c:spPr>
          <c:marker>
            <c:symbol val="plus"/>
            <c:size val="7"/>
            <c:spPr>
              <a:noFill/>
              <a:ln>
                <a:solidFill>
                  <a:schemeClr val="accent3">
                    <a:lumMod val="50000"/>
                  </a:schemeClr>
                </a:solidFill>
              </a:ln>
            </c:spPr>
          </c:marker>
          <c:dLbls>
            <c:dLbl>
              <c:idx val="0"/>
              <c:layout>
                <c:manualLayout>
                  <c:x val="-0.18186003683241253"/>
                  <c:y val="-4.9337033610854147E-2"/>
                </c:manualLayout>
              </c:layout>
              <c:dLblPos val="r"/>
              <c:showLegendKey val="0"/>
              <c:showVal val="0"/>
              <c:showCatName val="0"/>
              <c:showSerName val="1"/>
              <c:showPercent val="0"/>
              <c:showBubbleSize val="0"/>
            </c:dLbl>
            <c:spPr>
              <a:solidFill>
                <a:schemeClr val="bg1"/>
              </a:solidFill>
            </c:spPr>
            <c:showLegendKey val="0"/>
            <c:showVal val="0"/>
            <c:showCatName val="0"/>
            <c:showSerName val="0"/>
            <c:showPercent val="0"/>
            <c:showBubbleSize val="0"/>
          </c:dLbls>
          <c:xVal>
            <c:numRef>
              <c:f>'Charts - Contrib'!$A$18:$A$23</c:f>
              <c:numCache>
                <c:formatCode>"$"#.0,,</c:formatCode>
                <c:ptCount val="6"/>
                <c:pt idx="0">
                  <c:v>64050884</c:v>
                </c:pt>
                <c:pt idx="1">
                  <c:v>69050884</c:v>
                </c:pt>
                <c:pt idx="2">
                  <c:v>74050884</c:v>
                </c:pt>
                <c:pt idx="3">
                  <c:v>79050884</c:v>
                </c:pt>
                <c:pt idx="4">
                  <c:v>84050884</c:v>
                </c:pt>
                <c:pt idx="5">
                  <c:v>89050884</c:v>
                </c:pt>
              </c:numCache>
            </c:numRef>
          </c:xVal>
          <c:yVal>
            <c:numRef>
              <c:f>'Charts - Contrib'!$G$18:$G$23</c:f>
              <c:numCache>
                <c:formatCode>#,##0.0</c:formatCode>
                <c:ptCount val="6"/>
                <c:pt idx="0">
                  <c:v>26.629903495634853</c:v>
                </c:pt>
                <c:pt idx="1">
                  <c:v>11.787255143471937</c:v>
                </c:pt>
                <c:pt idx="2">
                  <c:v>11.060622910410146</c:v>
                </c:pt>
                <c:pt idx="3">
                  <c:v>9.6678983744446949</c:v>
                </c:pt>
                <c:pt idx="4">
                  <c:v>7.6373621684184618</c:v>
                </c:pt>
                <c:pt idx="5">
                  <c:v>3.8910796722887384</c:v>
                </c:pt>
              </c:numCache>
            </c:numRef>
          </c:yVal>
          <c:smooth val="0"/>
        </c:ser>
        <c:dLbls>
          <c:showLegendKey val="0"/>
          <c:showVal val="0"/>
          <c:showCatName val="0"/>
          <c:showSerName val="0"/>
          <c:showPercent val="0"/>
          <c:showBubbleSize val="0"/>
        </c:dLbls>
        <c:axId val="321086592"/>
        <c:axId val="321084416"/>
      </c:scatterChart>
      <c:valAx>
        <c:axId val="321076224"/>
        <c:scaling>
          <c:orientation val="minMax"/>
          <c:max val="100000000"/>
          <c:min val="55000000"/>
        </c:scaling>
        <c:delete val="0"/>
        <c:axPos val="b"/>
        <c:majorGridlines/>
        <c:title>
          <c:tx>
            <c:rich>
              <a:bodyPr/>
              <a:lstStyle/>
              <a:p>
                <a:pPr>
                  <a:defRPr sz="1200"/>
                </a:pPr>
                <a:r>
                  <a:rPr lang="en-US" sz="1200"/>
                  <a:t>Total Promotion Budget (in MM $)</a:t>
                </a:r>
              </a:p>
            </c:rich>
          </c:tx>
          <c:layout/>
          <c:overlay val="0"/>
        </c:title>
        <c:numFmt formatCode="&quot;$&quot;#,," sourceLinked="1"/>
        <c:majorTickMark val="out"/>
        <c:minorTickMark val="none"/>
        <c:tickLblPos val="nextTo"/>
        <c:crossAx val="321082496"/>
        <c:crosses val="autoZero"/>
        <c:crossBetween val="midCat"/>
        <c:majorUnit val="5000000"/>
      </c:valAx>
      <c:valAx>
        <c:axId val="321082496"/>
        <c:scaling>
          <c:orientation val="minMax"/>
          <c:max val="1100000000"/>
          <c:min val="600000000"/>
        </c:scaling>
        <c:delete val="0"/>
        <c:axPos val="l"/>
        <c:majorGridlines/>
        <c:title>
          <c:tx>
            <c:rich>
              <a:bodyPr rot="-5400000" vert="horz"/>
              <a:lstStyle/>
              <a:p>
                <a:pPr>
                  <a:defRPr sz="1200"/>
                </a:pPr>
                <a:r>
                  <a:rPr lang="en-US" sz="1200"/>
                  <a:t>3-year Incremental Revenue (in MM $)</a:t>
                </a:r>
              </a:p>
            </c:rich>
          </c:tx>
          <c:layout>
            <c:manualLayout>
              <c:xMode val="edge"/>
              <c:yMode val="edge"/>
              <c:x val="2.9926335174953959E-2"/>
              <c:y val="0.18284454921434201"/>
            </c:manualLayout>
          </c:layout>
          <c:overlay val="0"/>
        </c:title>
        <c:numFmt formatCode="&quot;$&quot;#,," sourceLinked="1"/>
        <c:majorTickMark val="out"/>
        <c:minorTickMark val="none"/>
        <c:tickLblPos val="nextTo"/>
        <c:crossAx val="321076224"/>
        <c:crosses val="autoZero"/>
        <c:crossBetween val="midCat"/>
        <c:majorUnit val="100000000"/>
      </c:valAx>
      <c:valAx>
        <c:axId val="321084416"/>
        <c:scaling>
          <c:orientation val="minMax"/>
          <c:max val="50"/>
          <c:min val="0"/>
        </c:scaling>
        <c:delete val="0"/>
        <c:axPos val="r"/>
        <c:title>
          <c:tx>
            <c:rich>
              <a:bodyPr rot="-5400000" vert="horz"/>
              <a:lstStyle/>
              <a:p>
                <a:pPr>
                  <a:defRPr/>
                </a:pPr>
                <a:r>
                  <a:rPr lang="en-US"/>
                  <a:t>Marginal Returns</a:t>
                </a:r>
              </a:p>
            </c:rich>
          </c:tx>
          <c:layout/>
          <c:overlay val="0"/>
        </c:title>
        <c:numFmt formatCode="#,##0" sourceLinked="0"/>
        <c:majorTickMark val="out"/>
        <c:minorTickMark val="none"/>
        <c:tickLblPos val="nextTo"/>
        <c:crossAx val="321086592"/>
        <c:crosses val="max"/>
        <c:crossBetween val="midCat"/>
        <c:majorUnit val="10"/>
      </c:valAx>
      <c:valAx>
        <c:axId val="321086592"/>
        <c:scaling>
          <c:orientation val="minMax"/>
        </c:scaling>
        <c:delete val="1"/>
        <c:axPos val="b"/>
        <c:numFmt formatCode="&quot;$&quot;#.0,," sourceLinked="1"/>
        <c:majorTickMark val="out"/>
        <c:minorTickMark val="none"/>
        <c:tickLblPos val="nextTo"/>
        <c:crossAx val="321084416"/>
        <c:crosses val="autoZero"/>
        <c:crossBetween val="midCat"/>
      </c:valAx>
    </c:plotArea>
    <c:plotVisOnly val="1"/>
    <c:dispBlanksAs val="gap"/>
    <c:showDLblsOverMax val="0"/>
  </c:chart>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Allocation</a:t>
            </a:r>
            <a:r>
              <a:rPr lang="en-US" sz="1400" baseline="0"/>
              <a:t> Scenarios: </a:t>
            </a:r>
            <a:r>
              <a:rPr lang="en-US" sz="1400"/>
              <a:t>Promotion Budget vs. Incr.</a:t>
            </a:r>
            <a:r>
              <a:rPr lang="en-US" sz="1400" baseline="0"/>
              <a:t> Revenue </a:t>
            </a:r>
            <a:endParaRPr lang="en-US" sz="1400"/>
          </a:p>
        </c:rich>
      </c:tx>
      <c:layout/>
      <c:overlay val="0"/>
    </c:title>
    <c:autoTitleDeleted val="0"/>
    <c:plotArea>
      <c:layout>
        <c:manualLayout>
          <c:layoutTarget val="inner"/>
          <c:xMode val="edge"/>
          <c:yMode val="edge"/>
          <c:x val="0.14911562332332767"/>
          <c:y val="0.10980962410699548"/>
          <c:w val="0.80221955163063186"/>
          <c:h val="0.73163810679555219"/>
        </c:manualLayout>
      </c:layout>
      <c:scatterChart>
        <c:scatterStyle val="lineMarker"/>
        <c:varyColors val="0"/>
        <c:ser>
          <c:idx val="1"/>
          <c:order val="0"/>
          <c:tx>
            <c:v>Standard + or - 20%</c:v>
          </c:tx>
          <c:marker>
            <c:symbol val="circle"/>
            <c:size val="7"/>
          </c:marker>
          <c:dLbls>
            <c:dLbl>
              <c:idx val="0"/>
              <c:layout>
                <c:manualLayout>
                  <c:x val="-0.15072051594379432"/>
                  <c:y val="-3.4015045235720409E-2"/>
                </c:manualLayout>
              </c:layout>
              <c:tx>
                <c:rich>
                  <a:bodyPr/>
                  <a:lstStyle/>
                  <a:p>
                    <a:pPr>
                      <a:defRPr sz="1100"/>
                    </a:pPr>
                    <a:r>
                      <a:rPr lang="en-US" sz="1100"/>
                      <a:t>Standard</a:t>
                    </a:r>
                  </a:p>
                  <a:p>
                    <a:pPr>
                      <a:defRPr sz="1100"/>
                    </a:pPr>
                    <a:r>
                      <a:rPr lang="en-US" sz="1100"/>
                      <a:t> + or - 20%</a:t>
                    </a:r>
                    <a:endParaRPr lang="en-US"/>
                  </a:p>
                </c:rich>
              </c:tx>
              <c:spPr>
                <a:solidFill>
                  <a:schemeClr val="bg1"/>
                </a:solidFill>
              </c:spPr>
              <c:showLegendKey val="0"/>
              <c:showVal val="0"/>
              <c:showCatName val="0"/>
              <c:showSerName val="1"/>
              <c:showPercent val="0"/>
              <c:showBubbleSize val="0"/>
            </c:dLbl>
            <c:txPr>
              <a:bodyPr/>
              <a:lstStyle/>
              <a:p>
                <a:pPr>
                  <a:defRPr sz="1100"/>
                </a:pPr>
                <a:endParaRPr lang="en-US"/>
              </a:p>
            </c:txPr>
            <c:showLegendKey val="0"/>
            <c:showVal val="0"/>
            <c:showCatName val="0"/>
            <c:showSerName val="0"/>
            <c:showPercent val="0"/>
            <c:showBubbleSize val="0"/>
          </c:dLbls>
          <c:xVal>
            <c:numRef>
              <c:f>'Charts - Contrib'!$A$5:$A$11</c:f>
              <c:numCache>
                <c:formatCode>"$"#,,</c:formatCode>
                <c:ptCount val="7"/>
                <c:pt idx="0">
                  <c:v>64050884</c:v>
                </c:pt>
                <c:pt idx="1">
                  <c:v>69050884</c:v>
                </c:pt>
                <c:pt idx="2">
                  <c:v>74050884</c:v>
                </c:pt>
                <c:pt idx="3">
                  <c:v>79050884</c:v>
                </c:pt>
                <c:pt idx="4">
                  <c:v>84050884</c:v>
                </c:pt>
                <c:pt idx="5">
                  <c:v>89050884</c:v>
                </c:pt>
                <c:pt idx="6">
                  <c:v>94050884</c:v>
                </c:pt>
              </c:numCache>
            </c:numRef>
          </c:xVal>
          <c:yVal>
            <c:numRef>
              <c:f>'Charts - Contrib'!$B$5:$B$11</c:f>
              <c:numCache>
                <c:formatCode>"$"#,,</c:formatCode>
                <c:ptCount val="7"/>
                <c:pt idx="0">
                  <c:v>702728115.32775736</c:v>
                </c:pt>
                <c:pt idx="1">
                  <c:v>830428101.32387698</c:v>
                </c:pt>
                <c:pt idx="2">
                  <c:v>896394167.65181732</c:v>
                </c:pt>
                <c:pt idx="3">
                  <c:v>930689430.5435524</c:v>
                </c:pt>
                <c:pt idx="4">
                  <c:v>958610537.51406026</c:v>
                </c:pt>
                <c:pt idx="5">
                  <c:v>973974051.09660339</c:v>
                </c:pt>
                <c:pt idx="6">
                  <c:v>982614219.30281579</c:v>
                </c:pt>
              </c:numCache>
            </c:numRef>
          </c:yVal>
          <c:smooth val="0"/>
        </c:ser>
        <c:ser>
          <c:idx val="2"/>
          <c:order val="1"/>
          <c:tx>
            <c:v>Standard + or - 30%</c:v>
          </c:tx>
          <c:marker>
            <c:symbol val="circle"/>
            <c:size val="6"/>
          </c:marker>
          <c:dLbls>
            <c:dLbl>
              <c:idx val="0"/>
              <c:layout>
                <c:manualLayout>
                  <c:x val="-0.14573164542277522"/>
                  <c:y val="-4.2796208146484264E-2"/>
                </c:manualLayout>
              </c:layout>
              <c:tx>
                <c:rich>
                  <a:bodyPr/>
                  <a:lstStyle/>
                  <a:p>
                    <a:pPr>
                      <a:defRPr sz="1100"/>
                    </a:pPr>
                    <a:r>
                      <a:rPr lang="en-US" sz="1100"/>
                      <a:t>Standard</a:t>
                    </a:r>
                  </a:p>
                  <a:p>
                    <a:pPr>
                      <a:defRPr sz="1100"/>
                    </a:pPr>
                    <a:r>
                      <a:rPr lang="en-US" sz="1100"/>
                      <a:t> + or - 30%</a:t>
                    </a:r>
                    <a:endParaRPr lang="en-US"/>
                  </a:p>
                </c:rich>
              </c:tx>
              <c:spPr>
                <a:solidFill>
                  <a:schemeClr val="bg1"/>
                </a:solidFill>
              </c:spPr>
              <c:showLegendKey val="0"/>
              <c:showVal val="0"/>
              <c:showCatName val="0"/>
              <c:showSerName val="1"/>
              <c:showPercent val="0"/>
              <c:showBubbleSize val="0"/>
            </c:dLbl>
            <c:txPr>
              <a:bodyPr/>
              <a:lstStyle/>
              <a:p>
                <a:pPr>
                  <a:defRPr sz="1100"/>
                </a:pPr>
                <a:endParaRPr lang="en-US"/>
              </a:p>
            </c:txPr>
            <c:showLegendKey val="0"/>
            <c:showVal val="0"/>
            <c:showCatName val="0"/>
            <c:showSerName val="0"/>
            <c:showPercent val="0"/>
            <c:showBubbleSize val="0"/>
          </c:dLbls>
          <c:xVal>
            <c:numRef>
              <c:f>'Charts - Contrib'!$A$5:$A$11</c:f>
              <c:numCache>
                <c:formatCode>"$"#,,</c:formatCode>
                <c:ptCount val="7"/>
                <c:pt idx="0">
                  <c:v>64050884</c:v>
                </c:pt>
                <c:pt idx="1">
                  <c:v>69050884</c:v>
                </c:pt>
                <c:pt idx="2">
                  <c:v>74050884</c:v>
                </c:pt>
                <c:pt idx="3">
                  <c:v>79050884</c:v>
                </c:pt>
                <c:pt idx="4">
                  <c:v>84050884</c:v>
                </c:pt>
                <c:pt idx="5">
                  <c:v>89050884</c:v>
                </c:pt>
                <c:pt idx="6">
                  <c:v>94050884</c:v>
                </c:pt>
              </c:numCache>
            </c:numRef>
          </c:xVal>
          <c:yVal>
            <c:numRef>
              <c:f>'Charts - Contrib'!$C$5:$C$11</c:f>
              <c:numCache>
                <c:formatCode>"$"#,,</c:formatCode>
                <c:ptCount val="7"/>
                <c:pt idx="0">
                  <c:v>830884595.43743718</c:v>
                </c:pt>
                <c:pt idx="1">
                  <c:v>912105801.09912348</c:v>
                </c:pt>
                <c:pt idx="2">
                  <c:v>948056929.28671288</c:v>
                </c:pt>
                <c:pt idx="3">
                  <c:v>981791829.16346383</c:v>
                </c:pt>
                <c:pt idx="4">
                  <c:v>1011278919.2055202</c:v>
                </c:pt>
                <c:pt idx="5">
                  <c:v>1034572873.8191965</c:v>
                </c:pt>
                <c:pt idx="6">
                  <c:v>1046440666.8196771</c:v>
                </c:pt>
              </c:numCache>
            </c:numRef>
          </c:yVal>
          <c:smooth val="0"/>
        </c:ser>
        <c:ser>
          <c:idx val="0"/>
          <c:order val="2"/>
          <c:tx>
            <c:v>Current</c:v>
          </c:tx>
          <c:marker>
            <c:symbol val="square"/>
            <c:size val="8"/>
            <c:spPr>
              <a:solidFill>
                <a:schemeClr val="accent6">
                  <a:lumMod val="50000"/>
                </a:schemeClr>
              </a:solidFill>
            </c:spPr>
          </c:marker>
          <c:dLbls>
            <c:spPr>
              <a:solidFill>
                <a:schemeClr val="bg1"/>
              </a:solidFill>
            </c:spPr>
            <c:showLegendKey val="0"/>
            <c:showVal val="0"/>
            <c:showCatName val="0"/>
            <c:showSerName val="1"/>
            <c:showPercent val="0"/>
            <c:showBubbleSize val="0"/>
            <c:showLeaderLines val="0"/>
          </c:dLbls>
          <c:xVal>
            <c:numRef>
              <c:f>'Charts - Contrib'!$E$5</c:f>
              <c:numCache>
                <c:formatCode>"$"#.0,,</c:formatCode>
                <c:ptCount val="1"/>
                <c:pt idx="0">
                  <c:v>79050884</c:v>
                </c:pt>
              </c:numCache>
            </c:numRef>
          </c:xVal>
          <c:yVal>
            <c:numRef>
              <c:f>'Charts - Contrib'!$F$5</c:f>
              <c:numCache>
                <c:formatCode>"$"#,,</c:formatCode>
                <c:ptCount val="1"/>
                <c:pt idx="0">
                  <c:v>827170348.29772973</c:v>
                </c:pt>
              </c:numCache>
            </c:numRef>
          </c:yVal>
          <c:smooth val="0"/>
        </c:ser>
        <c:ser>
          <c:idx val="3"/>
          <c:order val="3"/>
          <c:tx>
            <c:v>Custom</c:v>
          </c:tx>
          <c:marker>
            <c:symbol val="circle"/>
            <c:size val="9"/>
            <c:spPr>
              <a:solidFill>
                <a:srgbClr val="00B050"/>
              </a:solidFill>
            </c:spPr>
          </c:marker>
          <c:dLbls>
            <c:dLbl>
              <c:idx val="0"/>
              <c:layout>
                <c:manualLayout>
                  <c:x val="-4.6844321195069127E-3"/>
                  <c:y val="-2.9568306724090429E-2"/>
                </c:manualLayout>
              </c:layout>
              <c:showLegendKey val="0"/>
              <c:showVal val="0"/>
              <c:showCatName val="0"/>
              <c:showSerName val="1"/>
              <c:showPercent val="0"/>
              <c:showBubbleSize val="0"/>
            </c:dLbl>
            <c:spPr>
              <a:solidFill>
                <a:schemeClr val="bg1"/>
              </a:solidFill>
            </c:spPr>
            <c:showLegendKey val="0"/>
            <c:showVal val="0"/>
            <c:showCatName val="0"/>
            <c:showSerName val="1"/>
            <c:showPercent val="0"/>
            <c:showBubbleSize val="0"/>
            <c:showLeaderLines val="0"/>
          </c:dLbls>
          <c:xVal>
            <c:numRef>
              <c:f>'Charts - Contrib'!$H$5</c:f>
              <c:numCache>
                <c:formatCode>"$"#.0,,</c:formatCode>
                <c:ptCount val="1"/>
                <c:pt idx="0">
                  <c:v>88941778.999998763</c:v>
                </c:pt>
              </c:numCache>
            </c:numRef>
          </c:xVal>
          <c:yVal>
            <c:numRef>
              <c:f>'Charts - Contrib'!$I$5</c:f>
              <c:numCache>
                <c:formatCode>"$"#,,</c:formatCode>
                <c:ptCount val="1"/>
                <c:pt idx="0">
                  <c:v>984362460.20357931</c:v>
                </c:pt>
              </c:numCache>
            </c:numRef>
          </c:yVal>
          <c:smooth val="0"/>
        </c:ser>
        <c:dLbls>
          <c:showLegendKey val="0"/>
          <c:showVal val="0"/>
          <c:showCatName val="0"/>
          <c:showSerName val="0"/>
          <c:showPercent val="0"/>
          <c:showBubbleSize val="0"/>
        </c:dLbls>
        <c:axId val="321139840"/>
        <c:axId val="321141760"/>
      </c:scatterChart>
      <c:scatterChart>
        <c:scatterStyle val="lineMarker"/>
        <c:varyColors val="0"/>
        <c:ser>
          <c:idx val="4"/>
          <c:order val="4"/>
          <c:tx>
            <c:v>Marginal Return 20 (Post / Pre)</c:v>
          </c:tx>
          <c:spPr>
            <a:ln>
              <a:noFill/>
            </a:ln>
          </c:spPr>
          <c:marker>
            <c:symbol val="none"/>
          </c:marker>
          <c:dLbls>
            <c:dLbl>
              <c:idx val="0"/>
              <c:layout>
                <c:manualLayout>
                  <c:x val="-2.0108104580850047E-2"/>
                  <c:y val="0.41334514319456744"/>
                </c:manualLayout>
              </c:layout>
              <c:dLblPos val="r"/>
              <c:showLegendKey val="0"/>
              <c:showVal val="1"/>
              <c:showCatName val="0"/>
              <c:showSerName val="0"/>
              <c:showPercent val="0"/>
              <c:showBubbleSize val="0"/>
            </c:dLbl>
            <c:dLbl>
              <c:idx val="1"/>
              <c:layout>
                <c:manualLayout>
                  <c:x val="-2.0108104580850047E-2"/>
                  <c:y val="-3.5429583702391444E-2"/>
                </c:manualLayout>
              </c:layout>
              <c:dLblPos val="r"/>
              <c:showLegendKey val="0"/>
              <c:showVal val="1"/>
              <c:showCatName val="0"/>
              <c:showSerName val="0"/>
              <c:showPercent val="0"/>
              <c:showBubbleSize val="0"/>
            </c:dLbl>
            <c:dLbl>
              <c:idx val="2"/>
              <c:layout>
                <c:manualLayout>
                  <c:x val="-2.4551195603312016E-2"/>
                  <c:y val="-0.27457927369353413"/>
                </c:manualLayout>
              </c:layout>
              <c:dLblPos val="r"/>
              <c:showLegendKey val="0"/>
              <c:showVal val="1"/>
              <c:showCatName val="0"/>
              <c:showSerName val="0"/>
              <c:showPercent val="0"/>
              <c:showBubbleSize val="0"/>
            </c:dLbl>
            <c:dLbl>
              <c:idx val="3"/>
              <c:layout>
                <c:manualLayout>
                  <c:x val="-1.9947144037934485E-2"/>
                  <c:y val="-0.34839090640684978"/>
                </c:manualLayout>
              </c:layout>
              <c:dLblPos val="r"/>
              <c:showLegendKey val="0"/>
              <c:showVal val="1"/>
              <c:showCatName val="0"/>
              <c:showSerName val="0"/>
              <c:showPercent val="0"/>
              <c:showBubbleSize val="0"/>
            </c:dLbl>
            <c:dLbl>
              <c:idx val="4"/>
              <c:layout>
                <c:manualLayout>
                  <c:x val="-2.4551195603312016E-2"/>
                  <c:y val="-0.4428697962798937"/>
                </c:manualLayout>
              </c:layout>
              <c:dLblPos val="r"/>
              <c:showLegendKey val="0"/>
              <c:showVal val="1"/>
              <c:showCatName val="0"/>
              <c:showSerName val="0"/>
              <c:showPercent val="0"/>
              <c:showBubbleSize val="0"/>
            </c:dLbl>
            <c:dLbl>
              <c:idx val="5"/>
              <c:layout>
                <c:manualLayout>
                  <c:x val="-2.6853221386000783E-2"/>
                  <c:y val="-0.49601417183348101"/>
                </c:manualLayout>
              </c:layout>
              <c:dLblPos val="r"/>
              <c:showLegendKey val="0"/>
              <c:showVal val="1"/>
              <c:showCatName val="0"/>
              <c:showSerName val="0"/>
              <c:showPercent val="0"/>
              <c:showBubbleSize val="0"/>
            </c:dLbl>
            <c:txPr>
              <a:bodyPr/>
              <a:lstStyle/>
              <a:p>
                <a:pPr>
                  <a:defRPr baseline="0">
                    <a:solidFill>
                      <a:srgbClr val="C00000"/>
                    </a:solidFill>
                  </a:defRPr>
                </a:pPr>
                <a:endParaRPr lang="en-US"/>
              </a:p>
            </c:txPr>
            <c:dLblPos val="l"/>
            <c:showLegendKey val="0"/>
            <c:showVal val="1"/>
            <c:showCatName val="0"/>
            <c:showSerName val="0"/>
            <c:showPercent val="0"/>
            <c:showBubbleSize val="0"/>
            <c:showLeaderLines val="0"/>
          </c:dLbls>
          <c:xVal>
            <c:numRef>
              <c:f>'Charts - Contrib'!$A$18:$A$23</c:f>
              <c:numCache>
                <c:formatCode>"$"#.0,,</c:formatCode>
                <c:ptCount val="6"/>
                <c:pt idx="0">
                  <c:v>64050884</c:v>
                </c:pt>
                <c:pt idx="1">
                  <c:v>69050884</c:v>
                </c:pt>
                <c:pt idx="2">
                  <c:v>74050884</c:v>
                </c:pt>
                <c:pt idx="3">
                  <c:v>79050884</c:v>
                </c:pt>
                <c:pt idx="4">
                  <c:v>84050884</c:v>
                </c:pt>
                <c:pt idx="5">
                  <c:v>89050884</c:v>
                </c:pt>
              </c:numCache>
            </c:numRef>
          </c:xVal>
          <c:yVal>
            <c:numRef>
              <c:f>'Charts - Contrib'!$C$18:$C$23</c:f>
              <c:numCache>
                <c:formatCode>#,##0.0</c:formatCode>
                <c:ptCount val="6"/>
                <c:pt idx="0">
                  <c:v>25.539997199223922</c:v>
                </c:pt>
                <c:pt idx="1">
                  <c:v>13.193213265588069</c:v>
                </c:pt>
                <c:pt idx="2">
                  <c:v>6.8590525783470158</c:v>
                </c:pt>
                <c:pt idx="3">
                  <c:v>5.5842213941015721</c:v>
                </c:pt>
                <c:pt idx="4">
                  <c:v>3.0727027165086271</c:v>
                </c:pt>
                <c:pt idx="5">
                  <c:v>1.7280336412424804</c:v>
                </c:pt>
              </c:numCache>
            </c:numRef>
          </c:yVal>
          <c:smooth val="0"/>
        </c:ser>
        <c:ser>
          <c:idx val="5"/>
          <c:order val="5"/>
          <c:tx>
            <c:v>Marginal Return 30 (post / pre)</c:v>
          </c:tx>
          <c:spPr>
            <a:ln>
              <a:noFill/>
            </a:ln>
          </c:spPr>
          <c:marker>
            <c:symbol val="none"/>
          </c:marker>
          <c:dLbls>
            <c:dLbl>
              <c:idx val="0"/>
              <c:layout>
                <c:manualLayout>
                  <c:x val="-5.0644567219152857E-2"/>
                  <c:y val="-3.2477118393858875E-2"/>
                </c:manualLayout>
              </c:layout>
              <c:showLegendKey val="0"/>
              <c:showVal val="1"/>
              <c:showCatName val="0"/>
              <c:showSerName val="0"/>
              <c:showPercent val="0"/>
              <c:showBubbleSize val="0"/>
            </c:dLbl>
            <c:dLbl>
              <c:idx val="1"/>
              <c:layout>
                <c:manualLayout>
                  <c:x val="-4.1436464088397788E-2"/>
                  <c:y val="-0.3365810451727192"/>
                </c:manualLayout>
              </c:layout>
              <c:showLegendKey val="0"/>
              <c:showVal val="1"/>
              <c:showCatName val="0"/>
              <c:showSerName val="0"/>
              <c:showPercent val="0"/>
              <c:showBubbleSize val="0"/>
            </c:dLbl>
            <c:dLbl>
              <c:idx val="2"/>
              <c:layout>
                <c:manualLayout>
                  <c:x val="-4.3738489871086556E-2"/>
                  <c:y val="-0.39858281665190431"/>
                </c:manualLayout>
              </c:layout>
              <c:showLegendKey val="0"/>
              <c:showVal val="1"/>
              <c:showCatName val="0"/>
              <c:showSerName val="0"/>
              <c:showPercent val="0"/>
              <c:showBubbleSize val="0"/>
            </c:dLbl>
            <c:dLbl>
              <c:idx val="3"/>
              <c:layout>
                <c:manualLayout>
                  <c:x val="-3.6832412523020344E-2"/>
                  <c:y val="-0.47239444936521996"/>
                </c:manualLayout>
              </c:layout>
              <c:showLegendKey val="0"/>
              <c:showVal val="1"/>
              <c:showCatName val="0"/>
              <c:showSerName val="0"/>
              <c:showPercent val="0"/>
              <c:showBubbleSize val="0"/>
            </c:dLbl>
            <c:dLbl>
              <c:idx val="4"/>
              <c:layout>
                <c:manualLayout>
                  <c:x val="-4.1436464088397788E-2"/>
                  <c:y val="-0.54325361677000295"/>
                </c:manualLayout>
              </c:layout>
              <c:showLegendKey val="0"/>
              <c:showVal val="1"/>
              <c:showCatName val="0"/>
              <c:showSerName val="0"/>
              <c:showPercent val="0"/>
              <c:showBubbleSize val="0"/>
            </c:dLbl>
            <c:dLbl>
              <c:idx val="5"/>
              <c:layout>
                <c:manualLayout>
                  <c:x val="-3.4530386740331577E-2"/>
                  <c:y val="-0.63182757602598172"/>
                </c:manualLayout>
              </c:layout>
              <c:showLegendKey val="0"/>
              <c:showVal val="1"/>
              <c:showCatName val="0"/>
              <c:showSerName val="0"/>
              <c:showPercent val="0"/>
              <c:showBubbleSize val="0"/>
            </c:dLbl>
            <c:txPr>
              <a:bodyPr/>
              <a:lstStyle/>
              <a:p>
                <a:pPr>
                  <a:defRPr baseline="0">
                    <a:solidFill>
                      <a:schemeClr val="accent3">
                        <a:lumMod val="50000"/>
                      </a:schemeClr>
                    </a:solidFill>
                  </a:defRPr>
                </a:pPr>
                <a:endParaRPr lang="en-US"/>
              </a:p>
            </c:txPr>
            <c:showLegendKey val="0"/>
            <c:showVal val="1"/>
            <c:showCatName val="0"/>
            <c:showSerName val="0"/>
            <c:showPercent val="0"/>
            <c:showBubbleSize val="0"/>
            <c:showLeaderLines val="0"/>
          </c:dLbls>
          <c:xVal>
            <c:numRef>
              <c:f>'Charts - Contrib'!$A$18:$A$23</c:f>
              <c:numCache>
                <c:formatCode>"$"#.0,,</c:formatCode>
                <c:ptCount val="6"/>
                <c:pt idx="0">
                  <c:v>64050884</c:v>
                </c:pt>
                <c:pt idx="1">
                  <c:v>69050884</c:v>
                </c:pt>
                <c:pt idx="2">
                  <c:v>74050884</c:v>
                </c:pt>
                <c:pt idx="3">
                  <c:v>79050884</c:v>
                </c:pt>
                <c:pt idx="4">
                  <c:v>84050884</c:v>
                </c:pt>
                <c:pt idx="5">
                  <c:v>89050884</c:v>
                </c:pt>
              </c:numCache>
            </c:numRef>
          </c:xVal>
          <c:yVal>
            <c:numRef>
              <c:f>'Charts - Contrib'!$F$18:$F$23</c:f>
              <c:numCache>
                <c:formatCode>#,##0.0</c:formatCode>
                <c:ptCount val="6"/>
                <c:pt idx="0">
                  <c:v>16.244241132337262</c:v>
                </c:pt>
                <c:pt idx="1">
                  <c:v>7.190225637517881</c:v>
                </c:pt>
                <c:pt idx="2">
                  <c:v>6.7469799753501896</c:v>
                </c:pt>
                <c:pt idx="3">
                  <c:v>5.8974180084112646</c:v>
                </c:pt>
                <c:pt idx="4">
                  <c:v>4.6587909227352622</c:v>
                </c:pt>
                <c:pt idx="5">
                  <c:v>2.3735586000961302</c:v>
                </c:pt>
              </c:numCache>
            </c:numRef>
          </c:yVal>
          <c:smooth val="0"/>
        </c:ser>
        <c:dLbls>
          <c:showLegendKey val="0"/>
          <c:showVal val="0"/>
          <c:showCatName val="0"/>
          <c:showSerName val="0"/>
          <c:showPercent val="0"/>
          <c:showBubbleSize val="0"/>
        </c:dLbls>
        <c:axId val="321161856"/>
        <c:axId val="321160320"/>
      </c:scatterChart>
      <c:valAx>
        <c:axId val="321139840"/>
        <c:scaling>
          <c:orientation val="minMax"/>
          <c:max val="100000000"/>
          <c:min val="55000000"/>
        </c:scaling>
        <c:delete val="0"/>
        <c:axPos val="b"/>
        <c:majorGridlines/>
        <c:title>
          <c:tx>
            <c:rich>
              <a:bodyPr/>
              <a:lstStyle/>
              <a:p>
                <a:pPr>
                  <a:defRPr sz="1200"/>
                </a:pPr>
                <a:r>
                  <a:rPr lang="en-US" sz="1200"/>
                  <a:t>Total Promotion Budget (in MM $)</a:t>
                </a:r>
              </a:p>
            </c:rich>
          </c:tx>
          <c:layout/>
          <c:overlay val="0"/>
        </c:title>
        <c:numFmt formatCode="&quot;$&quot;#,," sourceLinked="1"/>
        <c:majorTickMark val="out"/>
        <c:minorTickMark val="none"/>
        <c:tickLblPos val="nextTo"/>
        <c:crossAx val="321141760"/>
        <c:crosses val="autoZero"/>
        <c:crossBetween val="midCat"/>
        <c:majorUnit val="5000000"/>
      </c:valAx>
      <c:valAx>
        <c:axId val="321141760"/>
        <c:scaling>
          <c:orientation val="minMax"/>
          <c:max val="1100000000"/>
          <c:min val="600000000"/>
        </c:scaling>
        <c:delete val="0"/>
        <c:axPos val="l"/>
        <c:majorGridlines/>
        <c:title>
          <c:tx>
            <c:rich>
              <a:bodyPr rot="-5400000" vert="horz"/>
              <a:lstStyle/>
              <a:p>
                <a:pPr>
                  <a:defRPr sz="1200"/>
                </a:pPr>
                <a:r>
                  <a:rPr lang="en-US" sz="1200"/>
                  <a:t>3-year Incremental Revenue (in MM $)</a:t>
                </a:r>
              </a:p>
            </c:rich>
          </c:tx>
          <c:layout>
            <c:manualLayout>
              <c:xMode val="edge"/>
              <c:yMode val="edge"/>
              <c:x val="2.9926335174953959E-2"/>
              <c:y val="0.18284454921434201"/>
            </c:manualLayout>
          </c:layout>
          <c:overlay val="0"/>
        </c:title>
        <c:numFmt formatCode="&quot;$&quot;#,," sourceLinked="1"/>
        <c:majorTickMark val="out"/>
        <c:minorTickMark val="none"/>
        <c:tickLblPos val="nextTo"/>
        <c:crossAx val="321139840"/>
        <c:crosses val="autoZero"/>
        <c:crossBetween val="midCat"/>
        <c:majorUnit val="100000000"/>
      </c:valAx>
      <c:valAx>
        <c:axId val="321160320"/>
        <c:scaling>
          <c:orientation val="minMax"/>
        </c:scaling>
        <c:delete val="0"/>
        <c:axPos val="r"/>
        <c:numFmt formatCode="#,##0.0" sourceLinked="1"/>
        <c:majorTickMark val="none"/>
        <c:minorTickMark val="none"/>
        <c:tickLblPos val="none"/>
        <c:crossAx val="321161856"/>
        <c:crosses val="max"/>
        <c:crossBetween val="midCat"/>
      </c:valAx>
      <c:valAx>
        <c:axId val="321161856"/>
        <c:scaling>
          <c:orientation val="minMax"/>
        </c:scaling>
        <c:delete val="1"/>
        <c:axPos val="b"/>
        <c:numFmt formatCode="&quot;$&quot;#.0,," sourceLinked="1"/>
        <c:majorTickMark val="out"/>
        <c:minorTickMark val="none"/>
        <c:tickLblPos val="nextTo"/>
        <c:crossAx val="321160320"/>
        <c:crosses val="autoZero"/>
        <c:crossBetween val="midCat"/>
      </c:valAx>
    </c:plotArea>
    <c:plotVisOnly val="1"/>
    <c:dispBlanksAs val="gap"/>
    <c:showDLblsOverMax val="0"/>
  </c:chart>
  <c:printSettings>
    <c:headerFooter/>
    <c:pageMargins b="0.75" l="0.7" r="0.7" t="0.75" header="0.3" footer="0.3"/>
    <c:pageSetup orientation="portrait"/>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Allocation</a:t>
            </a:r>
            <a:r>
              <a:rPr lang="en-US" sz="1400" baseline="0"/>
              <a:t> Scenarios: </a:t>
            </a:r>
            <a:r>
              <a:rPr lang="en-US" sz="1400"/>
              <a:t>Promotion Budget vs. Incr.</a:t>
            </a:r>
            <a:r>
              <a:rPr lang="en-US" sz="1400" baseline="0"/>
              <a:t> Revenue </a:t>
            </a:r>
            <a:endParaRPr lang="en-US" sz="1400"/>
          </a:p>
        </c:rich>
      </c:tx>
      <c:layout/>
      <c:overlay val="0"/>
    </c:title>
    <c:autoTitleDeleted val="0"/>
    <c:plotArea>
      <c:layout>
        <c:manualLayout>
          <c:layoutTarget val="inner"/>
          <c:xMode val="edge"/>
          <c:yMode val="edge"/>
          <c:x val="0.14911562332332767"/>
          <c:y val="0.10980962410699548"/>
          <c:w val="0.7446689070634126"/>
          <c:h val="0.76864087641218759"/>
        </c:manualLayout>
      </c:layout>
      <c:scatterChart>
        <c:scatterStyle val="lineMarker"/>
        <c:varyColors val="0"/>
        <c:ser>
          <c:idx val="1"/>
          <c:order val="0"/>
          <c:tx>
            <c:v>Standard + or - 20%</c:v>
          </c:tx>
          <c:marker>
            <c:symbol val="circle"/>
            <c:size val="7"/>
          </c:marker>
          <c:dLbls>
            <c:dLbl>
              <c:idx val="0"/>
              <c:layout>
                <c:manualLayout>
                  <c:x val="-0.14381443859572801"/>
                  <c:y val="5.8491821269797337E-2"/>
                </c:manualLayout>
              </c:layout>
              <c:tx>
                <c:rich>
                  <a:bodyPr/>
                  <a:lstStyle/>
                  <a:p>
                    <a:pPr>
                      <a:defRPr sz="1000"/>
                    </a:pPr>
                    <a:r>
                      <a:rPr lang="en-US" sz="1000"/>
                      <a:t>Standard</a:t>
                    </a:r>
                  </a:p>
                  <a:p>
                    <a:pPr>
                      <a:defRPr sz="1000"/>
                    </a:pPr>
                    <a:r>
                      <a:rPr lang="en-US" sz="1000"/>
                      <a:t> + or - 20%</a:t>
                    </a:r>
                  </a:p>
                </c:rich>
              </c:tx>
              <c:spPr>
                <a:solidFill>
                  <a:schemeClr val="bg1"/>
                </a:solidFill>
              </c:spPr>
              <c:showLegendKey val="0"/>
              <c:showVal val="0"/>
              <c:showCatName val="0"/>
              <c:showSerName val="1"/>
              <c:showPercent val="0"/>
              <c:showBubbleSize val="0"/>
            </c:dLbl>
            <c:txPr>
              <a:bodyPr/>
              <a:lstStyle/>
              <a:p>
                <a:pPr>
                  <a:defRPr sz="1100"/>
                </a:pPr>
                <a:endParaRPr lang="en-US"/>
              </a:p>
            </c:txPr>
            <c:showLegendKey val="0"/>
            <c:showVal val="0"/>
            <c:showCatName val="0"/>
            <c:showSerName val="0"/>
            <c:showPercent val="0"/>
            <c:showBubbleSize val="0"/>
          </c:dLbls>
          <c:xVal>
            <c:numRef>
              <c:f>'Charts - Contrib'!$A$5:$A$11</c:f>
              <c:numCache>
                <c:formatCode>"$"#,,</c:formatCode>
                <c:ptCount val="7"/>
                <c:pt idx="0">
                  <c:v>64050884</c:v>
                </c:pt>
                <c:pt idx="1">
                  <c:v>69050884</c:v>
                </c:pt>
                <c:pt idx="2">
                  <c:v>74050884</c:v>
                </c:pt>
                <c:pt idx="3">
                  <c:v>79050884</c:v>
                </c:pt>
                <c:pt idx="4">
                  <c:v>84050884</c:v>
                </c:pt>
                <c:pt idx="5">
                  <c:v>89050884</c:v>
                </c:pt>
                <c:pt idx="6">
                  <c:v>94050884</c:v>
                </c:pt>
              </c:numCache>
            </c:numRef>
          </c:xVal>
          <c:yVal>
            <c:numRef>
              <c:f>'Charts - Contrib'!$B$5:$B$11</c:f>
              <c:numCache>
                <c:formatCode>"$"#,,</c:formatCode>
                <c:ptCount val="7"/>
                <c:pt idx="0">
                  <c:v>702728115.32775736</c:v>
                </c:pt>
                <c:pt idx="1">
                  <c:v>830428101.32387698</c:v>
                </c:pt>
                <c:pt idx="2">
                  <c:v>896394167.65181732</c:v>
                </c:pt>
                <c:pt idx="3">
                  <c:v>930689430.5435524</c:v>
                </c:pt>
                <c:pt idx="4">
                  <c:v>958610537.51406026</c:v>
                </c:pt>
                <c:pt idx="5">
                  <c:v>973974051.09660339</c:v>
                </c:pt>
                <c:pt idx="6">
                  <c:v>982614219.30281579</c:v>
                </c:pt>
              </c:numCache>
            </c:numRef>
          </c:yVal>
          <c:smooth val="0"/>
        </c:ser>
        <c:ser>
          <c:idx val="0"/>
          <c:order val="1"/>
          <c:tx>
            <c:v>Current</c:v>
          </c:tx>
          <c:marker>
            <c:symbol val="square"/>
            <c:size val="8"/>
            <c:spPr>
              <a:solidFill>
                <a:schemeClr val="accent6">
                  <a:lumMod val="50000"/>
                </a:schemeClr>
              </a:solidFill>
            </c:spPr>
          </c:marker>
          <c:dLbls>
            <c:spPr>
              <a:solidFill>
                <a:schemeClr val="bg1"/>
              </a:solidFill>
            </c:spPr>
            <c:showLegendKey val="0"/>
            <c:showVal val="0"/>
            <c:showCatName val="0"/>
            <c:showSerName val="1"/>
            <c:showPercent val="0"/>
            <c:showBubbleSize val="0"/>
            <c:showLeaderLines val="0"/>
          </c:dLbls>
          <c:xVal>
            <c:numRef>
              <c:f>'Charts - Contrib'!$E$5</c:f>
              <c:numCache>
                <c:formatCode>"$"#.0,,</c:formatCode>
                <c:ptCount val="1"/>
                <c:pt idx="0">
                  <c:v>79050884</c:v>
                </c:pt>
              </c:numCache>
            </c:numRef>
          </c:xVal>
          <c:yVal>
            <c:numRef>
              <c:f>'Charts - Contrib'!$F$5</c:f>
              <c:numCache>
                <c:formatCode>"$"#,,</c:formatCode>
                <c:ptCount val="1"/>
                <c:pt idx="0">
                  <c:v>827170348.29772973</c:v>
                </c:pt>
              </c:numCache>
            </c:numRef>
          </c:yVal>
          <c:smooth val="0"/>
        </c:ser>
        <c:ser>
          <c:idx val="3"/>
          <c:order val="2"/>
          <c:tx>
            <c:v>Custom</c:v>
          </c:tx>
          <c:marker>
            <c:symbol val="circle"/>
            <c:size val="9"/>
            <c:spPr>
              <a:solidFill>
                <a:srgbClr val="00B050"/>
              </a:solidFill>
            </c:spPr>
          </c:marker>
          <c:dLbls>
            <c:dLbl>
              <c:idx val="0"/>
              <c:layout>
                <c:manualLayout>
                  <c:x val="-2.5402582619161555E-2"/>
                  <c:y val="-3.5735357317153119E-2"/>
                </c:manualLayout>
              </c:layout>
              <c:showLegendKey val="0"/>
              <c:showVal val="0"/>
              <c:showCatName val="0"/>
              <c:showSerName val="1"/>
              <c:showPercent val="0"/>
              <c:showBubbleSize val="0"/>
            </c:dLbl>
            <c:spPr>
              <a:solidFill>
                <a:schemeClr val="bg1"/>
              </a:solidFill>
            </c:spPr>
            <c:showLegendKey val="0"/>
            <c:showVal val="0"/>
            <c:showCatName val="0"/>
            <c:showSerName val="1"/>
            <c:showPercent val="0"/>
            <c:showBubbleSize val="0"/>
            <c:showLeaderLines val="0"/>
          </c:dLbls>
          <c:xVal>
            <c:numRef>
              <c:f>'Charts - Contrib'!$H$5</c:f>
              <c:numCache>
                <c:formatCode>"$"#.0,,</c:formatCode>
                <c:ptCount val="1"/>
                <c:pt idx="0">
                  <c:v>88941778.999998763</c:v>
                </c:pt>
              </c:numCache>
            </c:numRef>
          </c:xVal>
          <c:yVal>
            <c:numRef>
              <c:f>'Charts - Contrib'!$I$5</c:f>
              <c:numCache>
                <c:formatCode>"$"#,,</c:formatCode>
                <c:ptCount val="1"/>
                <c:pt idx="0">
                  <c:v>984362460.20357931</c:v>
                </c:pt>
              </c:numCache>
            </c:numRef>
          </c:yVal>
          <c:smooth val="0"/>
        </c:ser>
        <c:dLbls>
          <c:showLegendKey val="0"/>
          <c:showVal val="0"/>
          <c:showCatName val="0"/>
          <c:showSerName val="0"/>
          <c:showPercent val="0"/>
          <c:showBubbleSize val="0"/>
        </c:dLbls>
        <c:axId val="324043904"/>
        <c:axId val="324045824"/>
      </c:scatterChart>
      <c:scatterChart>
        <c:scatterStyle val="lineMarker"/>
        <c:varyColors val="0"/>
        <c:ser>
          <c:idx val="4"/>
          <c:order val="3"/>
          <c:tx>
            <c:v>Margimal Return for 20% case</c:v>
          </c:tx>
          <c:spPr>
            <a:ln>
              <a:solidFill>
                <a:srgbClr val="C00000"/>
              </a:solidFill>
              <a:prstDash val="sysDot"/>
            </a:ln>
          </c:spPr>
          <c:marker>
            <c:symbol val="plus"/>
            <c:size val="7"/>
            <c:spPr>
              <a:noFill/>
              <a:ln>
                <a:solidFill>
                  <a:srgbClr val="C00000"/>
                </a:solidFill>
              </a:ln>
            </c:spPr>
          </c:marker>
          <c:dLbls>
            <c:dLbl>
              <c:idx val="0"/>
              <c:layout>
                <c:manualLayout>
                  <c:x val="-0.17955819231159642"/>
                  <c:y val="-5.2420598211532533E-2"/>
                </c:manualLayout>
              </c:layout>
              <c:showLegendKey val="0"/>
              <c:showVal val="0"/>
              <c:showCatName val="0"/>
              <c:showSerName val="1"/>
              <c:showPercent val="0"/>
              <c:showBubbleSize val="0"/>
            </c:dLbl>
            <c:dLbl>
              <c:idx val="1"/>
              <c:delete val="1"/>
            </c:dLbl>
            <c:dLbl>
              <c:idx val="2"/>
              <c:delete val="1"/>
            </c:dLbl>
            <c:dLbl>
              <c:idx val="3"/>
              <c:delete val="1"/>
            </c:dLbl>
            <c:dLbl>
              <c:idx val="4"/>
              <c:delete val="1"/>
            </c:dLbl>
            <c:dLbl>
              <c:idx val="5"/>
              <c:delete val="1"/>
            </c:dLbl>
            <c:spPr>
              <a:solidFill>
                <a:schemeClr val="bg1"/>
              </a:solidFill>
            </c:spPr>
            <c:showLegendKey val="0"/>
            <c:showVal val="0"/>
            <c:showCatName val="0"/>
            <c:showSerName val="1"/>
            <c:showPercent val="0"/>
            <c:showBubbleSize val="0"/>
            <c:showLeaderLines val="0"/>
          </c:dLbls>
          <c:xVal>
            <c:numRef>
              <c:f>'Charts - Contrib'!$A$18:$A$23</c:f>
              <c:numCache>
                <c:formatCode>"$"#.0,,</c:formatCode>
                <c:ptCount val="6"/>
                <c:pt idx="0">
                  <c:v>64050884</c:v>
                </c:pt>
                <c:pt idx="1">
                  <c:v>69050884</c:v>
                </c:pt>
                <c:pt idx="2">
                  <c:v>74050884</c:v>
                </c:pt>
                <c:pt idx="3">
                  <c:v>79050884</c:v>
                </c:pt>
                <c:pt idx="4">
                  <c:v>84050884</c:v>
                </c:pt>
                <c:pt idx="5">
                  <c:v>89050884</c:v>
                </c:pt>
              </c:numCache>
            </c:numRef>
          </c:xVal>
          <c:yVal>
            <c:numRef>
              <c:f>'Charts - Contrib'!$D$18:$D$23</c:f>
              <c:numCache>
                <c:formatCode>#,##0.0</c:formatCode>
                <c:ptCount val="6"/>
                <c:pt idx="0">
                  <c:v>41.8688478675802</c:v>
                </c:pt>
                <c:pt idx="1">
                  <c:v>21.628218468177163</c:v>
                </c:pt>
                <c:pt idx="2">
                  <c:v>11.244348489093468</c:v>
                </c:pt>
                <c:pt idx="3">
                  <c:v>9.1544613018058563</c:v>
                </c:pt>
                <c:pt idx="4">
                  <c:v>5.0372175680469296</c:v>
                </c:pt>
                <c:pt idx="5">
                  <c:v>2.832842034823738</c:v>
                </c:pt>
              </c:numCache>
            </c:numRef>
          </c:yVal>
          <c:smooth val="0"/>
        </c:ser>
        <c:dLbls>
          <c:showLegendKey val="0"/>
          <c:showVal val="0"/>
          <c:showCatName val="0"/>
          <c:showSerName val="0"/>
          <c:showPercent val="0"/>
          <c:showBubbleSize val="0"/>
        </c:dLbls>
        <c:axId val="324066304"/>
        <c:axId val="324064384"/>
      </c:scatterChart>
      <c:valAx>
        <c:axId val="324043904"/>
        <c:scaling>
          <c:orientation val="minMax"/>
          <c:max val="100000000"/>
          <c:min val="55000000"/>
        </c:scaling>
        <c:delete val="0"/>
        <c:axPos val="b"/>
        <c:majorGridlines/>
        <c:title>
          <c:tx>
            <c:rich>
              <a:bodyPr/>
              <a:lstStyle/>
              <a:p>
                <a:pPr>
                  <a:defRPr sz="1200"/>
                </a:pPr>
                <a:r>
                  <a:rPr lang="en-US" sz="1200"/>
                  <a:t>Total Promotion Budget (in MM $)</a:t>
                </a:r>
              </a:p>
            </c:rich>
          </c:tx>
          <c:layout/>
          <c:overlay val="0"/>
        </c:title>
        <c:numFmt formatCode="&quot;$&quot;#,," sourceLinked="1"/>
        <c:majorTickMark val="out"/>
        <c:minorTickMark val="none"/>
        <c:tickLblPos val="nextTo"/>
        <c:crossAx val="324045824"/>
        <c:crosses val="autoZero"/>
        <c:crossBetween val="midCat"/>
        <c:majorUnit val="5000000"/>
      </c:valAx>
      <c:valAx>
        <c:axId val="324045824"/>
        <c:scaling>
          <c:orientation val="minMax"/>
          <c:max val="1100000000"/>
          <c:min val="600000000"/>
        </c:scaling>
        <c:delete val="0"/>
        <c:axPos val="l"/>
        <c:majorGridlines/>
        <c:title>
          <c:tx>
            <c:rich>
              <a:bodyPr rot="-5400000" vert="horz"/>
              <a:lstStyle/>
              <a:p>
                <a:pPr>
                  <a:defRPr sz="1200"/>
                </a:pPr>
                <a:r>
                  <a:rPr lang="en-US" sz="1200"/>
                  <a:t>3-year Incremental Revenue (in MM $)</a:t>
                </a:r>
              </a:p>
            </c:rich>
          </c:tx>
          <c:layout>
            <c:manualLayout>
              <c:xMode val="edge"/>
              <c:yMode val="edge"/>
              <c:x val="2.9926335174953959E-2"/>
              <c:y val="0.18284454921434201"/>
            </c:manualLayout>
          </c:layout>
          <c:overlay val="0"/>
        </c:title>
        <c:numFmt formatCode="&quot;$&quot;#,," sourceLinked="1"/>
        <c:majorTickMark val="out"/>
        <c:minorTickMark val="none"/>
        <c:tickLblPos val="nextTo"/>
        <c:crossAx val="324043904"/>
        <c:crosses val="autoZero"/>
        <c:crossBetween val="midCat"/>
        <c:majorUnit val="100000000"/>
      </c:valAx>
      <c:valAx>
        <c:axId val="324064384"/>
        <c:scaling>
          <c:orientation val="minMax"/>
          <c:max val="50"/>
          <c:min val="0"/>
        </c:scaling>
        <c:delete val="0"/>
        <c:axPos val="r"/>
        <c:title>
          <c:tx>
            <c:rich>
              <a:bodyPr rot="-5400000" vert="horz"/>
              <a:lstStyle/>
              <a:p>
                <a:pPr>
                  <a:defRPr/>
                </a:pPr>
                <a:r>
                  <a:rPr lang="en-US"/>
                  <a:t>Marginal Returns</a:t>
                </a:r>
              </a:p>
            </c:rich>
          </c:tx>
          <c:layout/>
          <c:overlay val="0"/>
        </c:title>
        <c:numFmt formatCode="#,##0" sourceLinked="0"/>
        <c:majorTickMark val="out"/>
        <c:minorTickMark val="none"/>
        <c:tickLblPos val="nextTo"/>
        <c:crossAx val="324066304"/>
        <c:crosses val="max"/>
        <c:crossBetween val="midCat"/>
        <c:majorUnit val="10"/>
      </c:valAx>
      <c:valAx>
        <c:axId val="324066304"/>
        <c:scaling>
          <c:orientation val="minMax"/>
        </c:scaling>
        <c:delete val="1"/>
        <c:axPos val="b"/>
        <c:numFmt formatCode="&quot;$&quot;#.0,," sourceLinked="1"/>
        <c:majorTickMark val="out"/>
        <c:minorTickMark val="none"/>
        <c:tickLblPos val="nextTo"/>
        <c:crossAx val="324064384"/>
        <c:crosses val="autoZero"/>
        <c:crossBetween val="midCat"/>
      </c:valAx>
    </c:plotArea>
    <c:plotVisOnly val="1"/>
    <c:dispBlanksAs val="gap"/>
    <c:showDLblsOverMax val="0"/>
  </c:chart>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latin typeface="Arial Narrow" pitchFamily="34" charset="0"/>
              </a:rPr>
              <a:t>Investment Efficiency</a:t>
            </a:r>
            <a:r>
              <a:rPr lang="en-US" sz="1600" baseline="0">
                <a:latin typeface="Arial Narrow" pitchFamily="34" charset="0"/>
              </a:rPr>
              <a:t> </a:t>
            </a:r>
            <a:r>
              <a:rPr lang="en-US" sz="1600">
                <a:latin typeface="Arial Narrow" pitchFamily="34" charset="0"/>
              </a:rPr>
              <a:t>by Promotion Type</a:t>
            </a:r>
          </a:p>
          <a:p>
            <a:pPr>
              <a:defRPr/>
            </a:pPr>
            <a:r>
              <a:rPr lang="en-US" sz="1200">
                <a:latin typeface="Arial Narrow" pitchFamily="34" charset="0"/>
              </a:rPr>
              <a:t>list</a:t>
            </a:r>
            <a:r>
              <a:rPr lang="en-US" sz="1200" baseline="0">
                <a:latin typeface="Arial Narrow" pitchFamily="34" charset="0"/>
              </a:rPr>
              <a:t>ed in ascending order with least efficient type shown last</a:t>
            </a:r>
            <a:endParaRPr lang="en-US" sz="1200">
              <a:latin typeface="Arial Narrow" pitchFamily="34" charset="0"/>
            </a:endParaRPr>
          </a:p>
        </c:rich>
      </c:tx>
      <c:layout>
        <c:manualLayout>
          <c:xMode val="edge"/>
          <c:yMode val="edge"/>
          <c:x val="0.18468969897310053"/>
          <c:y val="3.2128514056224901E-3"/>
        </c:manualLayout>
      </c:layout>
      <c:overlay val="0"/>
    </c:title>
    <c:autoTitleDeleted val="0"/>
    <c:plotArea>
      <c:layout>
        <c:manualLayout>
          <c:layoutTarget val="inner"/>
          <c:xMode val="edge"/>
          <c:yMode val="edge"/>
          <c:x val="0.14206676403174442"/>
          <c:y val="0.12603231824937544"/>
          <c:w val="0.51926206172742995"/>
          <c:h val="0.78977478417607438"/>
        </c:manualLayout>
      </c:layout>
      <c:barChart>
        <c:barDir val="col"/>
        <c:grouping val="clustered"/>
        <c:varyColors val="0"/>
        <c:ser>
          <c:idx val="1"/>
          <c:order val="0"/>
          <c:tx>
            <c:strRef>
              <c:f>Graph!$B$1</c:f>
              <c:strCache>
                <c:ptCount val="1"/>
                <c:pt idx="0">
                  <c:v>Januvia Samples</c:v>
                </c:pt>
              </c:strCache>
            </c:strRef>
          </c:tx>
          <c:invertIfNegative val="0"/>
          <c:val>
            <c:numRef>
              <c:f>Graph!$B$4</c:f>
            </c:numRef>
          </c:val>
        </c:ser>
        <c:ser>
          <c:idx val="0"/>
          <c:order val="1"/>
          <c:tx>
            <c:strRef>
              <c:f>Graph!$C$1</c:f>
              <c:strCache>
                <c:ptCount val="1"/>
                <c:pt idx="0">
                  <c:v>Janumet + XR Samples</c:v>
                </c:pt>
              </c:strCache>
            </c:strRef>
          </c:tx>
          <c:invertIfNegative val="0"/>
          <c:val>
            <c:numRef>
              <c:f>Graph!$C$4</c:f>
            </c:numRef>
          </c:val>
        </c:ser>
        <c:ser>
          <c:idx val="4"/>
          <c:order val="2"/>
          <c:tx>
            <c:strRef>
              <c:f>Graph!$F$1</c:f>
              <c:strCache>
                <c:ptCount val="1"/>
                <c:pt idx="0">
                  <c:v>Janvia Family HCC</c:v>
                </c:pt>
              </c:strCache>
            </c:strRef>
          </c:tx>
          <c:invertIfNegative val="0"/>
          <c:val>
            <c:numRef>
              <c:f>Graph!$F$4</c:f>
              <c:numCache>
                <c:formatCode>"$"#,##0.0_);\("$"#,##0.0\)</c:formatCode>
                <c:ptCount val="1"/>
                <c:pt idx="0">
                  <c:v>11.34</c:v>
                </c:pt>
              </c:numCache>
            </c:numRef>
          </c:val>
        </c:ser>
        <c:ser>
          <c:idx val="5"/>
          <c:order val="3"/>
          <c:tx>
            <c:strRef>
              <c:f>Graph!$G$1</c:f>
              <c:strCache>
                <c:ptCount val="1"/>
                <c:pt idx="0">
                  <c:v>Janvia Family MCM</c:v>
                </c:pt>
              </c:strCache>
            </c:strRef>
          </c:tx>
          <c:invertIfNegative val="0"/>
          <c:val>
            <c:numRef>
              <c:f>Graph!$G$4</c:f>
              <c:numCache>
                <c:formatCode>"$"#,##0.0_);\("$"#,##0.0\)</c:formatCode>
                <c:ptCount val="1"/>
                <c:pt idx="0">
                  <c:v>16.16</c:v>
                </c:pt>
              </c:numCache>
            </c:numRef>
          </c:val>
        </c:ser>
        <c:ser>
          <c:idx val="2"/>
          <c:order val="4"/>
          <c:tx>
            <c:strRef>
              <c:f>Graph!$D$1</c:f>
              <c:strCache>
                <c:ptCount val="1"/>
                <c:pt idx="0">
                  <c:v>Janvia Family Vouchers</c:v>
                </c:pt>
              </c:strCache>
            </c:strRef>
          </c:tx>
          <c:invertIfNegative val="0"/>
          <c:val>
            <c:numRef>
              <c:f>Graph!$D$4</c:f>
              <c:numCache>
                <c:formatCode>"$"#,##0.0_);\("$"#,##0.0\)</c:formatCode>
                <c:ptCount val="1"/>
                <c:pt idx="0">
                  <c:v>19.98</c:v>
                </c:pt>
              </c:numCache>
            </c:numRef>
          </c:val>
        </c:ser>
        <c:ser>
          <c:idx val="6"/>
          <c:order val="5"/>
          <c:tx>
            <c:strRef>
              <c:f>Graph!$H$1</c:f>
              <c:strCache>
                <c:ptCount val="1"/>
                <c:pt idx="0">
                  <c:v>Janvia Family HCC Acquisition</c:v>
                </c:pt>
              </c:strCache>
            </c:strRef>
          </c:tx>
          <c:invertIfNegative val="0"/>
          <c:val>
            <c:numRef>
              <c:f>Graph!$H$4</c:f>
              <c:numCache>
                <c:formatCode>"$"#,##0.0_);\("$"#,##0.0\)</c:formatCode>
                <c:ptCount val="1"/>
                <c:pt idx="0">
                  <c:v>33.6</c:v>
                </c:pt>
              </c:numCache>
            </c:numRef>
          </c:val>
        </c:ser>
        <c:ser>
          <c:idx val="7"/>
          <c:order val="6"/>
          <c:tx>
            <c:strRef>
              <c:f>Graph!$I$1</c:f>
              <c:strCache>
                <c:ptCount val="1"/>
                <c:pt idx="0">
                  <c:v>Janvia Family Adherence Programs</c:v>
                </c:pt>
              </c:strCache>
            </c:strRef>
          </c:tx>
          <c:invertIfNegative val="0"/>
          <c:val>
            <c:numRef>
              <c:f>Graph!$I$4</c:f>
              <c:numCache>
                <c:formatCode>"$"#,##0.0_);\("$"#,##0.0\)</c:formatCode>
                <c:ptCount val="1"/>
                <c:pt idx="0">
                  <c:v>41.61</c:v>
                </c:pt>
              </c:numCache>
            </c:numRef>
          </c:val>
        </c:ser>
        <c:ser>
          <c:idx val="3"/>
          <c:order val="7"/>
          <c:tx>
            <c:strRef>
              <c:f>Graph!$E$1</c:f>
              <c:strCache>
                <c:ptCount val="1"/>
                <c:pt idx="0">
                  <c:v>Janvia Family MMF</c:v>
                </c:pt>
              </c:strCache>
            </c:strRef>
          </c:tx>
          <c:invertIfNegative val="0"/>
          <c:val>
            <c:numRef>
              <c:f>Graph!$E$4</c:f>
              <c:numCache>
                <c:formatCode>"$"#,##0.0_);\("$"#,##0.0\)</c:formatCode>
                <c:ptCount val="1"/>
                <c:pt idx="0">
                  <c:v>130.62</c:v>
                </c:pt>
              </c:numCache>
            </c:numRef>
          </c:val>
        </c:ser>
        <c:dLbls>
          <c:showLegendKey val="0"/>
          <c:showVal val="0"/>
          <c:showCatName val="0"/>
          <c:showSerName val="0"/>
          <c:showPercent val="0"/>
          <c:showBubbleSize val="0"/>
        </c:dLbls>
        <c:gapWidth val="150"/>
        <c:axId val="321831680"/>
        <c:axId val="321833600"/>
      </c:barChart>
      <c:catAx>
        <c:axId val="321831680"/>
        <c:scaling>
          <c:orientation val="minMax"/>
        </c:scaling>
        <c:delete val="1"/>
        <c:axPos val="b"/>
        <c:title>
          <c:tx>
            <c:rich>
              <a:bodyPr/>
              <a:lstStyle/>
              <a:p>
                <a:pPr>
                  <a:defRPr/>
                </a:pPr>
                <a:r>
                  <a:rPr lang="en-US"/>
                  <a:t>Bars Represent</a:t>
                </a:r>
                <a:r>
                  <a:rPr lang="en-US" baseline="0"/>
                  <a:t> Average Historical Investment per Incremental TRx</a:t>
                </a:r>
                <a:endParaRPr lang="en-US"/>
              </a:p>
            </c:rich>
          </c:tx>
          <c:overlay val="0"/>
        </c:title>
        <c:majorTickMark val="out"/>
        <c:minorTickMark val="none"/>
        <c:tickLblPos val="nextTo"/>
        <c:crossAx val="321833600"/>
        <c:crosses val="autoZero"/>
        <c:auto val="1"/>
        <c:lblAlgn val="ctr"/>
        <c:lblOffset val="100"/>
        <c:noMultiLvlLbl val="0"/>
      </c:catAx>
      <c:valAx>
        <c:axId val="321833600"/>
        <c:scaling>
          <c:orientation val="minMax"/>
        </c:scaling>
        <c:delete val="0"/>
        <c:axPos val="l"/>
        <c:majorGridlines/>
        <c:title>
          <c:tx>
            <c:rich>
              <a:bodyPr rot="-5400000" vert="horz"/>
              <a:lstStyle/>
              <a:p>
                <a:pPr>
                  <a:defRPr sz="1100"/>
                </a:pPr>
                <a:r>
                  <a:rPr lang="en-US" sz="1100" b="0"/>
                  <a:t>Dollars Invested per Incremental TRx</a:t>
                </a:r>
              </a:p>
            </c:rich>
          </c:tx>
          <c:overlay val="0"/>
        </c:title>
        <c:numFmt formatCode="&quot;$&quot;#,##0_);\(&quot;$&quot;#,##0\)" sourceLinked="0"/>
        <c:majorTickMark val="out"/>
        <c:minorTickMark val="none"/>
        <c:tickLblPos val="nextTo"/>
        <c:crossAx val="321831680"/>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latin typeface="Arial Narrow" pitchFamily="34" charset="0"/>
              </a:rPr>
              <a:t>TRx Contribution by Promotion Type</a:t>
            </a:r>
          </a:p>
          <a:p>
            <a:pPr>
              <a:defRPr/>
            </a:pPr>
            <a:r>
              <a:rPr lang="en-US" sz="1200">
                <a:latin typeface="Arial Narrow" pitchFamily="34" charset="0"/>
              </a:rPr>
              <a:t>listed</a:t>
            </a:r>
            <a:r>
              <a:rPr lang="en-US" sz="1200" baseline="0">
                <a:latin typeface="Arial Narrow" pitchFamily="34" charset="0"/>
              </a:rPr>
              <a:t> in ascending order with largest contributor shown last</a:t>
            </a:r>
            <a:endParaRPr lang="en-US" sz="1200">
              <a:latin typeface="Arial Narrow" pitchFamily="34" charset="0"/>
            </a:endParaRPr>
          </a:p>
        </c:rich>
      </c:tx>
      <c:layout>
        <c:manualLayout>
          <c:xMode val="edge"/>
          <c:yMode val="edge"/>
          <c:x val="0.17490423494360505"/>
          <c:y val="0"/>
        </c:manualLayout>
      </c:layout>
      <c:overlay val="0"/>
    </c:title>
    <c:autoTitleDeleted val="0"/>
    <c:plotArea>
      <c:layout>
        <c:manualLayout>
          <c:layoutTarget val="inner"/>
          <c:xMode val="edge"/>
          <c:yMode val="edge"/>
          <c:x val="0.10872951691849329"/>
          <c:y val="0.12430724577335614"/>
          <c:w val="0.54401805348655741"/>
          <c:h val="0.79098960744584645"/>
        </c:manualLayout>
      </c:layout>
      <c:barChart>
        <c:barDir val="col"/>
        <c:grouping val="stacked"/>
        <c:varyColors val="0"/>
        <c:ser>
          <c:idx val="1"/>
          <c:order val="0"/>
          <c:tx>
            <c:strRef>
              <c:f>Graph!$C$1</c:f>
              <c:strCache>
                <c:ptCount val="1"/>
                <c:pt idx="0">
                  <c:v>Janumet + XR Samples</c:v>
                </c:pt>
              </c:strCache>
            </c:strRef>
          </c:tx>
          <c:invertIfNegative val="0"/>
          <c:dLbls>
            <c:dLbl>
              <c:idx val="0"/>
              <c:spPr/>
              <c:txPr>
                <a:bodyPr/>
                <a:lstStyle/>
                <a:p>
                  <a:pPr>
                    <a:defRPr>
                      <a:solidFill>
                        <a:schemeClr val="bg1"/>
                      </a:solidFill>
                    </a:defRPr>
                  </a:pPr>
                  <a:endParaRPr lang="en-US"/>
                </a:p>
              </c:txPr>
              <c:showLegendKey val="0"/>
              <c:showVal val="1"/>
              <c:showCatName val="0"/>
              <c:showSerName val="0"/>
              <c:showPercent val="0"/>
              <c:showBubbleSize val="0"/>
            </c:dLbl>
            <c:showLegendKey val="0"/>
            <c:showVal val="1"/>
            <c:showCatName val="0"/>
            <c:showSerName val="0"/>
            <c:showPercent val="0"/>
            <c:showBubbleSize val="0"/>
            <c:showLeaderLines val="0"/>
          </c:dLbls>
          <c:val>
            <c:numRef>
              <c:f>Graph!$C$3</c:f>
            </c:numRef>
          </c:val>
        </c:ser>
        <c:ser>
          <c:idx val="0"/>
          <c:order val="1"/>
          <c:tx>
            <c:strRef>
              <c:f>Graph!$B$1</c:f>
              <c:strCache>
                <c:ptCount val="1"/>
                <c:pt idx="0">
                  <c:v>Januvia Samples</c:v>
                </c:pt>
              </c:strCache>
            </c:strRef>
          </c:tx>
          <c:invertIfNegative val="0"/>
          <c:dLbls>
            <c:txPr>
              <a:bodyPr/>
              <a:lstStyle/>
              <a:p>
                <a:pPr>
                  <a:defRPr>
                    <a:solidFill>
                      <a:schemeClr val="bg1"/>
                    </a:solidFill>
                  </a:defRPr>
                </a:pPr>
                <a:endParaRPr lang="en-US"/>
              </a:p>
            </c:txPr>
            <c:showLegendKey val="0"/>
            <c:showVal val="1"/>
            <c:showCatName val="0"/>
            <c:showSerName val="0"/>
            <c:showPercent val="0"/>
            <c:showBubbleSize val="0"/>
            <c:showLeaderLines val="0"/>
          </c:dLbls>
          <c:val>
            <c:numRef>
              <c:f>Graph!$B$3</c:f>
            </c:numRef>
          </c:val>
        </c:ser>
        <c:ser>
          <c:idx val="4"/>
          <c:order val="2"/>
          <c:tx>
            <c:strRef>
              <c:f>Graph!$F$1</c:f>
              <c:strCache>
                <c:ptCount val="1"/>
                <c:pt idx="0">
                  <c:v>Janvia Family HCC</c:v>
                </c:pt>
              </c:strCache>
            </c:strRef>
          </c:tx>
          <c:invertIfNegative val="0"/>
          <c:dLbls>
            <c:txPr>
              <a:bodyPr/>
              <a:lstStyle/>
              <a:p>
                <a:pPr>
                  <a:defRPr>
                    <a:solidFill>
                      <a:schemeClr val="bg1"/>
                    </a:solidFill>
                  </a:defRPr>
                </a:pPr>
                <a:endParaRPr lang="en-US"/>
              </a:p>
            </c:txPr>
            <c:showLegendKey val="0"/>
            <c:showVal val="1"/>
            <c:showCatName val="0"/>
            <c:showSerName val="0"/>
            <c:showPercent val="0"/>
            <c:showBubbleSize val="0"/>
            <c:showLeaderLines val="0"/>
          </c:dLbls>
          <c:val>
            <c:numRef>
              <c:f>Graph!$F$3</c:f>
              <c:numCache>
                <c:formatCode>#,###,</c:formatCode>
                <c:ptCount val="1"/>
                <c:pt idx="0">
                  <c:v>1978496.8017817349</c:v>
                </c:pt>
              </c:numCache>
            </c:numRef>
          </c:val>
        </c:ser>
        <c:ser>
          <c:idx val="7"/>
          <c:order val="3"/>
          <c:tx>
            <c:strRef>
              <c:f>Graph!$I$1</c:f>
              <c:strCache>
                <c:ptCount val="1"/>
                <c:pt idx="0">
                  <c:v>Janvia Family Adherence Programs</c:v>
                </c:pt>
              </c:strCache>
            </c:strRef>
          </c:tx>
          <c:invertIfNegative val="0"/>
          <c:dLbls>
            <c:txPr>
              <a:bodyPr/>
              <a:lstStyle/>
              <a:p>
                <a:pPr>
                  <a:defRPr>
                    <a:solidFill>
                      <a:schemeClr val="bg1"/>
                    </a:solidFill>
                  </a:defRPr>
                </a:pPr>
                <a:endParaRPr lang="en-US"/>
              </a:p>
            </c:txPr>
            <c:showLegendKey val="0"/>
            <c:showVal val="1"/>
            <c:showCatName val="0"/>
            <c:showSerName val="0"/>
            <c:showPercent val="0"/>
            <c:showBubbleSize val="0"/>
            <c:showLeaderLines val="0"/>
          </c:dLbls>
          <c:val>
            <c:numRef>
              <c:f>Graph!$I$3</c:f>
              <c:numCache>
                <c:formatCode>#,###,</c:formatCode>
                <c:ptCount val="1"/>
                <c:pt idx="0">
                  <c:v>357940.73004525516</c:v>
                </c:pt>
              </c:numCache>
            </c:numRef>
          </c:val>
        </c:ser>
        <c:ser>
          <c:idx val="5"/>
          <c:order val="4"/>
          <c:tx>
            <c:strRef>
              <c:f>Graph!$G$1</c:f>
              <c:strCache>
                <c:ptCount val="1"/>
                <c:pt idx="0">
                  <c:v>Janvia Family MCM</c:v>
                </c:pt>
              </c:strCache>
            </c:strRef>
          </c:tx>
          <c:invertIfNegative val="0"/>
          <c:dLbls>
            <c:dLbl>
              <c:idx val="0"/>
              <c:layout>
                <c:manualLayout>
                  <c:x val="-4.504681847201532E-3"/>
                  <c:y val="-3.2323228209880936E-3"/>
                </c:manualLayout>
              </c:layout>
              <c:showLegendKey val="0"/>
              <c:showVal val="1"/>
              <c:showCatName val="0"/>
              <c:showSerName val="0"/>
              <c:showPercent val="0"/>
              <c:showBubbleSize val="0"/>
            </c:dLbl>
            <c:txPr>
              <a:bodyPr/>
              <a:lstStyle/>
              <a:p>
                <a:pPr>
                  <a:defRPr>
                    <a:solidFill>
                      <a:schemeClr val="bg1"/>
                    </a:solidFill>
                  </a:defRPr>
                </a:pPr>
                <a:endParaRPr lang="en-US"/>
              </a:p>
            </c:txPr>
            <c:showLegendKey val="0"/>
            <c:showVal val="1"/>
            <c:showCatName val="0"/>
            <c:showSerName val="0"/>
            <c:showPercent val="0"/>
            <c:showBubbleSize val="0"/>
            <c:showLeaderLines val="0"/>
          </c:dLbls>
          <c:val>
            <c:numRef>
              <c:f>Graph!$G$3</c:f>
              <c:numCache>
                <c:formatCode>#,###,</c:formatCode>
                <c:ptCount val="1"/>
                <c:pt idx="0">
                  <c:v>435094.06134423031</c:v>
                </c:pt>
              </c:numCache>
            </c:numRef>
          </c:val>
        </c:ser>
        <c:ser>
          <c:idx val="2"/>
          <c:order val="5"/>
          <c:tx>
            <c:strRef>
              <c:f>Graph!$D$1</c:f>
              <c:strCache>
                <c:ptCount val="1"/>
                <c:pt idx="0">
                  <c:v>Janvia Family Vouchers</c:v>
                </c:pt>
              </c:strCache>
            </c:strRef>
          </c:tx>
          <c:invertIfNegative val="0"/>
          <c:dLbls>
            <c:dLbl>
              <c:idx val="0"/>
              <c:layout>
                <c:manualLayout>
                  <c:x val="0.1872297912468141"/>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val>
            <c:numRef>
              <c:f>Graph!$D$3</c:f>
              <c:numCache>
                <c:formatCode>#,###,</c:formatCode>
                <c:ptCount val="1"/>
                <c:pt idx="0">
                  <c:v>190387.5567571299</c:v>
                </c:pt>
              </c:numCache>
            </c:numRef>
          </c:val>
        </c:ser>
        <c:ser>
          <c:idx val="6"/>
          <c:order val="6"/>
          <c:tx>
            <c:strRef>
              <c:f>Graph!$H$1</c:f>
              <c:strCache>
                <c:ptCount val="1"/>
                <c:pt idx="0">
                  <c:v>Janvia Family HCC Acquisition</c:v>
                </c:pt>
              </c:strCache>
            </c:strRef>
          </c:tx>
          <c:invertIfNegative val="0"/>
          <c:dLbls>
            <c:dLbl>
              <c:idx val="0"/>
              <c:layout>
                <c:manualLayout>
                  <c:x val="0.1692285019660176"/>
                  <c:y val="-1.2929276742133216E-2"/>
                </c:manualLayout>
              </c:layout>
              <c:showLegendKey val="0"/>
              <c:showVal val="1"/>
              <c:showCatName val="0"/>
              <c:showSerName val="0"/>
              <c:showPercent val="0"/>
              <c:showBubbleSize val="0"/>
            </c:dLbl>
            <c:showLegendKey val="0"/>
            <c:showVal val="1"/>
            <c:showCatName val="0"/>
            <c:showSerName val="0"/>
            <c:showPercent val="0"/>
            <c:showBubbleSize val="0"/>
            <c:showLeaderLines val="0"/>
          </c:dLbls>
          <c:val>
            <c:numRef>
              <c:f>Graph!$H$3</c:f>
              <c:numCache>
                <c:formatCode>#,###,</c:formatCode>
                <c:ptCount val="1"/>
                <c:pt idx="0">
                  <c:v>105224.20497399547</c:v>
                </c:pt>
              </c:numCache>
            </c:numRef>
          </c:val>
        </c:ser>
        <c:ser>
          <c:idx val="3"/>
          <c:order val="7"/>
          <c:tx>
            <c:strRef>
              <c:f>Graph!$E$1</c:f>
              <c:strCache>
                <c:ptCount val="1"/>
                <c:pt idx="0">
                  <c:v>Janvia Family MMF</c:v>
                </c:pt>
              </c:strCache>
            </c:strRef>
          </c:tx>
          <c:invertIfNegative val="0"/>
          <c:dLbls>
            <c:dLbl>
              <c:idx val="0"/>
              <c:layout>
                <c:manualLayout>
                  <c:x val="0.14633929204795346"/>
                  <c:y val="-3.5555551030869194E-2"/>
                </c:manualLayout>
              </c:layout>
              <c:showLegendKey val="0"/>
              <c:showVal val="1"/>
              <c:showCatName val="0"/>
              <c:showSerName val="0"/>
              <c:showPercent val="0"/>
              <c:showBubbleSize val="0"/>
            </c:dLbl>
            <c:showLegendKey val="0"/>
            <c:showVal val="1"/>
            <c:showCatName val="0"/>
            <c:showSerName val="0"/>
            <c:showPercent val="0"/>
            <c:showBubbleSize val="0"/>
            <c:showLeaderLines val="0"/>
          </c:dLbls>
          <c:val>
            <c:numRef>
              <c:f>Graph!$E$3</c:f>
              <c:numCache>
                <c:formatCode>#,###,</c:formatCode>
                <c:ptCount val="1"/>
                <c:pt idx="0">
                  <c:v>28267.937280000002</c:v>
                </c:pt>
              </c:numCache>
            </c:numRef>
          </c:val>
        </c:ser>
        <c:dLbls>
          <c:showLegendKey val="0"/>
          <c:showVal val="0"/>
          <c:showCatName val="0"/>
          <c:showSerName val="0"/>
          <c:showPercent val="0"/>
          <c:showBubbleSize val="0"/>
        </c:dLbls>
        <c:gapWidth val="150"/>
        <c:overlap val="100"/>
        <c:axId val="322044288"/>
        <c:axId val="322046208"/>
      </c:barChart>
      <c:catAx>
        <c:axId val="322044288"/>
        <c:scaling>
          <c:orientation val="minMax"/>
        </c:scaling>
        <c:delete val="1"/>
        <c:axPos val="b"/>
        <c:title>
          <c:tx>
            <c:rich>
              <a:bodyPr/>
              <a:lstStyle/>
              <a:p>
                <a:pPr>
                  <a:defRPr/>
                </a:pPr>
                <a:r>
                  <a:rPr lang="en-US"/>
                  <a:t>Blocks Represent Incremental</a:t>
                </a:r>
                <a:r>
                  <a:rPr lang="en-US" baseline="0"/>
                  <a:t> </a:t>
                </a:r>
                <a:r>
                  <a:rPr lang="en-US"/>
                  <a:t>TRx Contributed over 3</a:t>
                </a:r>
                <a:r>
                  <a:rPr lang="en-US" baseline="0"/>
                  <a:t> years </a:t>
                </a:r>
                <a:r>
                  <a:rPr lang="en-US"/>
                  <a:t>per</a:t>
                </a:r>
                <a:r>
                  <a:rPr lang="en-US" baseline="0"/>
                  <a:t> Promotion Type</a:t>
                </a:r>
                <a:endParaRPr lang="en-US"/>
              </a:p>
            </c:rich>
          </c:tx>
          <c:overlay val="0"/>
        </c:title>
        <c:majorTickMark val="out"/>
        <c:minorTickMark val="none"/>
        <c:tickLblPos val="nextTo"/>
        <c:crossAx val="322046208"/>
        <c:crosses val="autoZero"/>
        <c:auto val="1"/>
        <c:lblAlgn val="ctr"/>
        <c:lblOffset val="100"/>
        <c:noMultiLvlLbl val="0"/>
      </c:catAx>
      <c:valAx>
        <c:axId val="322046208"/>
        <c:scaling>
          <c:orientation val="minMax"/>
        </c:scaling>
        <c:delete val="0"/>
        <c:axPos val="l"/>
        <c:majorGridlines/>
        <c:title>
          <c:tx>
            <c:rich>
              <a:bodyPr rot="-5400000" vert="horz"/>
              <a:lstStyle/>
              <a:p>
                <a:pPr>
                  <a:defRPr/>
                </a:pPr>
                <a:r>
                  <a:rPr lang="en-US" sz="800" b="0"/>
                  <a:t>TRx Contribution in Thousands</a:t>
                </a:r>
              </a:p>
            </c:rich>
          </c:tx>
          <c:layout>
            <c:manualLayout>
              <c:xMode val="edge"/>
              <c:yMode val="edge"/>
              <c:x val="0"/>
              <c:y val="0.30578995551865673"/>
            </c:manualLayout>
          </c:layout>
          <c:overlay val="0"/>
        </c:title>
        <c:numFmt formatCode="#,###," sourceLinked="1"/>
        <c:majorTickMark val="out"/>
        <c:minorTickMark val="none"/>
        <c:tickLblPos val="nextTo"/>
        <c:crossAx val="322044288"/>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Change in Incr. TRx</a:t>
            </a:r>
          </a:p>
        </c:rich>
      </c:tx>
      <c:layout>
        <c:manualLayout>
          <c:xMode val="edge"/>
          <c:yMode val="edge"/>
          <c:x val="0.24536695939615086"/>
          <c:y val="6.2202814785581066E-3"/>
        </c:manualLayout>
      </c:layout>
      <c:overlay val="0"/>
    </c:title>
    <c:autoTitleDeleted val="0"/>
    <c:plotArea>
      <c:layout>
        <c:manualLayout>
          <c:layoutTarget val="inner"/>
          <c:xMode val="edge"/>
          <c:yMode val="edge"/>
          <c:x val="0.12135994087213599"/>
          <c:y val="0.11784267669855739"/>
          <c:w val="0.76293422025129343"/>
          <c:h val="0.76488626421697292"/>
        </c:manualLayout>
      </c:layout>
      <c:barChart>
        <c:barDir val="bar"/>
        <c:grouping val="clustered"/>
        <c:varyColors val="0"/>
        <c:ser>
          <c:idx val="0"/>
          <c:order val="0"/>
          <c:tx>
            <c:v>Change in Incr. Revenue</c:v>
          </c:tx>
          <c:spPr>
            <a:solidFill>
              <a:schemeClr val="tx2">
                <a:lumMod val="60000"/>
                <a:lumOff val="40000"/>
              </a:schemeClr>
            </a:solidFill>
            <a:ln>
              <a:solidFill>
                <a:schemeClr val="tx1"/>
              </a:solidFill>
            </a:ln>
          </c:spPr>
          <c:invertIfNegative val="0"/>
          <c:dLbls>
            <c:numFmt formatCode="#,##0" sourceLinked="0"/>
            <c:dLblPos val="outEnd"/>
            <c:showLegendKey val="0"/>
            <c:showVal val="1"/>
            <c:showCatName val="0"/>
            <c:showSerName val="0"/>
            <c:showPercent val="0"/>
            <c:showBubbleSize val="0"/>
            <c:showLeaderLines val="0"/>
          </c:dLbls>
          <c:cat>
            <c:strRef>
              <c:f>'Custom Case'!$I$4:$I$11</c:f>
              <c:strCache>
                <c:ptCount val="8"/>
                <c:pt idx="0">
                  <c:v>Samples - JAN</c:v>
                </c:pt>
                <c:pt idx="1">
                  <c:v>Samples - JMT</c:v>
                </c:pt>
                <c:pt idx="2">
                  <c:v>HCC Media</c:v>
                </c:pt>
                <c:pt idx="3">
                  <c:v>MCM</c:v>
                </c:pt>
                <c:pt idx="4">
                  <c:v>Vouchers</c:v>
                </c:pt>
                <c:pt idx="5">
                  <c:v>Phar. Acquisition</c:v>
                </c:pt>
                <c:pt idx="6">
                  <c:v>Adherence</c:v>
                </c:pt>
                <c:pt idx="7">
                  <c:v>MMF</c:v>
                </c:pt>
              </c:strCache>
            </c:strRef>
          </c:cat>
          <c:val>
            <c:numRef>
              <c:f>'Custom Case'!$L$4:$L$11</c:f>
              <c:numCache>
                <c:formatCode>#,##0,</c:formatCode>
                <c:ptCount val="8"/>
                <c:pt idx="0">
                  <c:v>544713.72703105956</c:v>
                </c:pt>
                <c:pt idx="1">
                  <c:v>657095.53106812481</c:v>
                </c:pt>
                <c:pt idx="2">
                  <c:v>739400.63820579578</c:v>
                </c:pt>
                <c:pt idx="3">
                  <c:v>-87009.241702676751</c:v>
                </c:pt>
                <c:pt idx="4">
                  <c:v>-19039.463567806059</c:v>
                </c:pt>
                <c:pt idx="5">
                  <c:v>0</c:v>
                </c:pt>
                <c:pt idx="6">
                  <c:v>-59578.068558325991</c:v>
                </c:pt>
                <c:pt idx="7">
                  <c:v>0</c:v>
                </c:pt>
              </c:numCache>
            </c:numRef>
          </c:val>
        </c:ser>
        <c:dLbls>
          <c:dLblPos val="outEnd"/>
          <c:showLegendKey val="0"/>
          <c:showVal val="1"/>
          <c:showCatName val="0"/>
          <c:showSerName val="0"/>
          <c:showPercent val="0"/>
          <c:showBubbleSize val="0"/>
        </c:dLbls>
        <c:gapWidth val="102"/>
        <c:axId val="111514752"/>
        <c:axId val="111533440"/>
      </c:barChart>
      <c:catAx>
        <c:axId val="111514752"/>
        <c:scaling>
          <c:orientation val="maxMin"/>
        </c:scaling>
        <c:delete val="0"/>
        <c:axPos val="l"/>
        <c:majorTickMark val="out"/>
        <c:minorTickMark val="none"/>
        <c:tickLblPos val="none"/>
        <c:txPr>
          <a:bodyPr/>
          <a:lstStyle/>
          <a:p>
            <a:pPr>
              <a:defRPr sz="1200"/>
            </a:pPr>
            <a:endParaRPr lang="en-US"/>
          </a:p>
        </c:txPr>
        <c:crossAx val="111533440"/>
        <c:crosses val="autoZero"/>
        <c:auto val="1"/>
        <c:lblAlgn val="ctr"/>
        <c:lblOffset val="100"/>
        <c:noMultiLvlLbl val="0"/>
      </c:catAx>
      <c:valAx>
        <c:axId val="111533440"/>
        <c:scaling>
          <c:orientation val="minMax"/>
          <c:min val="-400000"/>
        </c:scaling>
        <c:delete val="0"/>
        <c:axPos val="t"/>
        <c:majorGridlines/>
        <c:title>
          <c:tx>
            <c:rich>
              <a:bodyPr/>
              <a:lstStyle/>
              <a:p>
                <a:pPr>
                  <a:defRPr sz="1200"/>
                </a:pPr>
                <a:r>
                  <a:rPr lang="en-US" sz="1100"/>
                  <a:t>Change</a:t>
                </a:r>
                <a:r>
                  <a:rPr lang="en-US" sz="1100" baseline="0"/>
                  <a:t> in 3-Year Incr. TRx</a:t>
                </a:r>
                <a:r>
                  <a:rPr lang="en-US" sz="1100"/>
                  <a:t> (in '000)</a:t>
                </a:r>
              </a:p>
            </c:rich>
          </c:tx>
          <c:layout>
            <c:manualLayout>
              <c:xMode val="edge"/>
              <c:yMode val="edge"/>
              <c:x val="0.18205853425749718"/>
              <c:y val="0.91953651306925355"/>
            </c:manualLayout>
          </c:layout>
          <c:overlay val="0"/>
        </c:title>
        <c:numFmt formatCode="#,##0" sourceLinked="0"/>
        <c:majorTickMark val="none"/>
        <c:minorTickMark val="none"/>
        <c:tickLblPos val="high"/>
        <c:crossAx val="111514752"/>
        <c:crosses val="autoZero"/>
        <c:crossBetween val="between"/>
        <c:dispUnits>
          <c:builtInUnit val="thousands"/>
        </c:dispUnits>
      </c:valAx>
      <c:spPr>
        <a:ln>
          <a:solidFill>
            <a:schemeClr val="tx1"/>
          </a:solidFill>
        </a:ln>
      </c:spPr>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Januvia: Estimated </a:t>
            </a:r>
            <a:r>
              <a:rPr lang="en-US" sz="1200">
                <a:solidFill>
                  <a:srgbClr val="0000FF"/>
                </a:solidFill>
              </a:rPr>
              <a:t>Incr. TRx </a:t>
            </a:r>
            <a:r>
              <a:rPr lang="en-US" sz="1200"/>
              <a:t>from Sample Spend</a:t>
            </a:r>
          </a:p>
        </c:rich>
      </c:tx>
      <c:overlay val="0"/>
    </c:title>
    <c:autoTitleDeleted val="0"/>
    <c:plotArea>
      <c:layout/>
      <c:scatterChart>
        <c:scatterStyle val="lineMarker"/>
        <c:varyColors val="0"/>
        <c:ser>
          <c:idx val="0"/>
          <c:order val="0"/>
          <c:tx>
            <c:v>Curr</c:v>
          </c:tx>
          <c:spPr>
            <a:ln w="44450">
              <a:solidFill>
                <a:srgbClr val="C00000"/>
              </a:solidFill>
            </a:ln>
          </c:spPr>
          <c:marker>
            <c:symbol val="diamond"/>
            <c:size val="9"/>
            <c:spPr>
              <a:solidFill>
                <a:srgbClr val="C00000"/>
              </a:solidFill>
              <a:ln w="19050">
                <a:solidFill>
                  <a:srgbClr val="C00000"/>
                </a:solidFill>
              </a:ln>
            </c:spPr>
          </c:marker>
          <c:dLbls>
            <c:dLbl>
              <c:idx val="0"/>
              <c:layout>
                <c:manualLayout>
                  <c:x val="-2.4015369836695487E-3"/>
                  <c:y val="1.4814814814814815E-2"/>
                </c:manualLayout>
              </c:layout>
              <c:dLblPos val="r"/>
              <c:showLegendKey val="0"/>
              <c:showVal val="0"/>
              <c:showCatName val="1"/>
              <c:showSerName val="1"/>
              <c:showPercent val="0"/>
              <c:showBubbleSize val="0"/>
              <c:separator>; </c:separator>
            </c:dLbl>
            <c:numFmt formatCode="&quot;$&quot;#,##0.0" sourceLinked="0"/>
            <c:txPr>
              <a:bodyPr/>
              <a:lstStyle/>
              <a:p>
                <a:pPr>
                  <a:defRPr sz="1000"/>
                </a:pPr>
                <a:endParaRPr lang="en-US"/>
              </a:p>
            </c:txPr>
            <c:dLblPos val="r"/>
            <c:showLegendKey val="0"/>
            <c:showVal val="0"/>
            <c:showCatName val="1"/>
            <c:showSerName val="1"/>
            <c:showPercent val="0"/>
            <c:showBubbleSize val="0"/>
            <c:separator>; </c:separator>
            <c:showLeaderLines val="0"/>
          </c:dLbls>
          <c:xVal>
            <c:numRef>
              <c:f>[1]JANSample!$G$9</c:f>
              <c:numCache>
                <c:formatCode>General</c:formatCode>
                <c:ptCount val="1"/>
                <c:pt idx="0">
                  <c:v>5991499</c:v>
                </c:pt>
              </c:numCache>
            </c:numRef>
          </c:xVal>
          <c:yVal>
            <c:numRef>
              <c:f>[1]JANSample!$I$9</c:f>
              <c:numCache>
                <c:formatCode>General</c:formatCode>
                <c:ptCount val="1"/>
                <c:pt idx="0">
                  <c:v>2767707.5889119492</c:v>
                </c:pt>
              </c:numCache>
            </c:numRef>
          </c:yVal>
          <c:smooth val="0"/>
        </c:ser>
        <c:ser>
          <c:idx val="1"/>
          <c:order val="1"/>
          <c:tx>
            <c:strRef>
              <c:f>[1]JANSample!$F$2</c:f>
              <c:strCache>
                <c:ptCount val="1"/>
                <c:pt idx="0">
                  <c:v>Incr. TRx</c:v>
                </c:pt>
              </c:strCache>
            </c:strRef>
          </c:tx>
          <c:spPr>
            <a:ln>
              <a:solidFill>
                <a:schemeClr val="tx2">
                  <a:lumMod val="50000"/>
                </a:schemeClr>
              </a:solidFill>
            </a:ln>
          </c:spPr>
          <c:marker>
            <c:symbol val="none"/>
          </c:marker>
          <c:xVal>
            <c:numRef>
              <c:f>[1]JANSample!$A$23:$A$43</c:f>
              <c:numCache>
                <c:formatCode>General</c:formatCode>
                <c:ptCount val="21"/>
                <c:pt idx="0">
                  <c:v>0</c:v>
                </c:pt>
                <c:pt idx="1">
                  <c:v>750000</c:v>
                </c:pt>
                <c:pt idx="2">
                  <c:v>1500000</c:v>
                </c:pt>
                <c:pt idx="3">
                  <c:v>2250000</c:v>
                </c:pt>
                <c:pt idx="4">
                  <c:v>3000000</c:v>
                </c:pt>
                <c:pt idx="5">
                  <c:v>3750000</c:v>
                </c:pt>
                <c:pt idx="6">
                  <c:v>4500000</c:v>
                </c:pt>
                <c:pt idx="7">
                  <c:v>5250000</c:v>
                </c:pt>
                <c:pt idx="8">
                  <c:v>6000000</c:v>
                </c:pt>
                <c:pt idx="9">
                  <c:v>6750000</c:v>
                </c:pt>
                <c:pt idx="10">
                  <c:v>7500000</c:v>
                </c:pt>
                <c:pt idx="11">
                  <c:v>8250000</c:v>
                </c:pt>
                <c:pt idx="12">
                  <c:v>9000000</c:v>
                </c:pt>
                <c:pt idx="13">
                  <c:v>9750000</c:v>
                </c:pt>
                <c:pt idx="14">
                  <c:v>10500000</c:v>
                </c:pt>
                <c:pt idx="15">
                  <c:v>11250000</c:v>
                </c:pt>
                <c:pt idx="16">
                  <c:v>12000000</c:v>
                </c:pt>
                <c:pt idx="17">
                  <c:v>12750000</c:v>
                </c:pt>
                <c:pt idx="18">
                  <c:v>13500000</c:v>
                </c:pt>
                <c:pt idx="19">
                  <c:v>14250000</c:v>
                </c:pt>
                <c:pt idx="20">
                  <c:v>15000000</c:v>
                </c:pt>
              </c:numCache>
            </c:numRef>
          </c:xVal>
          <c:yVal>
            <c:numRef>
              <c:f>[1]JANSample!$C$23:$C$43</c:f>
              <c:numCache>
                <c:formatCode>General</c:formatCode>
                <c:ptCount val="21"/>
                <c:pt idx="0">
                  <c:v>0</c:v>
                </c:pt>
                <c:pt idx="1">
                  <c:v>350482.28988140263</c:v>
                </c:pt>
                <c:pt idx="2">
                  <c:v>699811.86374307924</c:v>
                </c:pt>
                <c:pt idx="3">
                  <c:v>1047988.7215850296</c:v>
                </c:pt>
                <c:pt idx="4">
                  <c:v>1395012.8634072545</c:v>
                </c:pt>
                <c:pt idx="5">
                  <c:v>1740884.289209753</c:v>
                </c:pt>
                <c:pt idx="6">
                  <c:v>2085602.9989925253</c:v>
                </c:pt>
                <c:pt idx="7">
                  <c:v>2429168.9927555718</c:v>
                </c:pt>
                <c:pt idx="8">
                  <c:v>2771582.2704988928</c:v>
                </c:pt>
                <c:pt idx="9">
                  <c:v>3112842.8322224868</c:v>
                </c:pt>
                <c:pt idx="10">
                  <c:v>3452950.6779263555</c:v>
                </c:pt>
                <c:pt idx="11">
                  <c:v>3791905.8076104978</c:v>
                </c:pt>
                <c:pt idx="12">
                  <c:v>4129708.2212749138</c:v>
                </c:pt>
                <c:pt idx="13">
                  <c:v>4466357.9189196052</c:v>
                </c:pt>
                <c:pt idx="14">
                  <c:v>4801854.9005445689</c:v>
                </c:pt>
                <c:pt idx="15">
                  <c:v>5136199.1661498072</c:v>
                </c:pt>
                <c:pt idx="16">
                  <c:v>5469390.7157353209</c:v>
                </c:pt>
                <c:pt idx="17">
                  <c:v>5801429.5493011065</c:v>
                </c:pt>
                <c:pt idx="18">
                  <c:v>6132315.6668471666</c:v>
                </c:pt>
                <c:pt idx="19">
                  <c:v>6462049.0683735013</c:v>
                </c:pt>
                <c:pt idx="20">
                  <c:v>6790629.7538801096</c:v>
                </c:pt>
              </c:numCache>
            </c:numRef>
          </c:yVal>
          <c:smooth val="0"/>
        </c:ser>
        <c:ser>
          <c:idx val="2"/>
          <c:order val="2"/>
          <c:tx>
            <c:v>Xmin</c:v>
          </c:tx>
          <c:spPr>
            <a:ln>
              <a:solidFill>
                <a:schemeClr val="tx2"/>
              </a:solidFill>
            </a:ln>
          </c:spPr>
          <c:marker>
            <c:symbol val="circle"/>
            <c:size val="7"/>
            <c:spPr>
              <a:solidFill>
                <a:schemeClr val="tx2"/>
              </a:solidFill>
            </c:spPr>
          </c:marker>
          <c:xVal>
            <c:numRef>
              <c:f>[1]JANSample!$B$9</c:f>
              <c:numCache>
                <c:formatCode>General</c:formatCode>
                <c:ptCount val="1"/>
                <c:pt idx="0">
                  <c:v>4793199.2</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[1]JANSample!$C$9</c:f>
              <c:numCache>
                <c:formatCode>General</c:formatCode>
                <c:ptCount val="1"/>
                <c:pt idx="0">
                  <c:v>7189798.7999999998</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numFmt formatCode="&quot;$&quot;#,##0.0" sourceLinked="0"/>
            <c:showLegendKey val="0"/>
            <c:showVal val="0"/>
            <c:showCatName val="1"/>
            <c:showSerName val="1"/>
            <c:showPercent val="0"/>
            <c:showBubbleSize val="0"/>
            <c:separator>; </c:separator>
            <c:showLeaderLines val="0"/>
          </c:dLbls>
          <c:xVal>
            <c:numRef>
              <c:f>[1]JANSample!$D$9</c:f>
              <c:numCache>
                <c:formatCode>General</c:formatCode>
                <c:ptCount val="1"/>
                <c:pt idx="0">
                  <c:v>7189798.7999999989</c:v>
                </c:pt>
              </c:numCache>
            </c:numRef>
          </c:xVal>
          <c:yVal>
            <c:numRef>
              <c:f>[1]JANSample!$F$9</c:f>
              <c:numCache>
                <c:formatCode>General</c:formatCode>
                <c:ptCount val="1"/>
                <c:pt idx="0">
                  <c:v>3312421.3159430083</c:v>
                </c:pt>
              </c:numCache>
            </c:numRef>
          </c:yVal>
          <c:smooth val="0"/>
        </c:ser>
        <c:dLbls>
          <c:showLegendKey val="0"/>
          <c:showVal val="0"/>
          <c:showCatName val="0"/>
          <c:showSerName val="0"/>
          <c:showPercent val="0"/>
          <c:showBubbleSize val="0"/>
        </c:dLbls>
        <c:axId val="261217280"/>
        <c:axId val="261224704"/>
      </c:scatterChart>
      <c:valAx>
        <c:axId val="261217280"/>
        <c:scaling>
          <c:orientation val="minMax"/>
        </c:scaling>
        <c:delete val="0"/>
        <c:axPos val="b"/>
        <c:majorGridlines/>
        <c:title>
          <c:tx>
            <c:rich>
              <a:bodyPr/>
              <a:lstStyle/>
              <a:p>
                <a:pPr>
                  <a:defRPr/>
                </a:pPr>
                <a:r>
                  <a:rPr lang="en-US"/>
                  <a:t>Januvia Sample Spend (in MM $)</a:t>
                </a:r>
              </a:p>
            </c:rich>
          </c:tx>
          <c:overlay val="0"/>
        </c:title>
        <c:numFmt formatCode="&quot;$&quot;#,##0.0" sourceLinked="0"/>
        <c:majorTickMark val="out"/>
        <c:minorTickMark val="none"/>
        <c:tickLblPos val="nextTo"/>
        <c:crossAx val="261224704"/>
        <c:crosses val="autoZero"/>
        <c:crossBetween val="midCat"/>
        <c:dispUnits>
          <c:builtInUnit val="millions"/>
        </c:dispUnits>
      </c:valAx>
      <c:valAx>
        <c:axId val="261224704"/>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overlay val="0"/>
        </c:title>
        <c:numFmt formatCode="#,##0" sourceLinked="0"/>
        <c:majorTickMark val="out"/>
        <c:minorTickMark val="none"/>
        <c:tickLblPos val="nextTo"/>
        <c:crossAx val="261217280"/>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Janumet: Estimated </a:t>
            </a:r>
            <a:r>
              <a:rPr lang="en-US" sz="1200">
                <a:solidFill>
                  <a:srgbClr val="0000FF"/>
                </a:solidFill>
              </a:rPr>
              <a:t>Incr. TRx </a:t>
            </a:r>
            <a:r>
              <a:rPr lang="en-US" sz="1200"/>
              <a:t>from Sample Spend</a:t>
            </a:r>
          </a:p>
        </c:rich>
      </c:tx>
      <c:overlay val="0"/>
    </c:title>
    <c:autoTitleDeleted val="0"/>
    <c:plotArea>
      <c:layout/>
      <c:scatterChart>
        <c:scatterStyle val="lineMarker"/>
        <c:varyColors val="0"/>
        <c:ser>
          <c:idx val="0"/>
          <c:order val="0"/>
          <c:tx>
            <c:v>Curr</c:v>
          </c:tx>
          <c:spPr>
            <a:ln w="44450">
              <a:solidFill>
                <a:srgbClr val="C00000"/>
              </a:solidFill>
            </a:ln>
          </c:spPr>
          <c:marker>
            <c:symbol val="diamond"/>
            <c:size val="9"/>
            <c:spPr>
              <a:solidFill>
                <a:srgbClr val="C00000"/>
              </a:solidFill>
              <a:ln w="19050">
                <a:solidFill>
                  <a:srgbClr val="C00000"/>
                </a:solidFill>
              </a:ln>
            </c:spPr>
          </c:marker>
          <c:dLbls>
            <c:dLbl>
              <c:idx val="0"/>
              <c:layout>
                <c:manualLayout>
                  <c:x val="-2.3707918444760114E-3"/>
                  <c:y val="1.4781966001478129E-2"/>
                </c:manualLayout>
              </c:layout>
              <c:dLblPos val="r"/>
              <c:showLegendKey val="0"/>
              <c:showVal val="0"/>
              <c:showCatName val="1"/>
              <c:showSerName val="1"/>
              <c:showPercent val="0"/>
              <c:showBubbleSize val="0"/>
              <c:separator>; </c:separator>
            </c:dLbl>
            <c:numFmt formatCode="&quot;$&quot;#,##0.0" sourceLinked="0"/>
            <c:txPr>
              <a:bodyPr/>
              <a:lstStyle/>
              <a:p>
                <a:pPr>
                  <a:defRPr sz="1000"/>
                </a:pPr>
                <a:endParaRPr lang="en-US"/>
              </a:p>
            </c:txPr>
            <c:dLblPos val="r"/>
            <c:showLegendKey val="0"/>
            <c:showVal val="0"/>
            <c:showCatName val="1"/>
            <c:showSerName val="1"/>
            <c:showPercent val="0"/>
            <c:showBubbleSize val="0"/>
            <c:separator>; </c:separator>
            <c:showLeaderLines val="0"/>
          </c:dLbls>
          <c:xVal>
            <c:numRef>
              <c:f>[1]JMTSample!$G$9</c:f>
              <c:numCache>
                <c:formatCode>General</c:formatCode>
                <c:ptCount val="1"/>
                <c:pt idx="0">
                  <c:v>15610435</c:v>
                </c:pt>
              </c:numCache>
            </c:numRef>
          </c:xVal>
          <c:yVal>
            <c:numRef>
              <c:f>[1]JMTSample!$I$9</c:f>
              <c:numCache>
                <c:formatCode>General</c:formatCode>
                <c:ptCount val="1"/>
                <c:pt idx="0">
                  <c:v>3281566.9987801639</c:v>
                </c:pt>
              </c:numCache>
            </c:numRef>
          </c:yVal>
          <c:smooth val="0"/>
        </c:ser>
        <c:ser>
          <c:idx val="1"/>
          <c:order val="1"/>
          <c:tx>
            <c:strRef>
              <c:f>[1]JMTSample!$F$2</c:f>
              <c:strCache>
                <c:ptCount val="1"/>
                <c:pt idx="0">
                  <c:v>Incr. TRx</c:v>
                </c:pt>
              </c:strCache>
            </c:strRef>
          </c:tx>
          <c:spPr>
            <a:ln>
              <a:solidFill>
                <a:schemeClr val="tx2">
                  <a:lumMod val="50000"/>
                </a:schemeClr>
              </a:solidFill>
            </a:ln>
          </c:spPr>
          <c:marker>
            <c:symbol val="none"/>
          </c:marker>
          <c:xVal>
            <c:numRef>
              <c:f>[1]JMTSample!$A$23:$A$43</c:f>
              <c:numCache>
                <c:formatCode>General</c:formatCode>
                <c:ptCount val="21"/>
                <c:pt idx="0">
                  <c:v>0</c:v>
                </c:pt>
                <c:pt idx="1">
                  <c:v>2000000</c:v>
                </c:pt>
                <c:pt idx="2">
                  <c:v>4000000</c:v>
                </c:pt>
                <c:pt idx="3">
                  <c:v>6000000</c:v>
                </c:pt>
                <c:pt idx="4">
                  <c:v>8000000</c:v>
                </c:pt>
                <c:pt idx="5">
                  <c:v>10000000</c:v>
                </c:pt>
                <c:pt idx="6">
                  <c:v>12000000</c:v>
                </c:pt>
                <c:pt idx="7">
                  <c:v>14000000</c:v>
                </c:pt>
                <c:pt idx="8">
                  <c:v>16000000</c:v>
                </c:pt>
                <c:pt idx="9">
                  <c:v>18000000</c:v>
                </c:pt>
                <c:pt idx="10">
                  <c:v>20000000</c:v>
                </c:pt>
                <c:pt idx="11">
                  <c:v>22000000</c:v>
                </c:pt>
                <c:pt idx="12">
                  <c:v>24000000</c:v>
                </c:pt>
                <c:pt idx="13">
                  <c:v>26000000</c:v>
                </c:pt>
                <c:pt idx="14">
                  <c:v>28000000</c:v>
                </c:pt>
                <c:pt idx="15">
                  <c:v>30000000</c:v>
                </c:pt>
                <c:pt idx="16">
                  <c:v>32000000</c:v>
                </c:pt>
                <c:pt idx="17">
                  <c:v>34000000</c:v>
                </c:pt>
                <c:pt idx="18">
                  <c:v>36000000</c:v>
                </c:pt>
                <c:pt idx="19">
                  <c:v>38000000</c:v>
                </c:pt>
                <c:pt idx="20">
                  <c:v>40000000</c:v>
                </c:pt>
              </c:numCache>
            </c:numRef>
          </c:xVal>
          <c:yVal>
            <c:numRef>
              <c:f>[1]JMTSample!$C$23:$C$43</c:f>
              <c:numCache>
                <c:formatCode>General</c:formatCode>
                <c:ptCount val="21"/>
                <c:pt idx="0">
                  <c:v>0</c:v>
                </c:pt>
                <c:pt idx="1">
                  <c:v>420068.45346895687</c:v>
                </c:pt>
                <c:pt idx="2">
                  <c:v>840243.89329690405</c:v>
                </c:pt>
                <c:pt idx="3">
                  <c:v>1260526.3194838415</c:v>
                </c:pt>
                <c:pt idx="4">
                  <c:v>1680915.7320297693</c:v>
                </c:pt>
                <c:pt idx="5">
                  <c:v>2101412.1309346878</c:v>
                </c:pt>
                <c:pt idx="6">
                  <c:v>2522015.516198596</c:v>
                </c:pt>
                <c:pt idx="7">
                  <c:v>2942725.8878214951</c:v>
                </c:pt>
                <c:pt idx="8">
                  <c:v>3363543.2458033841</c:v>
                </c:pt>
                <c:pt idx="9">
                  <c:v>3784467.590144264</c:v>
                </c:pt>
                <c:pt idx="10">
                  <c:v>4205498.920844133</c:v>
                </c:pt>
                <c:pt idx="11">
                  <c:v>4626637.2379029933</c:v>
                </c:pt>
                <c:pt idx="12">
                  <c:v>5047882.5413208436</c:v>
                </c:pt>
                <c:pt idx="13">
                  <c:v>5469234.8310976848</c:v>
                </c:pt>
                <c:pt idx="14">
                  <c:v>5890694.1072335159</c:v>
                </c:pt>
                <c:pt idx="15">
                  <c:v>6312260.369728337</c:v>
                </c:pt>
                <c:pt idx="16">
                  <c:v>6733933.618582149</c:v>
                </c:pt>
                <c:pt idx="17">
                  <c:v>7155713.853794951</c:v>
                </c:pt>
                <c:pt idx="18">
                  <c:v>7577601.0753667438</c:v>
                </c:pt>
                <c:pt idx="19">
                  <c:v>7999595.2832975267</c:v>
                </c:pt>
                <c:pt idx="20">
                  <c:v>8421696.4775872994</c:v>
                </c:pt>
              </c:numCache>
            </c:numRef>
          </c:yVal>
          <c:smooth val="0"/>
        </c:ser>
        <c:ser>
          <c:idx val="2"/>
          <c:order val="2"/>
          <c:tx>
            <c:v>Xmin</c:v>
          </c:tx>
          <c:spPr>
            <a:ln>
              <a:solidFill>
                <a:schemeClr val="tx2"/>
              </a:solidFill>
            </a:ln>
          </c:spPr>
          <c:marker>
            <c:symbol val="circle"/>
            <c:size val="7"/>
            <c:spPr>
              <a:solidFill>
                <a:schemeClr val="tx2"/>
              </a:solidFill>
            </c:spPr>
          </c:marker>
          <c:xVal>
            <c:numRef>
              <c:f>[1]JMTSample!$B$9</c:f>
              <c:numCache>
                <c:formatCode>General</c:formatCode>
                <c:ptCount val="1"/>
                <c:pt idx="0">
                  <c:v>12488348</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[1]JMTSample!$C$9</c:f>
              <c:numCache>
                <c:formatCode>General</c:formatCode>
                <c:ptCount val="1"/>
                <c:pt idx="0">
                  <c:v>18732522</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numFmt formatCode="&quot;$&quot;#,##0.0" sourceLinked="0"/>
            <c:showLegendKey val="0"/>
            <c:showVal val="0"/>
            <c:showCatName val="1"/>
            <c:showSerName val="1"/>
            <c:showPercent val="0"/>
            <c:showBubbleSize val="0"/>
            <c:separator>; </c:separator>
            <c:showLeaderLines val="0"/>
          </c:dLbls>
          <c:xVal>
            <c:numRef>
              <c:f>[1]JMTSample!$D$9</c:f>
              <c:numCache>
                <c:formatCode>General</c:formatCode>
                <c:ptCount val="1"/>
                <c:pt idx="0">
                  <c:v>18732522</c:v>
                </c:pt>
              </c:numCache>
            </c:numRef>
          </c:xVal>
          <c:yVal>
            <c:numRef>
              <c:f>[1]JMTSample!$F$9</c:f>
              <c:numCache>
                <c:formatCode>General</c:formatCode>
                <c:ptCount val="1"/>
                <c:pt idx="0">
                  <c:v>3938662.5298482887</c:v>
                </c:pt>
              </c:numCache>
            </c:numRef>
          </c:yVal>
          <c:smooth val="0"/>
        </c:ser>
        <c:dLbls>
          <c:showLegendKey val="0"/>
          <c:showVal val="0"/>
          <c:showCatName val="0"/>
          <c:showSerName val="0"/>
          <c:showPercent val="0"/>
          <c:showBubbleSize val="0"/>
        </c:dLbls>
        <c:axId val="278858752"/>
        <c:axId val="279093248"/>
      </c:scatterChart>
      <c:valAx>
        <c:axId val="278858752"/>
        <c:scaling>
          <c:orientation val="minMax"/>
        </c:scaling>
        <c:delete val="0"/>
        <c:axPos val="b"/>
        <c:majorGridlines/>
        <c:title>
          <c:tx>
            <c:rich>
              <a:bodyPr/>
              <a:lstStyle/>
              <a:p>
                <a:pPr>
                  <a:defRPr/>
                </a:pPr>
                <a:r>
                  <a:rPr lang="en-US"/>
                  <a:t>Janumet Sample Spend (in MM $)</a:t>
                </a:r>
              </a:p>
            </c:rich>
          </c:tx>
          <c:overlay val="0"/>
        </c:title>
        <c:numFmt formatCode="&quot;$&quot;#,##0.0" sourceLinked="0"/>
        <c:majorTickMark val="out"/>
        <c:minorTickMark val="none"/>
        <c:tickLblPos val="nextTo"/>
        <c:crossAx val="279093248"/>
        <c:crosses val="autoZero"/>
        <c:crossBetween val="midCat"/>
        <c:dispUnits>
          <c:builtInUnit val="millions"/>
        </c:dispUnits>
      </c:valAx>
      <c:valAx>
        <c:axId val="279093248"/>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overlay val="0"/>
        </c:title>
        <c:numFmt formatCode="#,##0" sourceLinked="0"/>
        <c:majorTickMark val="out"/>
        <c:minorTickMark val="none"/>
        <c:tickLblPos val="nextTo"/>
        <c:crossAx val="278858752"/>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Januvia Family: Estimated </a:t>
            </a:r>
            <a:r>
              <a:rPr lang="en-US" sz="1200">
                <a:solidFill>
                  <a:srgbClr val="0000FF"/>
                </a:solidFill>
              </a:rPr>
              <a:t>Incr. TRx </a:t>
            </a:r>
            <a:r>
              <a:rPr lang="en-US" sz="1200"/>
              <a:t>from Voucher Spend</a:t>
            </a:r>
          </a:p>
        </c:rich>
      </c:tx>
      <c:overlay val="0"/>
    </c:title>
    <c:autoTitleDeleted val="0"/>
    <c:plotArea>
      <c:layout/>
      <c:scatterChart>
        <c:scatterStyle val="lineMarker"/>
        <c:varyColors val="0"/>
        <c:ser>
          <c:idx val="0"/>
          <c:order val="0"/>
          <c:tx>
            <c:v>Curr</c:v>
          </c:tx>
          <c:spPr>
            <a:ln w="44450">
              <a:solidFill>
                <a:srgbClr val="C00000"/>
              </a:solidFill>
            </a:ln>
          </c:spPr>
          <c:marker>
            <c:symbol val="diamond"/>
            <c:size val="9"/>
            <c:spPr>
              <a:solidFill>
                <a:srgbClr val="C00000"/>
              </a:solidFill>
              <a:ln w="19050">
                <a:solidFill>
                  <a:srgbClr val="C00000"/>
                </a:solidFill>
              </a:ln>
            </c:spPr>
          </c:marker>
          <c:dLbls>
            <c:dLbl>
              <c:idx val="0"/>
              <c:layout>
                <c:manualLayout>
                  <c:x val="1.4367816091954023E-2"/>
                  <c:y val="-1.0395010395010396E-2"/>
                </c:manualLayout>
              </c:layout>
              <c:dLblPos val="r"/>
              <c:showLegendKey val="0"/>
              <c:showVal val="0"/>
              <c:showCatName val="1"/>
              <c:showSerName val="1"/>
              <c:showPercent val="0"/>
              <c:showBubbleSize val="0"/>
              <c:separator>; </c:separator>
            </c:dLbl>
            <c:numFmt formatCode="&quot;$&quot;#,##0.0" sourceLinked="0"/>
            <c:txPr>
              <a:bodyPr/>
              <a:lstStyle/>
              <a:p>
                <a:pPr>
                  <a:defRPr sz="1000"/>
                </a:pPr>
                <a:endParaRPr lang="en-US"/>
              </a:p>
            </c:txPr>
            <c:dLblPos val="r"/>
            <c:showLegendKey val="0"/>
            <c:showVal val="0"/>
            <c:showCatName val="1"/>
            <c:showSerName val="1"/>
            <c:showPercent val="0"/>
            <c:showBubbleSize val="0"/>
            <c:separator>; </c:separator>
            <c:showLeaderLines val="0"/>
          </c:dLbls>
          <c:xVal>
            <c:numRef>
              <c:f>[1]JJVCH!$G$9</c:f>
              <c:numCache>
                <c:formatCode>General</c:formatCode>
                <c:ptCount val="1"/>
                <c:pt idx="0">
                  <c:v>3804716</c:v>
                </c:pt>
              </c:numCache>
            </c:numRef>
          </c:xVal>
          <c:yVal>
            <c:numRef>
              <c:f>[1]JJVCH!$I$9</c:f>
              <c:numCache>
                <c:formatCode>General</c:formatCode>
                <c:ptCount val="1"/>
                <c:pt idx="0">
                  <c:v>190388.11981583459</c:v>
                </c:pt>
              </c:numCache>
            </c:numRef>
          </c:yVal>
          <c:smooth val="0"/>
        </c:ser>
        <c:ser>
          <c:idx val="1"/>
          <c:order val="1"/>
          <c:tx>
            <c:strRef>
              <c:f>[1]JJVCH!$F$2</c:f>
              <c:strCache>
                <c:ptCount val="1"/>
                <c:pt idx="0">
                  <c:v>Incr. TRx</c:v>
                </c:pt>
              </c:strCache>
            </c:strRef>
          </c:tx>
          <c:spPr>
            <a:ln>
              <a:solidFill>
                <a:schemeClr val="tx2">
                  <a:lumMod val="50000"/>
                </a:schemeClr>
              </a:solidFill>
            </a:ln>
          </c:spPr>
          <c:marker>
            <c:symbol val="none"/>
          </c:marker>
          <c:xVal>
            <c:numRef>
              <c:f>[1]JJVCH!$A$23:$A$43</c:f>
              <c:numCache>
                <c:formatCode>General</c:formatCode>
                <c:ptCount val="21"/>
                <c:pt idx="0">
                  <c:v>0</c:v>
                </c:pt>
                <c:pt idx="1">
                  <c:v>500000</c:v>
                </c:pt>
                <c:pt idx="2">
                  <c:v>1000000</c:v>
                </c:pt>
                <c:pt idx="3">
                  <c:v>1500000</c:v>
                </c:pt>
                <c:pt idx="4">
                  <c:v>2000000</c:v>
                </c:pt>
                <c:pt idx="5">
                  <c:v>2500000</c:v>
                </c:pt>
                <c:pt idx="6">
                  <c:v>3000000</c:v>
                </c:pt>
                <c:pt idx="7">
                  <c:v>3500000</c:v>
                </c:pt>
                <c:pt idx="8">
                  <c:v>4000000</c:v>
                </c:pt>
                <c:pt idx="9">
                  <c:v>4500000</c:v>
                </c:pt>
                <c:pt idx="10">
                  <c:v>5000000</c:v>
                </c:pt>
                <c:pt idx="11">
                  <c:v>5500000</c:v>
                </c:pt>
                <c:pt idx="12">
                  <c:v>6000000</c:v>
                </c:pt>
                <c:pt idx="13">
                  <c:v>6500000</c:v>
                </c:pt>
                <c:pt idx="14">
                  <c:v>7000000</c:v>
                </c:pt>
                <c:pt idx="15">
                  <c:v>7500000</c:v>
                </c:pt>
                <c:pt idx="16">
                  <c:v>8000000</c:v>
                </c:pt>
                <c:pt idx="17">
                  <c:v>8500000</c:v>
                </c:pt>
                <c:pt idx="18">
                  <c:v>9000000</c:v>
                </c:pt>
                <c:pt idx="19">
                  <c:v>9500000</c:v>
                </c:pt>
                <c:pt idx="20">
                  <c:v>10000000</c:v>
                </c:pt>
              </c:numCache>
            </c:numRef>
          </c:xVal>
          <c:yVal>
            <c:numRef>
              <c:f>[1]JJVCH!$C$23:$C$43</c:f>
              <c:numCache>
                <c:formatCode>General</c:formatCode>
                <c:ptCount val="21"/>
                <c:pt idx="0">
                  <c:v>0</c:v>
                </c:pt>
                <c:pt idx="1">
                  <c:v>25019.190840995474</c:v>
                </c:pt>
                <c:pt idx="2">
                  <c:v>50038.631748135442</c:v>
                </c:pt>
                <c:pt idx="3">
                  <c:v>75058.322721419914</c:v>
                </c:pt>
                <c:pt idx="4">
                  <c:v>100078.26376084886</c:v>
                </c:pt>
                <c:pt idx="5">
                  <c:v>125098.45486642233</c:v>
                </c:pt>
                <c:pt idx="6">
                  <c:v>150118.89603814026</c:v>
                </c:pt>
                <c:pt idx="7">
                  <c:v>175139.58727600271</c:v>
                </c:pt>
                <c:pt idx="8">
                  <c:v>200160.52858000965</c:v>
                </c:pt>
                <c:pt idx="9">
                  <c:v>225181.71995016106</c:v>
                </c:pt>
                <c:pt idx="10">
                  <c:v>250203.16138645701</c:v>
                </c:pt>
                <c:pt idx="11">
                  <c:v>275224.85288889741</c:v>
                </c:pt>
                <c:pt idx="12">
                  <c:v>300246.79445748235</c:v>
                </c:pt>
                <c:pt idx="13">
                  <c:v>325268.98609221174</c:v>
                </c:pt>
                <c:pt idx="14">
                  <c:v>350291.42779308563</c:v>
                </c:pt>
                <c:pt idx="15">
                  <c:v>375314.11956010404</c:v>
                </c:pt>
                <c:pt idx="16">
                  <c:v>400337.06139326689</c:v>
                </c:pt>
                <c:pt idx="17">
                  <c:v>425360.25329257431</c:v>
                </c:pt>
                <c:pt idx="18">
                  <c:v>450383.69525802619</c:v>
                </c:pt>
                <c:pt idx="19">
                  <c:v>475407.38728962251</c:v>
                </c:pt>
                <c:pt idx="20">
                  <c:v>500431.32938736345</c:v>
                </c:pt>
              </c:numCache>
            </c:numRef>
          </c:yVal>
          <c:smooth val="0"/>
        </c:ser>
        <c:ser>
          <c:idx val="2"/>
          <c:order val="2"/>
          <c:tx>
            <c:v>Xmin</c:v>
          </c:tx>
          <c:spPr>
            <a:ln>
              <a:solidFill>
                <a:schemeClr val="tx2"/>
              </a:solidFill>
            </a:ln>
          </c:spPr>
          <c:marker>
            <c:symbol val="circle"/>
            <c:size val="7"/>
            <c:spPr>
              <a:solidFill>
                <a:schemeClr val="tx2"/>
              </a:solidFill>
            </c:spPr>
          </c:marker>
          <c:xVal>
            <c:numRef>
              <c:f>[1]JJVCH!$B$9</c:f>
              <c:numCache>
                <c:formatCode>General</c:formatCode>
                <c:ptCount val="1"/>
                <c:pt idx="0">
                  <c:v>3424244.4</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[1]JJVCH!$C$9</c:f>
              <c:numCache>
                <c:formatCode>General</c:formatCode>
                <c:ptCount val="1"/>
                <c:pt idx="0">
                  <c:v>4185187.6000000006</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dLbl>
              <c:idx val="0"/>
              <c:layout>
                <c:manualLayout>
                  <c:x val="-7.1839080459770114E-3"/>
                  <c:y val="3.1185031185031187E-2"/>
                </c:manualLayout>
              </c:layout>
              <c:showLegendKey val="0"/>
              <c:showVal val="0"/>
              <c:showCatName val="1"/>
              <c:showSerName val="1"/>
              <c:showPercent val="0"/>
              <c:showBubbleSize val="0"/>
              <c:separator>; </c:separator>
            </c:dLbl>
            <c:numFmt formatCode="&quot;$&quot;#,##0.0" sourceLinked="0"/>
            <c:showLegendKey val="0"/>
            <c:showVal val="0"/>
            <c:showCatName val="1"/>
            <c:showSerName val="1"/>
            <c:showPercent val="0"/>
            <c:showBubbleSize val="0"/>
            <c:separator>; </c:separator>
            <c:showLeaderLines val="0"/>
          </c:dLbls>
          <c:xVal>
            <c:numRef>
              <c:f>[1]JJVCH!$D$9</c:f>
              <c:numCache>
                <c:formatCode>General</c:formatCode>
                <c:ptCount val="1"/>
                <c:pt idx="0">
                  <c:v>3424244.4</c:v>
                </c:pt>
              </c:numCache>
            </c:numRef>
          </c:xVal>
          <c:yVal>
            <c:numRef>
              <c:f>[1]JJVCH!$F$9</c:f>
              <c:numCache>
                <c:formatCode>General</c:formatCode>
                <c:ptCount val="1"/>
                <c:pt idx="0">
                  <c:v>171348.65624802854</c:v>
                </c:pt>
              </c:numCache>
            </c:numRef>
          </c:yVal>
          <c:smooth val="0"/>
        </c:ser>
        <c:dLbls>
          <c:showLegendKey val="0"/>
          <c:showVal val="0"/>
          <c:showCatName val="0"/>
          <c:showSerName val="0"/>
          <c:showPercent val="0"/>
          <c:showBubbleSize val="0"/>
        </c:dLbls>
        <c:axId val="279445504"/>
        <c:axId val="281851008"/>
      </c:scatterChart>
      <c:valAx>
        <c:axId val="279445504"/>
        <c:scaling>
          <c:orientation val="minMax"/>
        </c:scaling>
        <c:delete val="0"/>
        <c:axPos val="b"/>
        <c:majorGridlines/>
        <c:title>
          <c:tx>
            <c:rich>
              <a:bodyPr/>
              <a:lstStyle/>
              <a:p>
                <a:pPr>
                  <a:defRPr/>
                </a:pPr>
                <a:r>
                  <a:rPr lang="en-US"/>
                  <a:t>Januvia Family Voucher Spend (in MM $)</a:t>
                </a:r>
              </a:p>
            </c:rich>
          </c:tx>
          <c:overlay val="0"/>
        </c:title>
        <c:numFmt formatCode="&quot;$&quot;#,##0.0" sourceLinked="0"/>
        <c:majorTickMark val="out"/>
        <c:minorTickMark val="none"/>
        <c:tickLblPos val="nextTo"/>
        <c:crossAx val="281851008"/>
        <c:crosses val="autoZero"/>
        <c:crossBetween val="midCat"/>
        <c:dispUnits>
          <c:builtInUnit val="millions"/>
        </c:dispUnits>
      </c:valAx>
      <c:valAx>
        <c:axId val="281851008"/>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overlay val="0"/>
        </c:title>
        <c:numFmt formatCode="#,##0" sourceLinked="0"/>
        <c:majorTickMark val="out"/>
        <c:minorTickMark val="none"/>
        <c:tickLblPos val="nextTo"/>
        <c:crossAx val="279445504"/>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b="1" i="0" baseline="0">
                <a:effectLst/>
              </a:rPr>
              <a:t>Januvia Family: Estimated </a:t>
            </a:r>
            <a:r>
              <a:rPr lang="en-US" sz="1200" b="1" i="0" baseline="0">
                <a:solidFill>
                  <a:srgbClr val="0000FF"/>
                </a:solidFill>
                <a:effectLst/>
              </a:rPr>
              <a:t>Incr. TRx</a:t>
            </a:r>
            <a:r>
              <a:rPr lang="en-US" sz="1200" b="1" i="0" baseline="0">
                <a:effectLst/>
              </a:rPr>
              <a:t> from MMF Spend</a:t>
            </a:r>
            <a:endParaRPr lang="en-US" sz="1200">
              <a:effectLst/>
            </a:endParaRPr>
          </a:p>
        </c:rich>
      </c:tx>
      <c:overlay val="0"/>
    </c:title>
    <c:autoTitleDeleted val="0"/>
    <c:plotArea>
      <c:layout/>
      <c:scatterChart>
        <c:scatterStyle val="lineMarker"/>
        <c:varyColors val="0"/>
        <c:ser>
          <c:idx val="0"/>
          <c:order val="0"/>
          <c:tx>
            <c:v>Curr</c:v>
          </c:tx>
          <c:spPr>
            <a:ln w="44450">
              <a:solidFill>
                <a:srgbClr val="C00000"/>
              </a:solidFill>
            </a:ln>
          </c:spPr>
          <c:marker>
            <c:symbol val="diamond"/>
            <c:size val="9"/>
            <c:spPr>
              <a:solidFill>
                <a:srgbClr val="C00000"/>
              </a:solidFill>
              <a:ln w="19050">
                <a:solidFill>
                  <a:srgbClr val="C00000"/>
                </a:solidFill>
              </a:ln>
            </c:spPr>
          </c:marker>
          <c:dLbls>
            <c:numFmt formatCode="&quot;$&quot;#,##0.0" sourceLinked="0"/>
            <c:dLblPos val="r"/>
            <c:showLegendKey val="0"/>
            <c:showVal val="0"/>
            <c:showCatName val="1"/>
            <c:showSerName val="1"/>
            <c:showPercent val="0"/>
            <c:showBubbleSize val="0"/>
            <c:separator>; </c:separator>
            <c:showLeaderLines val="0"/>
          </c:dLbls>
          <c:xVal>
            <c:numRef>
              <c:f>[1]JJMMF!$G$9</c:f>
              <c:numCache>
                <c:formatCode>General</c:formatCode>
                <c:ptCount val="1"/>
                <c:pt idx="0">
                  <c:v>4440000</c:v>
                </c:pt>
              </c:numCache>
            </c:numRef>
          </c:xVal>
          <c:yVal>
            <c:numRef>
              <c:f>[1]JJMMF!$I$9</c:f>
              <c:numCache>
                <c:formatCode>General</c:formatCode>
                <c:ptCount val="1"/>
                <c:pt idx="0">
                  <c:v>32484.644891698143</c:v>
                </c:pt>
              </c:numCache>
            </c:numRef>
          </c:yVal>
          <c:smooth val="0"/>
        </c:ser>
        <c:ser>
          <c:idx val="1"/>
          <c:order val="1"/>
          <c:tx>
            <c:strRef>
              <c:f>[1]JJMMF!$D$3</c:f>
              <c:strCache>
                <c:ptCount val="1"/>
                <c:pt idx="0">
                  <c:v>Incr. NRx</c:v>
                </c:pt>
              </c:strCache>
            </c:strRef>
          </c:tx>
          <c:spPr>
            <a:ln>
              <a:solidFill>
                <a:schemeClr val="tx2">
                  <a:lumMod val="50000"/>
                </a:schemeClr>
              </a:solidFill>
            </a:ln>
          </c:spPr>
          <c:marker>
            <c:symbol val="none"/>
          </c:marker>
          <c:xVal>
            <c:numRef>
              <c:f>[1]JJMMF!$A$30:$A$50</c:f>
              <c:numCache>
                <c:formatCode>General</c:formatCode>
                <c:ptCount val="21"/>
                <c:pt idx="0">
                  <c:v>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numCache>
            </c:numRef>
          </c:xVal>
          <c:yVal>
            <c:numRef>
              <c:f>[1]JJMMF!$C$30:$C$50</c:f>
              <c:numCache>
                <c:formatCode>General</c:formatCode>
                <c:ptCount val="21"/>
                <c:pt idx="0">
                  <c:v>0</c:v>
                </c:pt>
                <c:pt idx="1">
                  <c:v>9179.0562495034792</c:v>
                </c:pt>
                <c:pt idx="2">
                  <c:v>17391.389236181065</c:v>
                </c:pt>
                <c:pt idx="3">
                  <c:v>24138.827754638471</c:v>
                </c:pt>
                <c:pt idx="4">
                  <c:v>30033.539986075008</c:v>
                </c:pt>
                <c:pt idx="5">
                  <c:v>35425.123264128131</c:v>
                </c:pt>
                <c:pt idx="6">
                  <c:v>39976.918645787257</c:v>
                </c:pt>
                <c:pt idx="7">
                  <c:v>43686.137041238318</c:v>
                </c:pt>
                <c:pt idx="8">
                  <c:v>46899.154123351931</c:v>
                </c:pt>
                <c:pt idx="9">
                  <c:v>49765.352765581381</c:v>
                </c:pt>
                <c:pt idx="10">
                  <c:v>52312.029808294283</c:v>
                </c:pt>
                <c:pt idx="11">
                  <c:v>54564.992033654358</c:v>
                </c:pt>
                <c:pt idx="12">
                  <c:v>56549.81299528871</c:v>
                </c:pt>
                <c:pt idx="13">
                  <c:v>58291.287630721868</c:v>
                </c:pt>
                <c:pt idx="14">
                  <c:v>59814.048591145343</c:v>
                </c:pt>
                <c:pt idx="15">
                  <c:v>61142.728527750667</c:v>
                </c:pt>
                <c:pt idx="16">
                  <c:v>62301.960091729314</c:v>
                </c:pt>
                <c:pt idx="17">
                  <c:v>63316.375934272823</c:v>
                </c:pt>
                <c:pt idx="18">
                  <c:v>64210.608706572675</c:v>
                </c:pt>
                <c:pt idx="19">
                  <c:v>65009.291059820411</c:v>
                </c:pt>
                <c:pt idx="20">
                  <c:v>65737.055645207511</c:v>
                </c:pt>
              </c:numCache>
            </c:numRef>
          </c:yVal>
          <c:smooth val="0"/>
        </c:ser>
        <c:ser>
          <c:idx val="2"/>
          <c:order val="2"/>
          <c:tx>
            <c:v>Xmin</c:v>
          </c:tx>
          <c:spPr>
            <a:ln>
              <a:solidFill>
                <a:schemeClr val="tx2"/>
              </a:solidFill>
            </a:ln>
          </c:spPr>
          <c:marker>
            <c:symbol val="circle"/>
            <c:size val="7"/>
            <c:spPr>
              <a:solidFill>
                <a:schemeClr val="tx2"/>
              </a:solidFill>
            </c:spPr>
          </c:marker>
          <c:xVal>
            <c:numRef>
              <c:f>[1]JJMMF!$B$9</c:f>
              <c:numCache>
                <c:formatCode>General</c:formatCode>
                <c:ptCount val="1"/>
                <c:pt idx="0">
                  <c:v>4440000</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[1]JJMMF!$C$9</c:f>
              <c:numCache>
                <c:formatCode>General</c:formatCode>
                <c:ptCount val="1"/>
                <c:pt idx="0">
                  <c:v>6253528.5509214355</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dLbl>
              <c:idx val="0"/>
              <c:layout>
                <c:manualLayout>
                  <c:x val="-0.13711583924349882"/>
                  <c:y val="-3.1185031185031187E-2"/>
                </c:manualLayout>
              </c:layout>
              <c:showLegendKey val="0"/>
              <c:showVal val="0"/>
              <c:showCatName val="1"/>
              <c:showSerName val="1"/>
              <c:showPercent val="0"/>
              <c:showBubbleSize val="0"/>
              <c:separator>; </c:separator>
            </c:dLbl>
            <c:numFmt formatCode="&quot;$&quot;#,##0.0" sourceLinked="0"/>
            <c:showLegendKey val="0"/>
            <c:showVal val="0"/>
            <c:showCatName val="1"/>
            <c:showSerName val="1"/>
            <c:showPercent val="0"/>
            <c:showBubbleSize val="0"/>
            <c:separator>; </c:separator>
            <c:showLeaderLines val="0"/>
          </c:dLbls>
          <c:xVal>
            <c:numRef>
              <c:f>[1]JJMMF!$D$9</c:f>
              <c:numCache>
                <c:formatCode>General</c:formatCode>
                <c:ptCount val="1"/>
                <c:pt idx="0">
                  <c:v>4440000</c:v>
                </c:pt>
              </c:numCache>
            </c:numRef>
          </c:xVal>
          <c:yVal>
            <c:numRef>
              <c:f>[1]JJMMF!$F$9</c:f>
              <c:numCache>
                <c:formatCode>General</c:formatCode>
                <c:ptCount val="1"/>
                <c:pt idx="0">
                  <c:v>32484.644891698143</c:v>
                </c:pt>
              </c:numCache>
            </c:numRef>
          </c:yVal>
          <c:smooth val="0"/>
        </c:ser>
        <c:dLbls>
          <c:showLegendKey val="0"/>
          <c:showVal val="0"/>
          <c:showCatName val="0"/>
          <c:showSerName val="0"/>
          <c:showPercent val="0"/>
          <c:showBubbleSize val="0"/>
        </c:dLbls>
        <c:axId val="292956800"/>
        <c:axId val="292972800"/>
      </c:scatterChart>
      <c:valAx>
        <c:axId val="292956800"/>
        <c:scaling>
          <c:orientation val="minMax"/>
        </c:scaling>
        <c:delete val="0"/>
        <c:axPos val="b"/>
        <c:majorGridlines/>
        <c:title>
          <c:tx>
            <c:rich>
              <a:bodyPr/>
              <a:lstStyle/>
              <a:p>
                <a:pPr>
                  <a:defRPr/>
                </a:pPr>
                <a:r>
                  <a:rPr lang="en-US"/>
                  <a:t>Januvia Family MMF Spend (in MM $)</a:t>
                </a:r>
              </a:p>
            </c:rich>
          </c:tx>
          <c:overlay val="0"/>
        </c:title>
        <c:numFmt formatCode="&quot;$&quot;#,##0.0" sourceLinked="0"/>
        <c:majorTickMark val="out"/>
        <c:minorTickMark val="none"/>
        <c:tickLblPos val="nextTo"/>
        <c:crossAx val="292972800"/>
        <c:crosses val="autoZero"/>
        <c:crossBetween val="midCat"/>
        <c:dispUnits>
          <c:builtInUnit val="millions"/>
        </c:dispUnits>
      </c:valAx>
      <c:valAx>
        <c:axId val="292972800"/>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overlay val="0"/>
        </c:title>
        <c:numFmt formatCode="#,##0" sourceLinked="0"/>
        <c:majorTickMark val="out"/>
        <c:minorTickMark val="none"/>
        <c:tickLblPos val="nextTo"/>
        <c:crossAx val="292956800"/>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Januvia Family: Estimated </a:t>
            </a:r>
            <a:r>
              <a:rPr lang="en-US" sz="1200">
                <a:solidFill>
                  <a:srgbClr val="0000FF"/>
                </a:solidFill>
              </a:rPr>
              <a:t>Incr. TRx</a:t>
            </a:r>
            <a:r>
              <a:rPr lang="en-US" sz="1200"/>
              <a:t> from HCC Spend</a:t>
            </a:r>
          </a:p>
        </c:rich>
      </c:tx>
      <c:overlay val="0"/>
    </c:title>
    <c:autoTitleDeleted val="0"/>
    <c:plotArea>
      <c:layout/>
      <c:scatterChart>
        <c:scatterStyle val="lineMarker"/>
        <c:varyColors val="0"/>
        <c:ser>
          <c:idx val="0"/>
          <c:order val="0"/>
          <c:tx>
            <c:v>Curr</c:v>
          </c:tx>
          <c:spPr>
            <a:ln w="44450">
              <a:solidFill>
                <a:srgbClr val="C00000"/>
              </a:solidFill>
            </a:ln>
          </c:spPr>
          <c:marker>
            <c:symbol val="diamond"/>
            <c:size val="9"/>
            <c:spPr>
              <a:solidFill>
                <a:srgbClr val="C00000"/>
              </a:solidFill>
              <a:ln w="19050">
                <a:solidFill>
                  <a:srgbClr val="C00000"/>
                </a:solidFill>
              </a:ln>
            </c:spPr>
          </c:marker>
          <c:dLbls>
            <c:numFmt formatCode="&quot;$&quot;#,##0.0" sourceLinked="0"/>
            <c:txPr>
              <a:bodyPr/>
              <a:lstStyle/>
              <a:p>
                <a:pPr>
                  <a:defRPr sz="1000"/>
                </a:pPr>
                <a:endParaRPr lang="en-US"/>
              </a:p>
            </c:txPr>
            <c:dLblPos val="r"/>
            <c:showLegendKey val="0"/>
            <c:showVal val="0"/>
            <c:showCatName val="1"/>
            <c:showSerName val="1"/>
            <c:showPercent val="0"/>
            <c:showBubbleSize val="0"/>
            <c:separator>; </c:separator>
            <c:showLeaderLines val="0"/>
          </c:dLbls>
          <c:xVal>
            <c:numRef>
              <c:f>[1]JJHCC!$G$9</c:f>
              <c:numCache>
                <c:formatCode>General</c:formatCode>
                <c:ptCount val="1"/>
                <c:pt idx="0">
                  <c:v>22954000</c:v>
                </c:pt>
              </c:numCache>
            </c:numRef>
          </c:xVal>
          <c:yVal>
            <c:numRef>
              <c:f>[1]JJHCC!$I$9</c:f>
              <c:numCache>
                <c:formatCode>General</c:formatCode>
                <c:ptCount val="1"/>
                <c:pt idx="0">
                  <c:v>2018049.0519838764</c:v>
                </c:pt>
              </c:numCache>
            </c:numRef>
          </c:yVal>
          <c:smooth val="0"/>
        </c:ser>
        <c:ser>
          <c:idx val="1"/>
          <c:order val="1"/>
          <c:tx>
            <c:strRef>
              <c:f>[1]JJHCC!$F$2</c:f>
              <c:strCache>
                <c:ptCount val="1"/>
                <c:pt idx="0">
                  <c:v>Incr. TRx</c:v>
                </c:pt>
              </c:strCache>
            </c:strRef>
          </c:tx>
          <c:spPr>
            <a:ln>
              <a:solidFill>
                <a:schemeClr val="tx2">
                  <a:lumMod val="50000"/>
                </a:schemeClr>
              </a:solidFill>
            </a:ln>
          </c:spPr>
          <c:marker>
            <c:symbol val="none"/>
          </c:marker>
          <c:xVal>
            <c:numRef>
              <c:f>[1]JJHCC!$A$22:$A$42</c:f>
              <c:numCache>
                <c:formatCode>General</c:formatCode>
                <c:ptCount val="21"/>
                <c:pt idx="0">
                  <c:v>0</c:v>
                </c:pt>
                <c:pt idx="1">
                  <c:v>3000000</c:v>
                </c:pt>
                <c:pt idx="2">
                  <c:v>6000000</c:v>
                </c:pt>
                <c:pt idx="3">
                  <c:v>9000000</c:v>
                </c:pt>
                <c:pt idx="4">
                  <c:v>12000000</c:v>
                </c:pt>
                <c:pt idx="5">
                  <c:v>15000000</c:v>
                </c:pt>
                <c:pt idx="6">
                  <c:v>18000000</c:v>
                </c:pt>
                <c:pt idx="7">
                  <c:v>21000000</c:v>
                </c:pt>
                <c:pt idx="8">
                  <c:v>24000000</c:v>
                </c:pt>
                <c:pt idx="9">
                  <c:v>27000000</c:v>
                </c:pt>
                <c:pt idx="10">
                  <c:v>30000000</c:v>
                </c:pt>
                <c:pt idx="11">
                  <c:v>33000000</c:v>
                </c:pt>
                <c:pt idx="12">
                  <c:v>36000000</c:v>
                </c:pt>
                <c:pt idx="13">
                  <c:v>39000000</c:v>
                </c:pt>
                <c:pt idx="14">
                  <c:v>42000000</c:v>
                </c:pt>
                <c:pt idx="15">
                  <c:v>45000000</c:v>
                </c:pt>
                <c:pt idx="16">
                  <c:v>48000000</c:v>
                </c:pt>
                <c:pt idx="17">
                  <c:v>51000000</c:v>
                </c:pt>
                <c:pt idx="18">
                  <c:v>54000000</c:v>
                </c:pt>
                <c:pt idx="19">
                  <c:v>57000000</c:v>
                </c:pt>
                <c:pt idx="20">
                  <c:v>60000000</c:v>
                </c:pt>
              </c:numCache>
            </c:numRef>
          </c:xVal>
          <c:yVal>
            <c:numRef>
              <c:f>[1]JJHCC!$C$22:$C$42</c:f>
              <c:numCache>
                <c:formatCode>General</c:formatCode>
                <c:ptCount val="21"/>
                <c:pt idx="0">
                  <c:v>0</c:v>
                </c:pt>
                <c:pt idx="1">
                  <c:v>297254.23855530831</c:v>
                </c:pt>
                <c:pt idx="2">
                  <c:v>583886.53821244533</c:v>
                </c:pt>
                <c:pt idx="3">
                  <c:v>860189.61231652321</c:v>
                </c:pt>
                <c:pt idx="4">
                  <c:v>1126455.0150630728</c:v>
                </c:pt>
                <c:pt idx="5">
                  <c:v>1382972.5018485775</c:v>
                </c:pt>
                <c:pt idx="6">
                  <c:v>1630029.4468531767</c:v>
                </c:pt>
                <c:pt idx="7">
                  <c:v>1867910.3155366876</c:v>
                </c:pt>
                <c:pt idx="8">
                  <c:v>2096896.1896097637</c:v>
                </c:pt>
                <c:pt idx="9">
                  <c:v>2317264.3419553088</c:v>
                </c:pt>
                <c:pt idx="10">
                  <c:v>2529287.8589213705</c:v>
                </c:pt>
                <c:pt idx="11">
                  <c:v>2733235.3073775992</c:v>
                </c:pt>
                <c:pt idx="12">
                  <c:v>2929370.4439246543</c:v>
                </c:pt>
                <c:pt idx="13">
                  <c:v>3117951.963662724</c:v>
                </c:pt>
                <c:pt idx="14">
                  <c:v>3299233.2859603721</c:v>
                </c:pt>
                <c:pt idx="15">
                  <c:v>3473462.3747162502</c:v>
                </c:pt>
                <c:pt idx="16">
                  <c:v>3640881.5906692483</c:v>
                </c:pt>
                <c:pt idx="17">
                  <c:v>3801727.5733869057</c:v>
                </c:pt>
                <c:pt idx="18">
                  <c:v>3956231.1506453403</c:v>
                </c:pt>
                <c:pt idx="19">
                  <c:v>4104617.2730022375</c:v>
                </c:pt>
                <c:pt idx="20">
                  <c:v>4247104.9714602269</c:v>
                </c:pt>
              </c:numCache>
            </c:numRef>
          </c:yVal>
          <c:smooth val="0"/>
        </c:ser>
        <c:ser>
          <c:idx val="2"/>
          <c:order val="2"/>
          <c:tx>
            <c:v>Xmin</c:v>
          </c:tx>
          <c:spPr>
            <a:ln>
              <a:solidFill>
                <a:schemeClr val="tx2"/>
              </a:solidFill>
            </a:ln>
          </c:spPr>
          <c:marker>
            <c:symbol val="circle"/>
            <c:size val="7"/>
            <c:spPr>
              <a:solidFill>
                <a:schemeClr val="tx2"/>
              </a:solidFill>
            </c:spPr>
          </c:marker>
          <c:xVal>
            <c:numRef>
              <c:f>[1]JJHCC!$B$9</c:f>
              <c:numCache>
                <c:formatCode>General</c:formatCode>
                <c:ptCount val="1"/>
                <c:pt idx="0">
                  <c:v>22954000</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[1]JJHCC!$C$9</c:f>
              <c:numCache>
                <c:formatCode>General</c:formatCode>
                <c:ptCount val="1"/>
                <c:pt idx="0">
                  <c:v>36811696</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numFmt formatCode="&quot;$&quot;#,##0.0" sourceLinked="0"/>
            <c:showLegendKey val="0"/>
            <c:showVal val="0"/>
            <c:showCatName val="1"/>
            <c:showSerName val="1"/>
            <c:showPercent val="0"/>
            <c:showBubbleSize val="0"/>
            <c:separator>; </c:separator>
            <c:showLeaderLines val="0"/>
          </c:dLbls>
          <c:xVal>
            <c:numRef>
              <c:f>[1]JJHCC!$D$9</c:f>
              <c:numCache>
                <c:formatCode>General</c:formatCode>
                <c:ptCount val="1"/>
                <c:pt idx="0">
                  <c:v>33364081.648994002</c:v>
                </c:pt>
              </c:numCache>
            </c:numRef>
          </c:xVal>
          <c:yVal>
            <c:numRef>
              <c:f>[1]JJHCC!$F$9</c:f>
              <c:numCache>
                <c:formatCode>General</c:formatCode>
                <c:ptCount val="1"/>
                <c:pt idx="0">
                  <c:v>2757449.6934405314</c:v>
                </c:pt>
              </c:numCache>
            </c:numRef>
          </c:yVal>
          <c:smooth val="0"/>
        </c:ser>
        <c:dLbls>
          <c:showLegendKey val="0"/>
          <c:showVal val="0"/>
          <c:showCatName val="0"/>
          <c:showSerName val="0"/>
          <c:showPercent val="0"/>
          <c:showBubbleSize val="0"/>
        </c:dLbls>
        <c:axId val="322022784"/>
        <c:axId val="322033536"/>
      </c:scatterChart>
      <c:valAx>
        <c:axId val="322022784"/>
        <c:scaling>
          <c:orientation val="minMax"/>
        </c:scaling>
        <c:delete val="0"/>
        <c:axPos val="b"/>
        <c:majorGridlines/>
        <c:title>
          <c:tx>
            <c:rich>
              <a:bodyPr/>
              <a:lstStyle/>
              <a:p>
                <a:pPr>
                  <a:defRPr/>
                </a:pPr>
                <a:r>
                  <a:rPr lang="en-US"/>
                  <a:t>Januvia Family HCC Spend (in MM $)</a:t>
                </a:r>
              </a:p>
            </c:rich>
          </c:tx>
          <c:overlay val="0"/>
        </c:title>
        <c:numFmt formatCode="&quot;$&quot;#,##0.0" sourceLinked="0"/>
        <c:majorTickMark val="out"/>
        <c:minorTickMark val="none"/>
        <c:tickLblPos val="nextTo"/>
        <c:crossAx val="322033536"/>
        <c:crosses val="autoZero"/>
        <c:crossBetween val="midCat"/>
        <c:dispUnits>
          <c:builtInUnit val="millions"/>
        </c:dispUnits>
      </c:valAx>
      <c:valAx>
        <c:axId val="322033536"/>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overlay val="0"/>
        </c:title>
        <c:numFmt formatCode="#,##0" sourceLinked="0"/>
        <c:majorTickMark val="out"/>
        <c:minorTickMark val="none"/>
        <c:tickLblPos val="nextTo"/>
        <c:crossAx val="322022784"/>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Januvia Family: Estimated </a:t>
            </a:r>
            <a:r>
              <a:rPr lang="en-US" sz="1200">
                <a:solidFill>
                  <a:srgbClr val="0000FF"/>
                </a:solidFill>
              </a:rPr>
              <a:t>Incr. TRx</a:t>
            </a:r>
            <a:r>
              <a:rPr lang="en-US" sz="1200"/>
              <a:t> from MCM Spend</a:t>
            </a:r>
          </a:p>
        </c:rich>
      </c:tx>
      <c:overlay val="0"/>
    </c:title>
    <c:autoTitleDeleted val="0"/>
    <c:plotArea>
      <c:layout/>
      <c:scatterChart>
        <c:scatterStyle val="lineMarker"/>
        <c:varyColors val="0"/>
        <c:ser>
          <c:idx val="0"/>
          <c:order val="0"/>
          <c:tx>
            <c:v>Curr</c:v>
          </c:tx>
          <c:spPr>
            <a:ln w="44450">
              <a:solidFill>
                <a:srgbClr val="C00000"/>
              </a:solidFill>
            </a:ln>
          </c:spPr>
          <c:marker>
            <c:symbol val="diamond"/>
            <c:size val="9"/>
            <c:spPr>
              <a:solidFill>
                <a:srgbClr val="C00000"/>
              </a:solidFill>
              <a:ln w="19050">
                <a:solidFill>
                  <a:srgbClr val="C00000"/>
                </a:solidFill>
              </a:ln>
            </c:spPr>
          </c:marker>
          <c:dLbls>
            <c:dLbl>
              <c:idx val="0"/>
              <c:layout>
                <c:manualLayout>
                  <c:x val="2.3775558725630053E-3"/>
                  <c:y val="7.0323488045007029E-3"/>
                </c:manualLayout>
              </c:layout>
              <c:dLblPos val="r"/>
              <c:showLegendKey val="0"/>
              <c:showVal val="0"/>
              <c:showCatName val="1"/>
              <c:showSerName val="1"/>
              <c:showPercent val="0"/>
              <c:showBubbleSize val="0"/>
              <c:separator>; </c:separator>
            </c:dLbl>
            <c:numFmt formatCode="&quot;$&quot;#,##0.0" sourceLinked="0"/>
            <c:txPr>
              <a:bodyPr/>
              <a:lstStyle/>
              <a:p>
                <a:pPr>
                  <a:defRPr sz="1000"/>
                </a:pPr>
                <a:endParaRPr lang="en-US"/>
              </a:p>
            </c:txPr>
            <c:dLblPos val="r"/>
            <c:showLegendKey val="0"/>
            <c:showVal val="0"/>
            <c:showCatName val="1"/>
            <c:showSerName val="1"/>
            <c:showPercent val="0"/>
            <c:showBubbleSize val="0"/>
            <c:separator>; </c:separator>
            <c:showLeaderLines val="0"/>
          </c:dLbls>
          <c:xVal>
            <c:numRef>
              <c:f>[1]JJMCM!$G$9</c:f>
              <c:numCache>
                <c:formatCode>General</c:formatCode>
                <c:ptCount val="1"/>
                <c:pt idx="0">
                  <c:v>7818984</c:v>
                </c:pt>
              </c:numCache>
            </c:numRef>
          </c:xVal>
          <c:yVal>
            <c:numRef>
              <c:f>[1]JJMCM!$I$9</c:f>
              <c:numCache>
                <c:formatCode>General</c:formatCode>
                <c:ptCount val="1"/>
                <c:pt idx="0">
                  <c:v>478349.49312681123</c:v>
                </c:pt>
              </c:numCache>
            </c:numRef>
          </c:yVal>
          <c:smooth val="0"/>
        </c:ser>
        <c:ser>
          <c:idx val="1"/>
          <c:order val="1"/>
          <c:tx>
            <c:strRef>
              <c:f>[1]JJMCM!$F$2</c:f>
              <c:strCache>
                <c:ptCount val="1"/>
                <c:pt idx="0">
                  <c:v>Incr. TRx</c:v>
                </c:pt>
              </c:strCache>
            </c:strRef>
          </c:tx>
          <c:spPr>
            <a:ln>
              <a:solidFill>
                <a:schemeClr val="tx2">
                  <a:lumMod val="50000"/>
                </a:schemeClr>
              </a:solidFill>
            </a:ln>
          </c:spPr>
          <c:marker>
            <c:symbol val="none"/>
          </c:marker>
          <c:xVal>
            <c:numRef>
              <c:f>[1]JJMCM!$A$22:$A$42</c:f>
              <c:numCache>
                <c:formatCode>General</c:formatCode>
                <c:ptCount val="21"/>
                <c:pt idx="0">
                  <c:v>0</c:v>
                </c:pt>
                <c:pt idx="1">
                  <c:v>1500000</c:v>
                </c:pt>
                <c:pt idx="2">
                  <c:v>3000000</c:v>
                </c:pt>
                <c:pt idx="3">
                  <c:v>4500000</c:v>
                </c:pt>
                <c:pt idx="4">
                  <c:v>6000000</c:v>
                </c:pt>
                <c:pt idx="5">
                  <c:v>7500000</c:v>
                </c:pt>
                <c:pt idx="6">
                  <c:v>9000000</c:v>
                </c:pt>
                <c:pt idx="7">
                  <c:v>10500000</c:v>
                </c:pt>
                <c:pt idx="8">
                  <c:v>12000000</c:v>
                </c:pt>
                <c:pt idx="9">
                  <c:v>13500000</c:v>
                </c:pt>
                <c:pt idx="10">
                  <c:v>15000000</c:v>
                </c:pt>
                <c:pt idx="11">
                  <c:v>16500000</c:v>
                </c:pt>
                <c:pt idx="12">
                  <c:v>18000000</c:v>
                </c:pt>
                <c:pt idx="13">
                  <c:v>19500000</c:v>
                </c:pt>
                <c:pt idx="14">
                  <c:v>21000000</c:v>
                </c:pt>
                <c:pt idx="15">
                  <c:v>22500000</c:v>
                </c:pt>
                <c:pt idx="16">
                  <c:v>24000000</c:v>
                </c:pt>
                <c:pt idx="17">
                  <c:v>25500000</c:v>
                </c:pt>
                <c:pt idx="18">
                  <c:v>27000000</c:v>
                </c:pt>
                <c:pt idx="19">
                  <c:v>28500000</c:v>
                </c:pt>
                <c:pt idx="20">
                  <c:v>30000000</c:v>
                </c:pt>
              </c:numCache>
            </c:numRef>
          </c:xVal>
          <c:yVal>
            <c:numRef>
              <c:f>[1]JJMCM!$C$22:$C$42</c:f>
              <c:numCache>
                <c:formatCode>General</c:formatCode>
                <c:ptCount val="21"/>
                <c:pt idx="0">
                  <c:v>0</c:v>
                </c:pt>
                <c:pt idx="1">
                  <c:v>100538.91309705841</c:v>
                </c:pt>
                <c:pt idx="2">
                  <c:v>196726.83717164566</c:v>
                </c:pt>
                <c:pt idx="3">
                  <c:v>288741.30899238476</c:v>
                </c:pt>
                <c:pt idx="4">
                  <c:v>376753.56349487905</c:v>
                </c:pt>
                <c:pt idx="5">
                  <c:v>460928.67296254874</c:v>
                </c:pt>
                <c:pt idx="6">
                  <c:v>541425.69145626714</c:v>
                </c:pt>
                <c:pt idx="7">
                  <c:v>618397.80342381413</c:v>
                </c:pt>
                <c:pt idx="8">
                  <c:v>691992.47551862395</c:v>
                </c:pt>
                <c:pt idx="9">
                  <c:v>762351.61074836389</c:v>
                </c:pt>
                <c:pt idx="10">
                  <c:v>829611.70416189637</c:v>
                </c:pt>
                <c:pt idx="11">
                  <c:v>893903.99936124031</c:v>
                </c:pt>
                <c:pt idx="12">
                  <c:v>955354.64520199155</c:v>
                </c:pt>
                <c:pt idx="13">
                  <c:v>1014084.8521134729</c:v>
                </c:pt>
                <c:pt idx="14">
                  <c:v>1070211.0475348698</c:v>
                </c:pt>
                <c:pt idx="15">
                  <c:v>1123845.0300224621</c:v>
                </c:pt>
                <c:pt idx="16">
                  <c:v>1175094.1216376177</c:v>
                </c:pt>
                <c:pt idx="17">
                  <c:v>1224061.3182753886</c:v>
                </c:pt>
                <c:pt idx="18">
                  <c:v>1270845.4376392283</c:v>
                </c:pt>
                <c:pt idx="19">
                  <c:v>1315541.2646095406</c:v>
                </c:pt>
                <c:pt idx="20">
                  <c:v>1358239.6937915403</c:v>
                </c:pt>
              </c:numCache>
            </c:numRef>
          </c:yVal>
          <c:smooth val="0"/>
        </c:ser>
        <c:ser>
          <c:idx val="2"/>
          <c:order val="2"/>
          <c:tx>
            <c:v>Xmin</c:v>
          </c:tx>
          <c:spPr>
            <a:ln>
              <a:solidFill>
                <a:schemeClr val="tx2"/>
              </a:solidFill>
            </a:ln>
          </c:spPr>
          <c:marker>
            <c:symbol val="circle"/>
            <c:size val="7"/>
            <c:spPr>
              <a:solidFill>
                <a:schemeClr val="tx2"/>
              </a:solidFill>
            </c:spPr>
          </c:marker>
          <c:xVal>
            <c:numRef>
              <c:f>[1]JJMCM!$B$9</c:f>
              <c:numCache>
                <c:formatCode>General</c:formatCode>
                <c:ptCount val="1"/>
                <c:pt idx="0">
                  <c:v>6255187.2000000002</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[1]JJMCM!$C$9</c:f>
              <c:numCache>
                <c:formatCode>General</c:formatCode>
                <c:ptCount val="1"/>
                <c:pt idx="0">
                  <c:v>8600882.4000000004</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dLbl>
              <c:idx val="0"/>
              <c:layout>
                <c:manualLayout>
                  <c:x val="-1.1887779362815026E-2"/>
                  <c:y val="2.461322081575246E-2"/>
                </c:manualLayout>
              </c:layout>
              <c:showLegendKey val="0"/>
              <c:showVal val="0"/>
              <c:showCatName val="1"/>
              <c:showSerName val="1"/>
              <c:showPercent val="0"/>
              <c:showBubbleSize val="0"/>
              <c:separator>; </c:separator>
            </c:dLbl>
            <c:numFmt formatCode="&quot;$&quot;#,##0.0" sourceLinked="0"/>
            <c:showLegendKey val="0"/>
            <c:showVal val="0"/>
            <c:showCatName val="1"/>
            <c:showSerName val="1"/>
            <c:showPercent val="0"/>
            <c:showBubbleSize val="0"/>
            <c:separator>; </c:separator>
            <c:showLeaderLines val="0"/>
          </c:dLbls>
          <c:xVal>
            <c:numRef>
              <c:f>[1]JJMCM!$D$9</c:f>
              <c:numCache>
                <c:formatCode>General</c:formatCode>
                <c:ptCount val="1"/>
                <c:pt idx="0">
                  <c:v>6255187.2000000002</c:v>
                </c:pt>
              </c:numCache>
            </c:numRef>
          </c:xVal>
          <c:yVal>
            <c:numRef>
              <c:f>[1]JJMCM!$F$9</c:f>
              <c:numCache>
                <c:formatCode>General</c:formatCode>
                <c:ptCount val="1"/>
                <c:pt idx="0">
                  <c:v>391340.25142413448</c:v>
                </c:pt>
              </c:numCache>
            </c:numRef>
          </c:yVal>
          <c:smooth val="0"/>
        </c:ser>
        <c:dLbls>
          <c:showLegendKey val="0"/>
          <c:showVal val="0"/>
          <c:showCatName val="0"/>
          <c:showSerName val="0"/>
          <c:showPercent val="0"/>
          <c:showBubbleSize val="0"/>
        </c:dLbls>
        <c:axId val="322189568"/>
        <c:axId val="322200320"/>
      </c:scatterChart>
      <c:valAx>
        <c:axId val="322189568"/>
        <c:scaling>
          <c:orientation val="minMax"/>
        </c:scaling>
        <c:delete val="0"/>
        <c:axPos val="b"/>
        <c:majorGridlines/>
        <c:title>
          <c:tx>
            <c:rich>
              <a:bodyPr/>
              <a:lstStyle/>
              <a:p>
                <a:pPr>
                  <a:defRPr/>
                </a:pPr>
                <a:r>
                  <a:rPr lang="en-US"/>
                  <a:t>Januvia Family MCM Spend (in MM $)</a:t>
                </a:r>
              </a:p>
            </c:rich>
          </c:tx>
          <c:overlay val="0"/>
        </c:title>
        <c:numFmt formatCode="&quot;$&quot;#,##0.0" sourceLinked="0"/>
        <c:majorTickMark val="out"/>
        <c:minorTickMark val="none"/>
        <c:tickLblPos val="nextTo"/>
        <c:crossAx val="322200320"/>
        <c:crosses val="autoZero"/>
        <c:crossBetween val="midCat"/>
        <c:dispUnits>
          <c:builtInUnit val="millions"/>
        </c:dispUnits>
      </c:valAx>
      <c:valAx>
        <c:axId val="322200320"/>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overlay val="0"/>
        </c:title>
        <c:numFmt formatCode="#,##0" sourceLinked="0"/>
        <c:majorTickMark val="out"/>
        <c:minorTickMark val="none"/>
        <c:tickLblPos val="nextTo"/>
        <c:crossAx val="322189568"/>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Januvia Family: Estimated </a:t>
            </a:r>
            <a:r>
              <a:rPr lang="en-US" sz="1200">
                <a:solidFill>
                  <a:srgbClr val="0000FF"/>
                </a:solidFill>
              </a:rPr>
              <a:t>Incr. TRx</a:t>
            </a:r>
            <a:r>
              <a:rPr lang="en-US" sz="1200"/>
              <a:t> from HCC Pharmacy Acquisition</a:t>
            </a:r>
            <a:r>
              <a:rPr lang="en-US" sz="1200" baseline="0"/>
              <a:t> </a:t>
            </a:r>
            <a:r>
              <a:rPr lang="en-US" sz="1200"/>
              <a:t>Spend</a:t>
            </a:r>
          </a:p>
        </c:rich>
      </c:tx>
      <c:overlay val="0"/>
    </c:title>
    <c:autoTitleDeleted val="0"/>
    <c:plotArea>
      <c:layout/>
      <c:scatterChart>
        <c:scatterStyle val="lineMarker"/>
        <c:varyColors val="0"/>
        <c:ser>
          <c:idx val="0"/>
          <c:order val="0"/>
          <c:tx>
            <c:v>Curr</c:v>
          </c:tx>
          <c:spPr>
            <a:ln w="44450">
              <a:solidFill>
                <a:srgbClr val="C00000"/>
              </a:solidFill>
            </a:ln>
          </c:spPr>
          <c:marker>
            <c:symbol val="diamond"/>
            <c:size val="9"/>
            <c:spPr>
              <a:solidFill>
                <a:srgbClr val="C00000"/>
              </a:solidFill>
              <a:ln w="19050">
                <a:solidFill>
                  <a:srgbClr val="C00000"/>
                </a:solidFill>
              </a:ln>
            </c:spPr>
          </c:marker>
          <c:dLbls>
            <c:dLbl>
              <c:idx val="0"/>
              <c:layout>
                <c:manualLayout>
                  <c:x val="-1.9157088122605363E-2"/>
                  <c:y val="3.6469730123997082E-2"/>
                </c:manualLayout>
              </c:layout>
              <c:dLblPos val="r"/>
              <c:showLegendKey val="0"/>
              <c:showVal val="0"/>
              <c:showCatName val="1"/>
              <c:showSerName val="1"/>
              <c:showPercent val="0"/>
              <c:showBubbleSize val="0"/>
              <c:separator>; </c:separator>
            </c:dLbl>
            <c:numFmt formatCode="&quot;$&quot;#,##0.0" sourceLinked="0"/>
            <c:txPr>
              <a:bodyPr/>
              <a:lstStyle/>
              <a:p>
                <a:pPr>
                  <a:defRPr sz="1000"/>
                </a:pPr>
                <a:endParaRPr lang="en-US"/>
              </a:p>
            </c:txPr>
            <c:dLblPos val="r"/>
            <c:showLegendKey val="0"/>
            <c:showVal val="0"/>
            <c:showCatName val="1"/>
            <c:showSerName val="1"/>
            <c:showPercent val="0"/>
            <c:showBubbleSize val="0"/>
            <c:separator>; </c:separator>
            <c:showLeaderLines val="0"/>
          </c:dLbls>
          <c:xVal>
            <c:numRef>
              <c:f>[1]JJHCC_ACQ!$G$9</c:f>
              <c:numCache>
                <c:formatCode>General</c:formatCode>
                <c:ptCount val="1"/>
                <c:pt idx="0">
                  <c:v>3535945</c:v>
                </c:pt>
              </c:numCache>
            </c:numRef>
          </c:xVal>
          <c:yVal>
            <c:numRef>
              <c:f>[1]JJHCC_ACQ!$I$9</c:f>
              <c:numCache>
                <c:formatCode>General</c:formatCode>
                <c:ptCount val="1"/>
                <c:pt idx="0">
                  <c:v>105223.86</c:v>
                </c:pt>
              </c:numCache>
            </c:numRef>
          </c:yVal>
          <c:smooth val="0"/>
        </c:ser>
        <c:ser>
          <c:idx val="1"/>
          <c:order val="1"/>
          <c:tx>
            <c:strRef>
              <c:f>[1]JJHCC_ACQ!$F$2</c:f>
              <c:strCache>
                <c:ptCount val="1"/>
                <c:pt idx="0">
                  <c:v>Incr. TRx</c:v>
                </c:pt>
              </c:strCache>
            </c:strRef>
          </c:tx>
          <c:spPr>
            <a:ln>
              <a:solidFill>
                <a:schemeClr val="tx2">
                  <a:lumMod val="50000"/>
                </a:schemeClr>
              </a:solidFill>
            </a:ln>
          </c:spPr>
          <c:marker>
            <c:symbol val="none"/>
          </c:marker>
          <c:xVal>
            <c:numRef>
              <c:f>[1]JJHCC_ACQ!$A$22:$A$42</c:f>
              <c:numCache>
                <c:formatCode>General</c:formatCode>
                <c:ptCount val="21"/>
                <c:pt idx="0">
                  <c:v>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numCache>
            </c:numRef>
          </c:xVal>
          <c:yVal>
            <c:numRef>
              <c:f>[1]JJHCC_ACQ!$C$22:$C$42</c:f>
              <c:numCache>
                <c:formatCode>General</c:formatCode>
                <c:ptCount val="21"/>
                <c:pt idx="0">
                  <c:v>0</c:v>
                </c:pt>
                <c:pt idx="1">
                  <c:v>30793.66007956121</c:v>
                </c:pt>
                <c:pt idx="2">
                  <c:v>60759.784734371271</c:v>
                </c:pt>
                <c:pt idx="3">
                  <c:v>89919.970506032609</c:v>
                </c:pt>
                <c:pt idx="4">
                  <c:v>118295.28493133298</c:v>
                </c:pt>
                <c:pt idx="5">
                  <c:v>145906.27761678849</c:v>
                </c:pt>
                <c:pt idx="6">
                  <c:v>172772.99118774696</c:v>
                </c:pt>
                <c:pt idx="7">
                  <c:v>198914.9721062124</c:v>
                </c:pt>
                <c:pt idx="8">
                  <c:v>224351.28135324939</c:v>
                </c:pt>
                <c:pt idx="9">
                  <c:v>249100.50497117388</c:v>
                </c:pt>
                <c:pt idx="10">
                  <c:v>273180.76446186443</c:v>
                </c:pt>
                <c:pt idx="11">
                  <c:v>296609.72703808395</c:v>
                </c:pt>
                <c:pt idx="12">
                  <c:v>319404.61572463508</c:v>
                </c:pt>
                <c:pt idx="13">
                  <c:v>341582.21930686373</c:v>
                </c:pt>
                <c:pt idx="14">
                  <c:v>363158.90212475957</c:v>
                </c:pt>
                <c:pt idx="15">
                  <c:v>384150.61371045368</c:v>
                </c:pt>
                <c:pt idx="16">
                  <c:v>404572.89826786373</c:v>
                </c:pt>
                <c:pt idx="17">
                  <c:v>424440.90399361809</c:v>
                </c:pt>
                <c:pt idx="18">
                  <c:v>443769.39223802311</c:v>
                </c:pt>
                <c:pt idx="19">
                  <c:v>462572.74650588329</c:v>
                </c:pt>
                <c:pt idx="20">
                  <c:v>480864.98129671277</c:v>
                </c:pt>
              </c:numCache>
            </c:numRef>
          </c:yVal>
          <c:smooth val="0"/>
        </c:ser>
        <c:ser>
          <c:idx val="2"/>
          <c:order val="2"/>
          <c:tx>
            <c:v>Xmin</c:v>
          </c:tx>
          <c:spPr>
            <a:ln>
              <a:solidFill>
                <a:schemeClr val="tx2"/>
              </a:solidFill>
            </a:ln>
          </c:spPr>
          <c:marker>
            <c:symbol val="circle"/>
            <c:size val="7"/>
            <c:spPr>
              <a:solidFill>
                <a:schemeClr val="tx2"/>
              </a:solidFill>
            </c:spPr>
          </c:marker>
          <c:xVal>
            <c:numRef>
              <c:f>[1]JJHCC_ACQ!$B$9</c:f>
              <c:numCache>
                <c:formatCode>General</c:formatCode>
                <c:ptCount val="1"/>
                <c:pt idx="0">
                  <c:v>3535945</c:v>
                </c:pt>
              </c:numCache>
            </c:numRef>
          </c:xVal>
          <c:yVal>
            <c:numLit>
              <c:formatCode>General</c:formatCode>
              <c:ptCount val="1"/>
              <c:pt idx="0">
                <c:v>0</c:v>
              </c:pt>
            </c:numLit>
          </c:yVal>
          <c:smooth val="0"/>
        </c:ser>
        <c:ser>
          <c:idx val="3"/>
          <c:order val="3"/>
          <c:tx>
            <c:v>Xmax</c:v>
          </c:tx>
          <c:spPr>
            <a:ln>
              <a:solidFill>
                <a:schemeClr val="tx2"/>
              </a:solidFill>
            </a:ln>
          </c:spPr>
          <c:marker>
            <c:symbol val="circle"/>
            <c:size val="7"/>
            <c:spPr>
              <a:solidFill>
                <a:schemeClr val="tx2"/>
              </a:solidFill>
            </c:spPr>
          </c:marker>
          <c:xVal>
            <c:numRef>
              <c:f>[1]JJHCC_ACQ!$C$9</c:f>
              <c:numCache>
                <c:formatCode>General</c:formatCode>
                <c:ptCount val="1"/>
                <c:pt idx="0">
                  <c:v>5000000</c:v>
                </c:pt>
              </c:numCache>
            </c:numRef>
          </c:xVal>
          <c:yVal>
            <c:numLit>
              <c:formatCode>General</c:formatCode>
              <c:ptCount val="1"/>
              <c:pt idx="0">
                <c:v>0</c:v>
              </c:pt>
            </c:numLit>
          </c:yVal>
          <c:smooth val="0"/>
        </c:ser>
        <c:ser>
          <c:idx val="4"/>
          <c:order val="4"/>
          <c:tx>
            <c:v>Opt</c:v>
          </c:tx>
          <c:spPr>
            <a:ln>
              <a:solidFill>
                <a:schemeClr val="accent3">
                  <a:lumMod val="50000"/>
                </a:schemeClr>
              </a:solidFill>
            </a:ln>
          </c:spPr>
          <c:marker>
            <c:symbol val="circle"/>
            <c:size val="7"/>
            <c:spPr>
              <a:solidFill>
                <a:schemeClr val="accent3">
                  <a:lumMod val="50000"/>
                </a:schemeClr>
              </a:solidFill>
            </c:spPr>
          </c:marker>
          <c:dLbls>
            <c:dLbl>
              <c:idx val="0"/>
              <c:layout>
                <c:manualLayout>
                  <c:x val="-0.11254789272030649"/>
                  <c:y val="-4.3763676148796497E-2"/>
                </c:manualLayout>
              </c:layout>
              <c:showLegendKey val="0"/>
              <c:showVal val="0"/>
              <c:showCatName val="1"/>
              <c:showSerName val="1"/>
              <c:showPercent val="0"/>
              <c:showBubbleSize val="0"/>
              <c:separator>; </c:separator>
            </c:dLbl>
            <c:numFmt formatCode="&quot;$&quot;#,##0.0" sourceLinked="0"/>
            <c:showLegendKey val="0"/>
            <c:showVal val="0"/>
            <c:showCatName val="1"/>
            <c:showSerName val="1"/>
            <c:showPercent val="0"/>
            <c:showBubbleSize val="0"/>
            <c:separator>; </c:separator>
            <c:showLeaderLines val="0"/>
          </c:dLbls>
          <c:xVal>
            <c:numRef>
              <c:f>[1]JJHCC_ACQ!$D$9</c:f>
              <c:numCache>
                <c:formatCode>General</c:formatCode>
                <c:ptCount val="1"/>
                <c:pt idx="0">
                  <c:v>3535945</c:v>
                </c:pt>
              </c:numCache>
            </c:numRef>
          </c:xVal>
          <c:yVal>
            <c:numRef>
              <c:f>[1]JJHCC_ACQ!$F$9</c:f>
              <c:numCache>
                <c:formatCode>General</c:formatCode>
                <c:ptCount val="1"/>
                <c:pt idx="0">
                  <c:v>105223.86</c:v>
                </c:pt>
              </c:numCache>
            </c:numRef>
          </c:yVal>
          <c:smooth val="0"/>
        </c:ser>
        <c:dLbls>
          <c:showLegendKey val="0"/>
          <c:showVal val="0"/>
          <c:showCatName val="0"/>
          <c:showSerName val="0"/>
          <c:showPercent val="0"/>
          <c:showBubbleSize val="0"/>
        </c:dLbls>
        <c:axId val="320808448"/>
        <c:axId val="320810368"/>
      </c:scatterChart>
      <c:valAx>
        <c:axId val="320808448"/>
        <c:scaling>
          <c:orientation val="minMax"/>
        </c:scaling>
        <c:delete val="0"/>
        <c:axPos val="b"/>
        <c:majorGridlines/>
        <c:title>
          <c:tx>
            <c:rich>
              <a:bodyPr/>
              <a:lstStyle/>
              <a:p>
                <a:pPr>
                  <a:defRPr/>
                </a:pPr>
                <a:r>
                  <a:rPr lang="en-US"/>
                  <a:t>Januvia Family HCC Pharmacy Acquisition Spend (in MM $)</a:t>
                </a:r>
              </a:p>
            </c:rich>
          </c:tx>
          <c:overlay val="0"/>
        </c:title>
        <c:numFmt formatCode="&quot;$&quot;#,##0.0" sourceLinked="0"/>
        <c:majorTickMark val="out"/>
        <c:minorTickMark val="none"/>
        <c:tickLblPos val="nextTo"/>
        <c:crossAx val="320810368"/>
        <c:crosses val="autoZero"/>
        <c:crossBetween val="midCat"/>
        <c:dispUnits>
          <c:builtInUnit val="millions"/>
        </c:dispUnits>
      </c:valAx>
      <c:valAx>
        <c:axId val="320810368"/>
        <c:scaling>
          <c:orientation val="minMax"/>
        </c:scaling>
        <c:delete val="0"/>
        <c:axPos val="l"/>
        <c:majorGridlines/>
        <c:title>
          <c:tx>
            <c:rich>
              <a:bodyPr rot="-5400000" vert="horz"/>
              <a:lstStyle/>
              <a:p>
                <a:pPr>
                  <a:defRPr>
                    <a:solidFill>
                      <a:srgbClr val="0000FF"/>
                    </a:solidFill>
                  </a:defRPr>
                </a:pPr>
                <a:r>
                  <a:rPr lang="en-US">
                    <a:solidFill>
                      <a:srgbClr val="0000FF"/>
                    </a:solidFill>
                  </a:rPr>
                  <a:t>Incr. TRx (in '000)</a:t>
                </a:r>
              </a:p>
            </c:rich>
          </c:tx>
          <c:overlay val="0"/>
        </c:title>
        <c:numFmt formatCode="#,##0" sourceLinked="0"/>
        <c:majorTickMark val="out"/>
        <c:minorTickMark val="none"/>
        <c:tickLblPos val="nextTo"/>
        <c:crossAx val="320808448"/>
        <c:crosses val="autoZero"/>
        <c:crossBetween val="midCat"/>
        <c:dispUnits>
          <c:builtInUnit val="thousands"/>
        </c:dispUnits>
      </c:valAx>
      <c:spPr>
        <a:noFill/>
      </c:spPr>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289560</xdr:colOff>
      <xdr:row>16</xdr:row>
      <xdr:rowOff>38100</xdr:rowOff>
    </xdr:from>
    <xdr:to>
      <xdr:col>14</xdr:col>
      <xdr:colOff>632460</xdr:colOff>
      <xdr:row>42</xdr:row>
      <xdr:rowOff>0</xdr:rowOff>
    </xdr:to>
    <xdr:grpSp>
      <xdr:nvGrpSpPr>
        <xdr:cNvPr id="2" name="Group 1"/>
        <xdr:cNvGrpSpPr/>
      </xdr:nvGrpSpPr>
      <xdr:grpSpPr>
        <a:xfrm>
          <a:off x="289560" y="3383280"/>
          <a:ext cx="8496300" cy="4716780"/>
          <a:chOff x="289560" y="3383280"/>
          <a:chExt cx="8496300" cy="4716780"/>
        </a:xfrm>
      </xdr:grpSpPr>
      <xdr:graphicFrame macro="">
        <xdr:nvGraphicFramePr>
          <xdr:cNvPr id="3" name="Chart 2"/>
          <xdr:cNvGraphicFramePr/>
        </xdr:nvGraphicFramePr>
        <xdr:xfrm>
          <a:off x="289560" y="3387090"/>
          <a:ext cx="5044440" cy="471297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xdr:cNvGraphicFramePr>
            <a:graphicFrameLocks/>
          </xdr:cNvGraphicFramePr>
        </xdr:nvGraphicFramePr>
        <xdr:xfrm>
          <a:off x="5349240" y="3383280"/>
          <a:ext cx="3436620" cy="471297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2</xdr:row>
      <xdr:rowOff>0</xdr:rowOff>
    </xdr:from>
    <xdr:to>
      <xdr:col>17</xdr:col>
      <xdr:colOff>365760</xdr:colOff>
      <xdr:row>40</xdr:row>
      <xdr:rowOff>167640</xdr:rowOff>
    </xdr:to>
    <xdr:grpSp>
      <xdr:nvGrpSpPr>
        <xdr:cNvPr id="11" name="Group 10"/>
        <xdr:cNvGrpSpPr/>
      </xdr:nvGrpSpPr>
      <xdr:grpSpPr>
        <a:xfrm>
          <a:off x="38100" y="365760"/>
          <a:ext cx="10690860" cy="7117080"/>
          <a:chOff x="38100" y="365760"/>
          <a:chExt cx="10690860" cy="7117080"/>
        </a:xfrm>
      </xdr:grpSpPr>
      <xdr:graphicFrame macro="">
        <xdr:nvGraphicFramePr>
          <xdr:cNvPr id="2" name="Chart 1"/>
          <xdr:cNvGraphicFramePr>
            <a:graphicFrameLocks/>
          </xdr:cNvGraphicFramePr>
        </xdr:nvGraphicFramePr>
        <xdr:xfrm>
          <a:off x="38100" y="373380"/>
          <a:ext cx="5288280" cy="34290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xdr:cNvGraphicFramePr>
            <a:graphicFrameLocks/>
          </xdr:cNvGraphicFramePr>
        </xdr:nvGraphicFramePr>
        <xdr:xfrm>
          <a:off x="5356860" y="365760"/>
          <a:ext cx="5356860" cy="343662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xdr:cNvGraphicFramePr>
            <a:graphicFrameLocks/>
          </xdr:cNvGraphicFramePr>
        </xdr:nvGraphicFramePr>
        <xdr:xfrm>
          <a:off x="38100" y="3825240"/>
          <a:ext cx="5303520" cy="36576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xdr:cNvGraphicFramePr>
            <a:graphicFrameLocks/>
          </xdr:cNvGraphicFramePr>
        </xdr:nvGraphicFramePr>
        <xdr:xfrm>
          <a:off x="5356860" y="3817620"/>
          <a:ext cx="5372100" cy="366522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45720</xdr:colOff>
      <xdr:row>41</xdr:row>
      <xdr:rowOff>68580</xdr:rowOff>
    </xdr:from>
    <xdr:to>
      <xdr:col>17</xdr:col>
      <xdr:colOff>381000</xdr:colOff>
      <xdr:row>80</xdr:row>
      <xdr:rowOff>91440</xdr:rowOff>
    </xdr:to>
    <xdr:grpSp>
      <xdr:nvGrpSpPr>
        <xdr:cNvPr id="12" name="Group 11"/>
        <xdr:cNvGrpSpPr/>
      </xdr:nvGrpSpPr>
      <xdr:grpSpPr>
        <a:xfrm>
          <a:off x="45720" y="7566660"/>
          <a:ext cx="10698480" cy="7155180"/>
          <a:chOff x="45720" y="7566660"/>
          <a:chExt cx="10698480" cy="7155180"/>
        </a:xfrm>
      </xdr:grpSpPr>
      <xdr:graphicFrame macro="">
        <xdr:nvGraphicFramePr>
          <xdr:cNvPr id="6" name="Chart 5"/>
          <xdr:cNvGraphicFramePr>
            <a:graphicFrameLocks/>
          </xdr:cNvGraphicFramePr>
        </xdr:nvGraphicFramePr>
        <xdr:xfrm>
          <a:off x="45720" y="7566660"/>
          <a:ext cx="5311140" cy="361188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7" name="Chart 6"/>
          <xdr:cNvGraphicFramePr>
            <a:graphicFrameLocks/>
          </xdr:cNvGraphicFramePr>
        </xdr:nvGraphicFramePr>
        <xdr:xfrm>
          <a:off x="5379720" y="7574280"/>
          <a:ext cx="5341620" cy="361188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8" name="Chart 7"/>
          <xdr:cNvGraphicFramePr>
            <a:graphicFrameLocks/>
          </xdr:cNvGraphicFramePr>
        </xdr:nvGraphicFramePr>
        <xdr:xfrm>
          <a:off x="53340" y="11193780"/>
          <a:ext cx="5303520" cy="352806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9" name="Chart 8"/>
          <xdr:cNvGraphicFramePr>
            <a:graphicFrameLocks/>
          </xdr:cNvGraphicFramePr>
        </xdr:nvGraphicFramePr>
        <xdr:xfrm>
          <a:off x="5379720" y="11209020"/>
          <a:ext cx="5364480" cy="35052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60960</xdr:colOff>
      <xdr:row>8</xdr:row>
      <xdr:rowOff>3810</xdr:rowOff>
    </xdr:from>
    <xdr:to>
      <xdr:col>18</xdr:col>
      <xdr:colOff>91440</xdr:colOff>
      <xdr:row>26</xdr:row>
      <xdr:rowOff>99060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8</xdr:row>
      <xdr:rowOff>0</xdr:rowOff>
    </xdr:from>
    <xdr:to>
      <xdr:col>28</xdr:col>
      <xdr:colOff>30480</xdr:colOff>
      <xdr:row>26</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30</xdr:row>
      <xdr:rowOff>0</xdr:rowOff>
    </xdr:from>
    <xdr:to>
      <xdr:col>18</xdr:col>
      <xdr:colOff>30480</xdr:colOff>
      <xdr:row>53</xdr:row>
      <xdr:rowOff>28575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0.00967</cdr:x>
      <cdr:y>0.95217</cdr:y>
    </cdr:from>
    <cdr:to>
      <cdr:x>0.98895</cdr:x>
      <cdr:y>1</cdr:y>
    </cdr:to>
    <cdr:sp macro="" textlink="">
      <cdr:nvSpPr>
        <cdr:cNvPr id="3" name="TextBox 2"/>
        <cdr:cNvSpPr txBox="1"/>
      </cdr:nvSpPr>
      <cdr:spPr>
        <a:xfrm xmlns:a="http://schemas.openxmlformats.org/drawingml/2006/main">
          <a:off x="53340" y="4095750"/>
          <a:ext cx="5402580" cy="205740"/>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r>
            <a:rPr lang="en-US" sz="1100"/>
            <a:t>Note: Numbers in chart are Marginal Returns (post-tax Incr. Rev. / pre-tax Incr. Cost)</a:t>
          </a:r>
        </a:p>
      </cdr:txBody>
    </cdr:sp>
  </cdr:relSizeAnchor>
</c:userShapes>
</file>

<file path=xl/drawings/drawing5.xml><?xml version="1.0" encoding="utf-8"?>
<xdr:wsDr xmlns:xdr="http://schemas.openxmlformats.org/drawingml/2006/spreadsheetDrawing" xmlns:a="http://schemas.openxmlformats.org/drawingml/2006/main">
  <xdr:twoCellAnchor>
    <xdr:from>
      <xdr:col>8</xdr:col>
      <xdr:colOff>371474</xdr:colOff>
      <xdr:row>5</xdr:row>
      <xdr:rowOff>76200</xdr:rowOff>
    </xdr:from>
    <xdr:to>
      <xdr:col>17</xdr:col>
      <xdr:colOff>561975</xdr:colOff>
      <xdr:row>26</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5</xdr:row>
      <xdr:rowOff>80961</xdr:rowOff>
    </xdr:from>
    <xdr:to>
      <xdr:col>8</xdr:col>
      <xdr:colOff>304800</xdr:colOff>
      <xdr:row>26</xdr:row>
      <xdr:rowOff>9524</xdr:rowOff>
    </xdr:to>
    <xdr:graphicFrame macro="">
      <xdr:nvGraphicFramePr>
        <xdr:cNvPr id="3" name="Chart 2" title="X"/>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581025</xdr:colOff>
      <xdr:row>8</xdr:row>
      <xdr:rowOff>76200</xdr:rowOff>
    </xdr:from>
    <xdr:to>
      <xdr:col>4</xdr:col>
      <xdr:colOff>123825</xdr:colOff>
      <xdr:row>8</xdr:row>
      <xdr:rowOff>171450</xdr:rowOff>
    </xdr:to>
    <xdr:cxnSp macro="">
      <xdr:nvCxnSpPr>
        <xdr:cNvPr id="4" name="Straight Arrow Connector 3"/>
        <xdr:cNvCxnSpPr/>
      </xdr:nvCxnSpPr>
      <xdr:spPr>
        <a:xfrm flipV="1">
          <a:off x="2798445" y="2156460"/>
          <a:ext cx="152400" cy="95250"/>
        </a:xfrm>
        <a:prstGeom prst="straightConnector1">
          <a:avLst/>
        </a:prstGeom>
        <a:ln>
          <a:solidFill>
            <a:schemeClr val="tx2"/>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590550</xdr:colOff>
      <xdr:row>8</xdr:row>
      <xdr:rowOff>180975</xdr:rowOff>
    </xdr:from>
    <xdr:to>
      <xdr:col>4</xdr:col>
      <xdr:colOff>180975</xdr:colOff>
      <xdr:row>9</xdr:row>
      <xdr:rowOff>9525</xdr:rowOff>
    </xdr:to>
    <xdr:cxnSp macro="">
      <xdr:nvCxnSpPr>
        <xdr:cNvPr id="5" name="Straight Arrow Connector 4"/>
        <xdr:cNvCxnSpPr/>
      </xdr:nvCxnSpPr>
      <xdr:spPr>
        <a:xfrm flipV="1">
          <a:off x="2807970" y="2261235"/>
          <a:ext cx="200025" cy="11430"/>
        </a:xfrm>
        <a:prstGeom prst="straightConnector1">
          <a:avLst/>
        </a:prstGeom>
        <a:ln>
          <a:solidFill>
            <a:schemeClr val="accent1">
              <a:lumMod val="60000"/>
              <a:lumOff val="40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504825</xdr:colOff>
      <xdr:row>9</xdr:row>
      <xdr:rowOff>66675</xdr:rowOff>
    </xdr:from>
    <xdr:to>
      <xdr:col>4</xdr:col>
      <xdr:colOff>257175</xdr:colOff>
      <xdr:row>9</xdr:row>
      <xdr:rowOff>76200</xdr:rowOff>
    </xdr:to>
    <xdr:cxnSp macro="">
      <xdr:nvCxnSpPr>
        <xdr:cNvPr id="6" name="Straight Arrow Connector 5"/>
        <xdr:cNvCxnSpPr/>
      </xdr:nvCxnSpPr>
      <xdr:spPr>
        <a:xfrm>
          <a:off x="2722245" y="2329815"/>
          <a:ext cx="361950" cy="9525"/>
        </a:xfrm>
        <a:prstGeom prst="straightConnector1">
          <a:avLst/>
        </a:prstGeom>
        <a:ln>
          <a:solidFill>
            <a:schemeClr val="accent3"/>
          </a:solidFill>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rketing%20Mix%20PI/InvOpt/P2%202014%20AB/Promo/Diabetes%20Deep%20Dive/Optimize/Allocation/Jantot_2013Spend_Alloc_HIST2_V4_Se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iab_Alloc_PPT_Support_v1%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 Idvl"/>
      <sheetName val="Charts - Idvl IRev"/>
      <sheetName val="Chart - Combined"/>
      <sheetName val="JJ_Notes_1"/>
      <sheetName val="JJ_Notes_2"/>
      <sheetName val="Case Notes"/>
      <sheetName val="Sensitivity"/>
      <sheetName val="JJ_Optim_Scenario"/>
      <sheetName val="JANSample"/>
      <sheetName val="JMTSample"/>
      <sheetName val="TOTSample"/>
      <sheetName val="JJVCH"/>
      <sheetName val="JJMMF"/>
      <sheetName val="JJHCC"/>
      <sheetName val="JJMCM"/>
      <sheetName val="JJHCC_ACQ"/>
      <sheetName val="JJHCC_ADH"/>
      <sheetName val="Fn.Templates ==&gt;"/>
      <sheetName val="FT_SCurveEst"/>
      <sheetName val="FT_Equation"/>
      <sheetName val="FT_Interpolate"/>
      <sheetName val="FT_SCurve3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F2" t="str">
            <v>Incr. TRx</v>
          </cell>
        </row>
        <row r="9">
          <cell r="B9">
            <v>4793199.2</v>
          </cell>
          <cell r="C9">
            <v>7189798.7999999998</v>
          </cell>
          <cell r="D9">
            <v>7189798.7999999989</v>
          </cell>
          <cell r="F9">
            <v>3312421.3159430083</v>
          </cell>
          <cell r="G9">
            <v>5991499</v>
          </cell>
          <cell r="I9">
            <v>2767707.5889119492</v>
          </cell>
        </row>
        <row r="23">
          <cell r="A23">
            <v>0</v>
          </cell>
          <cell r="C23">
            <v>0</v>
          </cell>
        </row>
        <row r="24">
          <cell r="A24">
            <v>750000</v>
          </cell>
          <cell r="C24">
            <v>350482.28988140263</v>
          </cell>
        </row>
        <row r="25">
          <cell r="A25">
            <v>1500000</v>
          </cell>
          <cell r="C25">
            <v>699811.86374307924</v>
          </cell>
        </row>
        <row r="26">
          <cell r="A26">
            <v>2250000</v>
          </cell>
          <cell r="C26">
            <v>1047988.7215850296</v>
          </cell>
        </row>
        <row r="27">
          <cell r="A27">
            <v>3000000</v>
          </cell>
          <cell r="C27">
            <v>1395012.8634072545</v>
          </cell>
        </row>
        <row r="28">
          <cell r="A28">
            <v>3750000</v>
          </cell>
          <cell r="C28">
            <v>1740884.289209753</v>
          </cell>
        </row>
        <row r="29">
          <cell r="A29">
            <v>4500000</v>
          </cell>
          <cell r="C29">
            <v>2085602.9989925253</v>
          </cell>
        </row>
        <row r="30">
          <cell r="A30">
            <v>5250000</v>
          </cell>
          <cell r="C30">
            <v>2429168.9927555718</v>
          </cell>
        </row>
        <row r="31">
          <cell r="A31">
            <v>6000000</v>
          </cell>
          <cell r="C31">
            <v>2771582.2704988928</v>
          </cell>
        </row>
        <row r="32">
          <cell r="A32">
            <v>6750000</v>
          </cell>
          <cell r="C32">
            <v>3112842.8322224868</v>
          </cell>
        </row>
        <row r="33">
          <cell r="A33">
            <v>7500000</v>
          </cell>
          <cell r="C33">
            <v>3452950.6779263555</v>
          </cell>
        </row>
        <row r="34">
          <cell r="A34">
            <v>8250000</v>
          </cell>
          <cell r="C34">
            <v>3791905.8076104978</v>
          </cell>
        </row>
        <row r="35">
          <cell r="A35">
            <v>9000000</v>
          </cell>
          <cell r="C35">
            <v>4129708.2212749138</v>
          </cell>
        </row>
        <row r="36">
          <cell r="A36">
            <v>9750000</v>
          </cell>
          <cell r="C36">
            <v>4466357.9189196052</v>
          </cell>
        </row>
        <row r="37">
          <cell r="A37">
            <v>10500000</v>
          </cell>
          <cell r="C37">
            <v>4801854.9005445689</v>
          </cell>
        </row>
        <row r="38">
          <cell r="A38">
            <v>11250000</v>
          </cell>
          <cell r="C38">
            <v>5136199.1661498072</v>
          </cell>
        </row>
        <row r="39">
          <cell r="A39">
            <v>12000000</v>
          </cell>
          <cell r="C39">
            <v>5469390.7157353209</v>
          </cell>
        </row>
        <row r="40">
          <cell r="A40">
            <v>12750000</v>
          </cell>
          <cell r="C40">
            <v>5801429.5493011065</v>
          </cell>
        </row>
        <row r="41">
          <cell r="A41">
            <v>13500000</v>
          </cell>
          <cell r="C41">
            <v>6132315.6668471666</v>
          </cell>
        </row>
        <row r="42">
          <cell r="A42">
            <v>14250000</v>
          </cell>
          <cell r="C42">
            <v>6462049.0683735013</v>
          </cell>
        </row>
        <row r="43">
          <cell r="A43">
            <v>15000000</v>
          </cell>
          <cell r="C43">
            <v>6790629.7538801096</v>
          </cell>
        </row>
      </sheetData>
      <sheetData sheetId="9">
        <row r="2">
          <cell r="F2" t="str">
            <v>Incr. TRx</v>
          </cell>
        </row>
        <row r="9">
          <cell r="B9">
            <v>12488348</v>
          </cell>
          <cell r="C9">
            <v>18732522</v>
          </cell>
          <cell r="D9">
            <v>18732522</v>
          </cell>
          <cell r="F9">
            <v>3938662.5298482887</v>
          </cell>
          <cell r="G9">
            <v>15610435</v>
          </cell>
          <cell r="I9">
            <v>3281566.9987801639</v>
          </cell>
        </row>
        <row r="23">
          <cell r="A23">
            <v>0</v>
          </cell>
          <cell r="C23">
            <v>0</v>
          </cell>
        </row>
        <row r="24">
          <cell r="A24">
            <v>2000000</v>
          </cell>
          <cell r="C24">
            <v>420068.45346895687</v>
          </cell>
        </row>
        <row r="25">
          <cell r="A25">
            <v>4000000</v>
          </cell>
          <cell r="C25">
            <v>840243.89329690405</v>
          </cell>
        </row>
        <row r="26">
          <cell r="A26">
            <v>6000000</v>
          </cell>
          <cell r="C26">
            <v>1260526.3194838415</v>
          </cell>
        </row>
        <row r="27">
          <cell r="A27">
            <v>8000000</v>
          </cell>
          <cell r="C27">
            <v>1680915.7320297693</v>
          </cell>
        </row>
        <row r="28">
          <cell r="A28">
            <v>10000000</v>
          </cell>
          <cell r="C28">
            <v>2101412.1309346878</v>
          </cell>
        </row>
        <row r="29">
          <cell r="A29">
            <v>12000000</v>
          </cell>
          <cell r="C29">
            <v>2522015.516198596</v>
          </cell>
        </row>
        <row r="30">
          <cell r="A30">
            <v>14000000</v>
          </cell>
          <cell r="C30">
            <v>2942725.8878214951</v>
          </cell>
        </row>
        <row r="31">
          <cell r="A31">
            <v>16000000</v>
          </cell>
          <cell r="C31">
            <v>3363543.2458033841</v>
          </cell>
        </row>
        <row r="32">
          <cell r="A32">
            <v>18000000</v>
          </cell>
          <cell r="C32">
            <v>3784467.590144264</v>
          </cell>
        </row>
        <row r="33">
          <cell r="A33">
            <v>20000000</v>
          </cell>
          <cell r="C33">
            <v>4205498.920844133</v>
          </cell>
        </row>
        <row r="34">
          <cell r="A34">
            <v>22000000</v>
          </cell>
          <cell r="C34">
            <v>4626637.2379029933</v>
          </cell>
        </row>
        <row r="35">
          <cell r="A35">
            <v>24000000</v>
          </cell>
          <cell r="C35">
            <v>5047882.5413208436</v>
          </cell>
        </row>
        <row r="36">
          <cell r="A36">
            <v>26000000</v>
          </cell>
          <cell r="C36">
            <v>5469234.8310976848</v>
          </cell>
        </row>
        <row r="37">
          <cell r="A37">
            <v>28000000</v>
          </cell>
          <cell r="C37">
            <v>5890694.1072335159</v>
          </cell>
        </row>
        <row r="38">
          <cell r="A38">
            <v>30000000</v>
          </cell>
          <cell r="C38">
            <v>6312260.369728337</v>
          </cell>
        </row>
        <row r="39">
          <cell r="A39">
            <v>32000000</v>
          </cell>
          <cell r="C39">
            <v>6733933.618582149</v>
          </cell>
        </row>
        <row r="40">
          <cell r="A40">
            <v>34000000</v>
          </cell>
          <cell r="C40">
            <v>7155713.853794951</v>
          </cell>
        </row>
        <row r="41">
          <cell r="A41">
            <v>36000000</v>
          </cell>
          <cell r="C41">
            <v>7577601.0753667438</v>
          </cell>
        </row>
        <row r="42">
          <cell r="A42">
            <v>38000000</v>
          </cell>
          <cell r="C42">
            <v>7999595.2832975267</v>
          </cell>
        </row>
        <row r="43">
          <cell r="A43">
            <v>40000000</v>
          </cell>
          <cell r="C43">
            <v>8421696.4775872994</v>
          </cell>
        </row>
      </sheetData>
      <sheetData sheetId="10" refreshError="1"/>
      <sheetData sheetId="11">
        <row r="2">
          <cell r="F2" t="str">
            <v>Incr. TRx</v>
          </cell>
        </row>
        <row r="9">
          <cell r="B9">
            <v>3424244.4</v>
          </cell>
          <cell r="C9">
            <v>4185187.6000000006</v>
          </cell>
          <cell r="D9">
            <v>3424244.4</v>
          </cell>
          <cell r="F9">
            <v>171348.65624802854</v>
          </cell>
          <cell r="G9">
            <v>3804716</v>
          </cell>
          <cell r="I9">
            <v>190388.11981583459</v>
          </cell>
        </row>
        <row r="23">
          <cell r="A23">
            <v>0</v>
          </cell>
          <cell r="C23">
            <v>0</v>
          </cell>
        </row>
        <row r="24">
          <cell r="A24">
            <v>500000</v>
          </cell>
          <cell r="C24">
            <v>25019.190840995474</v>
          </cell>
        </row>
        <row r="25">
          <cell r="A25">
            <v>1000000</v>
          </cell>
          <cell r="C25">
            <v>50038.631748135442</v>
          </cell>
        </row>
        <row r="26">
          <cell r="A26">
            <v>1500000</v>
          </cell>
          <cell r="C26">
            <v>75058.322721419914</v>
          </cell>
        </row>
        <row r="27">
          <cell r="A27">
            <v>2000000</v>
          </cell>
          <cell r="C27">
            <v>100078.26376084886</v>
          </cell>
        </row>
        <row r="28">
          <cell r="A28">
            <v>2500000</v>
          </cell>
          <cell r="C28">
            <v>125098.45486642233</v>
          </cell>
        </row>
        <row r="29">
          <cell r="A29">
            <v>3000000</v>
          </cell>
          <cell r="C29">
            <v>150118.89603814026</v>
          </cell>
        </row>
        <row r="30">
          <cell r="A30">
            <v>3500000</v>
          </cell>
          <cell r="C30">
            <v>175139.58727600271</v>
          </cell>
        </row>
        <row r="31">
          <cell r="A31">
            <v>4000000</v>
          </cell>
          <cell r="C31">
            <v>200160.52858000965</v>
          </cell>
        </row>
        <row r="32">
          <cell r="A32">
            <v>4500000</v>
          </cell>
          <cell r="C32">
            <v>225181.71995016106</v>
          </cell>
        </row>
        <row r="33">
          <cell r="A33">
            <v>5000000</v>
          </cell>
          <cell r="C33">
            <v>250203.16138645701</v>
          </cell>
        </row>
        <row r="34">
          <cell r="A34">
            <v>5500000</v>
          </cell>
          <cell r="C34">
            <v>275224.85288889741</v>
          </cell>
        </row>
        <row r="35">
          <cell r="A35">
            <v>6000000</v>
          </cell>
          <cell r="C35">
            <v>300246.79445748235</v>
          </cell>
        </row>
        <row r="36">
          <cell r="A36">
            <v>6500000</v>
          </cell>
          <cell r="C36">
            <v>325268.98609221174</v>
          </cell>
        </row>
        <row r="37">
          <cell r="A37">
            <v>7000000</v>
          </cell>
          <cell r="C37">
            <v>350291.42779308563</v>
          </cell>
        </row>
        <row r="38">
          <cell r="A38">
            <v>7500000</v>
          </cell>
          <cell r="C38">
            <v>375314.11956010404</v>
          </cell>
        </row>
        <row r="39">
          <cell r="A39">
            <v>8000000</v>
          </cell>
          <cell r="C39">
            <v>400337.06139326689</v>
          </cell>
        </row>
        <row r="40">
          <cell r="A40">
            <v>8500000</v>
          </cell>
          <cell r="C40">
            <v>425360.25329257431</v>
          </cell>
        </row>
        <row r="41">
          <cell r="A41">
            <v>9000000</v>
          </cell>
          <cell r="C41">
            <v>450383.69525802619</v>
          </cell>
        </row>
        <row r="42">
          <cell r="A42">
            <v>9500000</v>
          </cell>
          <cell r="C42">
            <v>475407.38728962251</v>
          </cell>
        </row>
        <row r="43">
          <cell r="A43">
            <v>10000000</v>
          </cell>
          <cell r="C43">
            <v>500431.32938736345</v>
          </cell>
        </row>
      </sheetData>
      <sheetData sheetId="12">
        <row r="3">
          <cell r="D3" t="str">
            <v>Incr. NRx</v>
          </cell>
        </row>
        <row r="9">
          <cell r="B9">
            <v>4440000</v>
          </cell>
          <cell r="C9">
            <v>6253528.5509214355</v>
          </cell>
          <cell r="D9">
            <v>4440000</v>
          </cell>
          <cell r="F9">
            <v>32484.644891698143</v>
          </cell>
          <cell r="G9">
            <v>4440000</v>
          </cell>
          <cell r="I9">
            <v>32484.644891698143</v>
          </cell>
        </row>
        <row r="30">
          <cell r="A30">
            <v>0</v>
          </cell>
          <cell r="C30">
            <v>0</v>
          </cell>
        </row>
        <row r="31">
          <cell r="A31">
            <v>1000000</v>
          </cell>
          <cell r="C31">
            <v>9179.0562495034792</v>
          </cell>
        </row>
        <row r="32">
          <cell r="A32">
            <v>2000000</v>
          </cell>
          <cell r="C32">
            <v>17391.389236181065</v>
          </cell>
        </row>
        <row r="33">
          <cell r="A33">
            <v>3000000</v>
          </cell>
          <cell r="C33">
            <v>24138.827754638471</v>
          </cell>
        </row>
        <row r="34">
          <cell r="A34">
            <v>4000000</v>
          </cell>
          <cell r="C34">
            <v>30033.539986075008</v>
          </cell>
        </row>
        <row r="35">
          <cell r="A35">
            <v>5000000</v>
          </cell>
          <cell r="C35">
            <v>35425.123264128131</v>
          </cell>
        </row>
        <row r="36">
          <cell r="A36">
            <v>6000000</v>
          </cell>
          <cell r="C36">
            <v>39976.918645787257</v>
          </cell>
        </row>
        <row r="37">
          <cell r="A37">
            <v>7000000</v>
          </cell>
          <cell r="C37">
            <v>43686.137041238318</v>
          </cell>
        </row>
        <row r="38">
          <cell r="A38">
            <v>8000000</v>
          </cell>
          <cell r="C38">
            <v>46899.154123351931</v>
          </cell>
        </row>
        <row r="39">
          <cell r="A39">
            <v>9000000</v>
          </cell>
          <cell r="C39">
            <v>49765.352765581381</v>
          </cell>
        </row>
        <row r="40">
          <cell r="A40">
            <v>10000000</v>
          </cell>
          <cell r="C40">
            <v>52312.029808294283</v>
          </cell>
        </row>
        <row r="41">
          <cell r="A41">
            <v>11000000</v>
          </cell>
          <cell r="C41">
            <v>54564.992033654358</v>
          </cell>
        </row>
        <row r="42">
          <cell r="A42">
            <v>12000000</v>
          </cell>
          <cell r="C42">
            <v>56549.81299528871</v>
          </cell>
        </row>
        <row r="43">
          <cell r="A43">
            <v>13000000</v>
          </cell>
          <cell r="C43">
            <v>58291.287630721868</v>
          </cell>
        </row>
        <row r="44">
          <cell r="A44">
            <v>14000000</v>
          </cell>
          <cell r="C44">
            <v>59814.048591145343</v>
          </cell>
        </row>
        <row r="45">
          <cell r="A45">
            <v>15000000</v>
          </cell>
          <cell r="C45">
            <v>61142.728527750667</v>
          </cell>
        </row>
        <row r="46">
          <cell r="A46">
            <v>16000000</v>
          </cell>
          <cell r="C46">
            <v>62301.960091729314</v>
          </cell>
        </row>
        <row r="47">
          <cell r="A47">
            <v>17000000</v>
          </cell>
          <cell r="C47">
            <v>63316.375934272823</v>
          </cell>
        </row>
        <row r="48">
          <cell r="A48">
            <v>18000000</v>
          </cell>
          <cell r="C48">
            <v>64210.608706572675</v>
          </cell>
        </row>
        <row r="49">
          <cell r="A49">
            <v>19000000</v>
          </cell>
          <cell r="C49">
            <v>65009.291059820411</v>
          </cell>
        </row>
        <row r="50">
          <cell r="A50">
            <v>20000000</v>
          </cell>
          <cell r="C50">
            <v>65737.055645207511</v>
          </cell>
        </row>
      </sheetData>
      <sheetData sheetId="13">
        <row r="2">
          <cell r="F2" t="str">
            <v>Incr. TRx</v>
          </cell>
        </row>
        <row r="9">
          <cell r="B9">
            <v>22954000</v>
          </cell>
          <cell r="C9">
            <v>36811696</v>
          </cell>
          <cell r="D9">
            <v>33364081.648994002</v>
          </cell>
          <cell r="F9">
            <v>2757449.6934405314</v>
          </cell>
          <cell r="G9">
            <v>22954000</v>
          </cell>
          <cell r="I9">
            <v>2018049.0519838764</v>
          </cell>
        </row>
        <row r="22">
          <cell r="A22">
            <v>0</v>
          </cell>
          <cell r="C22">
            <v>0</v>
          </cell>
        </row>
        <row r="23">
          <cell r="A23">
            <v>3000000</v>
          </cell>
          <cell r="C23">
            <v>297254.23855530831</v>
          </cell>
        </row>
        <row r="24">
          <cell r="A24">
            <v>6000000</v>
          </cell>
          <cell r="C24">
            <v>583886.53821244533</v>
          </cell>
        </row>
        <row r="25">
          <cell r="A25">
            <v>9000000</v>
          </cell>
          <cell r="C25">
            <v>860189.61231652321</v>
          </cell>
        </row>
        <row r="26">
          <cell r="A26">
            <v>12000000</v>
          </cell>
          <cell r="C26">
            <v>1126455.0150630728</v>
          </cell>
        </row>
        <row r="27">
          <cell r="A27">
            <v>15000000</v>
          </cell>
          <cell r="C27">
            <v>1382972.5018485775</v>
          </cell>
        </row>
        <row r="28">
          <cell r="A28">
            <v>18000000</v>
          </cell>
          <cell r="C28">
            <v>1630029.4468531767</v>
          </cell>
        </row>
        <row r="29">
          <cell r="A29">
            <v>21000000</v>
          </cell>
          <cell r="C29">
            <v>1867910.3155366876</v>
          </cell>
        </row>
        <row r="30">
          <cell r="A30">
            <v>24000000</v>
          </cell>
          <cell r="C30">
            <v>2096896.1896097637</v>
          </cell>
        </row>
        <row r="31">
          <cell r="A31">
            <v>27000000</v>
          </cell>
          <cell r="C31">
            <v>2317264.3419553088</v>
          </cell>
        </row>
        <row r="32">
          <cell r="A32">
            <v>30000000</v>
          </cell>
          <cell r="C32">
            <v>2529287.8589213705</v>
          </cell>
        </row>
        <row r="33">
          <cell r="A33">
            <v>33000000</v>
          </cell>
          <cell r="C33">
            <v>2733235.3073775992</v>
          </cell>
        </row>
        <row r="34">
          <cell r="A34">
            <v>36000000</v>
          </cell>
          <cell r="C34">
            <v>2929370.4439246543</v>
          </cell>
        </row>
        <row r="35">
          <cell r="A35">
            <v>39000000</v>
          </cell>
          <cell r="C35">
            <v>3117951.963662724</v>
          </cell>
        </row>
        <row r="36">
          <cell r="A36">
            <v>42000000</v>
          </cell>
          <cell r="C36">
            <v>3299233.2859603721</v>
          </cell>
        </row>
        <row r="37">
          <cell r="A37">
            <v>45000000</v>
          </cell>
          <cell r="C37">
            <v>3473462.3747162502</v>
          </cell>
        </row>
        <row r="38">
          <cell r="A38">
            <v>48000000</v>
          </cell>
          <cell r="C38">
            <v>3640881.5906692483</v>
          </cell>
        </row>
        <row r="39">
          <cell r="A39">
            <v>51000000</v>
          </cell>
          <cell r="C39">
            <v>3801727.5733869057</v>
          </cell>
        </row>
        <row r="40">
          <cell r="A40">
            <v>54000000</v>
          </cell>
          <cell r="C40">
            <v>3956231.1506453403</v>
          </cell>
        </row>
        <row r="41">
          <cell r="A41">
            <v>57000000</v>
          </cell>
          <cell r="C41">
            <v>4104617.2730022375</v>
          </cell>
        </row>
        <row r="42">
          <cell r="A42">
            <v>60000000</v>
          </cell>
          <cell r="C42">
            <v>4247104.9714602269</v>
          </cell>
        </row>
      </sheetData>
      <sheetData sheetId="14">
        <row r="2">
          <cell r="F2" t="str">
            <v>Incr. TRx</v>
          </cell>
        </row>
        <row r="9">
          <cell r="B9">
            <v>6255187.2000000002</v>
          </cell>
          <cell r="C9">
            <v>8600882.4000000004</v>
          </cell>
          <cell r="D9">
            <v>6255187.2000000002</v>
          </cell>
          <cell r="F9">
            <v>391340.25142413448</v>
          </cell>
          <cell r="G9">
            <v>7818984</v>
          </cell>
          <cell r="I9">
            <v>478349.49312681123</v>
          </cell>
        </row>
        <row r="22">
          <cell r="A22">
            <v>0</v>
          </cell>
          <cell r="C22">
            <v>0</v>
          </cell>
        </row>
        <row r="23">
          <cell r="A23">
            <v>1500000</v>
          </cell>
          <cell r="C23">
            <v>100538.91309705841</v>
          </cell>
        </row>
        <row r="24">
          <cell r="A24">
            <v>3000000</v>
          </cell>
          <cell r="C24">
            <v>196726.83717164566</v>
          </cell>
        </row>
        <row r="25">
          <cell r="A25">
            <v>4500000</v>
          </cell>
          <cell r="C25">
            <v>288741.30899238476</v>
          </cell>
        </row>
        <row r="26">
          <cell r="A26">
            <v>6000000</v>
          </cell>
          <cell r="C26">
            <v>376753.56349487905</v>
          </cell>
        </row>
        <row r="27">
          <cell r="A27">
            <v>7500000</v>
          </cell>
          <cell r="C27">
            <v>460928.67296254874</v>
          </cell>
        </row>
        <row r="28">
          <cell r="A28">
            <v>9000000</v>
          </cell>
          <cell r="C28">
            <v>541425.69145626714</v>
          </cell>
        </row>
        <row r="29">
          <cell r="A29">
            <v>10500000</v>
          </cell>
          <cell r="C29">
            <v>618397.80342381413</v>
          </cell>
        </row>
        <row r="30">
          <cell r="A30">
            <v>12000000</v>
          </cell>
          <cell r="C30">
            <v>691992.47551862395</v>
          </cell>
        </row>
        <row r="31">
          <cell r="A31">
            <v>13500000</v>
          </cell>
          <cell r="C31">
            <v>762351.61074836389</v>
          </cell>
        </row>
        <row r="32">
          <cell r="A32">
            <v>15000000</v>
          </cell>
          <cell r="C32">
            <v>829611.70416189637</v>
          </cell>
        </row>
        <row r="33">
          <cell r="A33">
            <v>16500000</v>
          </cell>
          <cell r="C33">
            <v>893903.99936124031</v>
          </cell>
        </row>
        <row r="34">
          <cell r="A34">
            <v>18000000</v>
          </cell>
          <cell r="C34">
            <v>955354.64520199155</v>
          </cell>
        </row>
        <row r="35">
          <cell r="A35">
            <v>19500000</v>
          </cell>
          <cell r="C35">
            <v>1014084.8521134729</v>
          </cell>
        </row>
        <row r="36">
          <cell r="A36">
            <v>21000000</v>
          </cell>
          <cell r="C36">
            <v>1070211.0475348698</v>
          </cell>
        </row>
        <row r="37">
          <cell r="A37">
            <v>22500000</v>
          </cell>
          <cell r="C37">
            <v>1123845.0300224621</v>
          </cell>
        </row>
        <row r="38">
          <cell r="A38">
            <v>24000000</v>
          </cell>
          <cell r="C38">
            <v>1175094.1216376177</v>
          </cell>
        </row>
        <row r="39">
          <cell r="A39">
            <v>25500000</v>
          </cell>
          <cell r="C39">
            <v>1224061.3182753886</v>
          </cell>
        </row>
        <row r="40">
          <cell r="A40">
            <v>27000000</v>
          </cell>
          <cell r="C40">
            <v>1270845.4376392283</v>
          </cell>
        </row>
        <row r="41">
          <cell r="A41">
            <v>28500000</v>
          </cell>
          <cell r="C41">
            <v>1315541.2646095406</v>
          </cell>
        </row>
        <row r="42">
          <cell r="A42">
            <v>30000000</v>
          </cell>
          <cell r="C42">
            <v>1358239.6937915403</v>
          </cell>
        </row>
      </sheetData>
      <sheetData sheetId="15">
        <row r="2">
          <cell r="F2" t="str">
            <v>Incr. TRx</v>
          </cell>
        </row>
        <row r="9">
          <cell r="B9">
            <v>3535945</v>
          </cell>
          <cell r="C9">
            <v>5000000</v>
          </cell>
          <cell r="D9">
            <v>3535945</v>
          </cell>
          <cell r="F9">
            <v>105223.86</v>
          </cell>
          <cell r="G9">
            <v>3535945</v>
          </cell>
          <cell r="I9">
            <v>105223.86</v>
          </cell>
        </row>
        <row r="22">
          <cell r="A22">
            <v>0</v>
          </cell>
          <cell r="C22">
            <v>0</v>
          </cell>
        </row>
        <row r="23">
          <cell r="A23">
            <v>1000000</v>
          </cell>
          <cell r="C23">
            <v>30793.66007956121</v>
          </cell>
        </row>
        <row r="24">
          <cell r="A24">
            <v>2000000</v>
          </cell>
          <cell r="C24">
            <v>60759.784734371271</v>
          </cell>
        </row>
        <row r="25">
          <cell r="A25">
            <v>3000000</v>
          </cell>
          <cell r="C25">
            <v>89919.970506032609</v>
          </cell>
        </row>
        <row r="26">
          <cell r="A26">
            <v>4000000</v>
          </cell>
          <cell r="C26">
            <v>118295.28493133298</v>
          </cell>
        </row>
        <row r="27">
          <cell r="A27">
            <v>5000000</v>
          </cell>
          <cell r="C27">
            <v>145906.27761678849</v>
          </cell>
        </row>
        <row r="28">
          <cell r="A28">
            <v>6000000</v>
          </cell>
          <cell r="C28">
            <v>172772.99118774696</v>
          </cell>
        </row>
        <row r="29">
          <cell r="A29">
            <v>7000000</v>
          </cell>
          <cell r="C29">
            <v>198914.9721062124</v>
          </cell>
        </row>
        <row r="30">
          <cell r="A30">
            <v>8000000</v>
          </cell>
          <cell r="C30">
            <v>224351.28135324939</v>
          </cell>
        </row>
        <row r="31">
          <cell r="A31">
            <v>9000000</v>
          </cell>
          <cell r="C31">
            <v>249100.50497117388</v>
          </cell>
        </row>
        <row r="32">
          <cell r="A32">
            <v>10000000</v>
          </cell>
          <cell r="C32">
            <v>273180.76446186443</v>
          </cell>
        </row>
        <row r="33">
          <cell r="A33">
            <v>11000000</v>
          </cell>
          <cell r="C33">
            <v>296609.72703808395</v>
          </cell>
        </row>
        <row r="34">
          <cell r="A34">
            <v>12000000</v>
          </cell>
          <cell r="C34">
            <v>319404.61572463508</v>
          </cell>
        </row>
        <row r="35">
          <cell r="A35">
            <v>13000000</v>
          </cell>
          <cell r="C35">
            <v>341582.21930686373</v>
          </cell>
        </row>
        <row r="36">
          <cell r="A36">
            <v>14000000</v>
          </cell>
          <cell r="C36">
            <v>363158.90212475957</v>
          </cell>
        </row>
        <row r="37">
          <cell r="A37">
            <v>15000000</v>
          </cell>
          <cell r="C37">
            <v>384150.61371045368</v>
          </cell>
        </row>
        <row r="38">
          <cell r="A38">
            <v>16000000</v>
          </cell>
          <cell r="C38">
            <v>404572.89826786373</v>
          </cell>
        </row>
        <row r="39">
          <cell r="A39">
            <v>17000000</v>
          </cell>
          <cell r="C39">
            <v>424440.90399361809</v>
          </cell>
        </row>
        <row r="40">
          <cell r="A40">
            <v>18000000</v>
          </cell>
          <cell r="C40">
            <v>443769.39223802311</v>
          </cell>
        </row>
        <row r="41">
          <cell r="A41">
            <v>19000000</v>
          </cell>
          <cell r="C41">
            <v>462572.74650588329</v>
          </cell>
        </row>
        <row r="42">
          <cell r="A42">
            <v>20000000</v>
          </cell>
          <cell r="C42">
            <v>480864.98129671277</v>
          </cell>
        </row>
      </sheetData>
      <sheetData sheetId="16">
        <row r="2">
          <cell r="F2" t="str">
            <v>Incr. TRx</v>
          </cell>
        </row>
        <row r="9">
          <cell r="B9">
            <v>12000000</v>
          </cell>
          <cell r="C9">
            <v>16500000</v>
          </cell>
          <cell r="D9">
            <v>12000000</v>
          </cell>
          <cell r="F9">
            <v>298362.66148692742</v>
          </cell>
          <cell r="G9">
            <v>14895305</v>
          </cell>
          <cell r="I9">
            <v>357940.73004525341</v>
          </cell>
        </row>
        <row r="22">
          <cell r="A22">
            <v>0</v>
          </cell>
          <cell r="C22">
            <v>-1.862645149230957E-9</v>
          </cell>
        </row>
        <row r="23">
          <cell r="A23">
            <v>2500000</v>
          </cell>
          <cell r="C23">
            <v>69613.343456786126</v>
          </cell>
        </row>
        <row r="24">
          <cell r="A24">
            <v>5000000</v>
          </cell>
          <cell r="C24">
            <v>135113.29644636251</v>
          </cell>
        </row>
        <row r="25">
          <cell r="A25">
            <v>7500000</v>
          </cell>
          <cell r="C25">
            <v>196706.01895291917</v>
          </cell>
        </row>
        <row r="26">
          <cell r="A26">
            <v>10000000</v>
          </cell>
          <cell r="C26">
            <v>254591.97913881578</v>
          </cell>
        </row>
        <row r="27">
          <cell r="A27">
            <v>12500000</v>
          </cell>
          <cell r="C27">
            <v>308965.47104606405</v>
          </cell>
        </row>
        <row r="28">
          <cell r="A28">
            <v>15000000</v>
          </cell>
          <cell r="C28">
            <v>360014.24244978279</v>
          </cell>
        </row>
        <row r="29">
          <cell r="A29">
            <v>17500000</v>
          </cell>
          <cell r="C29">
            <v>407919.22098019347</v>
          </cell>
        </row>
        <row r="30">
          <cell r="A30">
            <v>20000000</v>
          </cell>
          <cell r="C30">
            <v>452854.32718004286</v>
          </cell>
        </row>
        <row r="31">
          <cell r="A31">
            <v>22500000</v>
          </cell>
          <cell r="C31">
            <v>494986.36381567456</v>
          </cell>
        </row>
        <row r="32">
          <cell r="A32">
            <v>25000000</v>
          </cell>
          <cell r="C32">
            <v>534474.97147820704</v>
          </cell>
        </row>
        <row r="33">
          <cell r="A33">
            <v>27500000</v>
          </cell>
          <cell r="C33">
            <v>571472.64126765914</v>
          </cell>
        </row>
        <row r="34">
          <cell r="A34">
            <v>30000000</v>
          </cell>
          <cell r="C34">
            <v>606124.7761241179</v>
          </cell>
        </row>
        <row r="35">
          <cell r="A35">
            <v>32500000</v>
          </cell>
          <cell r="C35">
            <v>638569.79313788004</v>
          </cell>
        </row>
        <row r="36">
          <cell r="A36">
            <v>35000000</v>
          </cell>
          <cell r="C36">
            <v>668939.25991971605</v>
          </cell>
        </row>
        <row r="37">
          <cell r="A37">
            <v>37500000</v>
          </cell>
          <cell r="C37">
            <v>697358.05883310176</v>
          </cell>
        </row>
        <row r="38">
          <cell r="A38">
            <v>40000000</v>
          </cell>
          <cell r="C38">
            <v>723944.57357360981</v>
          </cell>
        </row>
        <row r="39">
          <cell r="A39">
            <v>42500000</v>
          </cell>
          <cell r="C39">
            <v>748810.89322213084</v>
          </cell>
        </row>
        <row r="40">
          <cell r="A40">
            <v>45000000</v>
          </cell>
          <cell r="C40">
            <v>772063.02949445881</v>
          </cell>
        </row>
        <row r="41">
          <cell r="A41">
            <v>47500000</v>
          </cell>
          <cell r="C41">
            <v>793801.14345869608</v>
          </cell>
        </row>
        <row r="42">
          <cell r="A42">
            <v>50000000</v>
          </cell>
          <cell r="C42">
            <v>814119.77849387564</v>
          </cell>
        </row>
      </sheetData>
      <sheetData sheetId="17" refreshError="1"/>
      <sheetData sheetId="18" refreshError="1"/>
      <sheetData sheetId="19" refreshError="1"/>
      <sheetData sheetId="20" refreshError="1"/>
      <sheetData sheetId="2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 Cat"/>
      <sheetName val="PRC Methods"/>
      <sheetName val="Response Stats"/>
      <sheetName val="Graph"/>
    </sheetNames>
    <sheetDataSet>
      <sheetData sheetId="0"/>
      <sheetData sheetId="1"/>
      <sheetData sheetId="2">
        <row r="2">
          <cell r="B2" t="str">
            <v>Januvia Samples</v>
          </cell>
          <cell r="C2" t="str">
            <v>Janumet + XR Samples</v>
          </cell>
          <cell r="D2" t="str">
            <v>Janvia Family Vouchers</v>
          </cell>
          <cell r="E2" t="str">
            <v>Janvia Family MMF</v>
          </cell>
          <cell r="F2" t="str">
            <v>Janvia Family HCC</v>
          </cell>
          <cell r="G2" t="str">
            <v>Janvia Family MCM</v>
          </cell>
          <cell r="H2" t="str">
            <v>Janvia Family HCC Acquisition</v>
          </cell>
          <cell r="I2" t="str">
            <v>Janvia Family Adherence Programs</v>
          </cell>
        </row>
        <row r="11">
          <cell r="A11" t="str">
            <v>Spend per Incr. TRx</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32"/>
  <sheetViews>
    <sheetView workbookViewId="0">
      <selection activeCell="B20" sqref="B20:C32"/>
    </sheetView>
  </sheetViews>
  <sheetFormatPr defaultRowHeight="15" x14ac:dyDescent="0.25"/>
  <cols>
    <col min="2" max="2" width="20.5703125" customWidth="1"/>
    <col min="3" max="3" width="14.85546875" customWidth="1"/>
    <col min="4" max="4" width="9.85546875" customWidth="1"/>
    <col min="5" max="5" width="13.42578125" customWidth="1"/>
    <col min="6" max="6" width="14.7109375" customWidth="1"/>
  </cols>
  <sheetData>
    <row r="4" spans="2:7" ht="57.6" customHeight="1" x14ac:dyDescent="0.3">
      <c r="B4" s="158" t="s">
        <v>141</v>
      </c>
      <c r="C4" s="158" t="s">
        <v>8</v>
      </c>
      <c r="D4" s="158" t="s">
        <v>143</v>
      </c>
      <c r="E4" s="158" t="s">
        <v>142</v>
      </c>
    </row>
    <row r="5" spans="2:7" ht="14.45" x14ac:dyDescent="0.3">
      <c r="B5" s="5" t="s">
        <v>154</v>
      </c>
      <c r="C5" s="6">
        <v>26021000</v>
      </c>
      <c r="D5" s="5" t="s">
        <v>9</v>
      </c>
      <c r="E5" s="5"/>
    </row>
    <row r="6" spans="2:7" ht="14.45" x14ac:dyDescent="0.3">
      <c r="B6" s="11" t="s">
        <v>10</v>
      </c>
      <c r="C6" s="8">
        <v>7818984</v>
      </c>
      <c r="D6" s="7" t="s">
        <v>12</v>
      </c>
      <c r="E6" s="8">
        <v>7818984</v>
      </c>
      <c r="F6" t="s">
        <v>11</v>
      </c>
    </row>
    <row r="7" spans="2:7" x14ac:dyDescent="0.25">
      <c r="B7" s="212" t="s">
        <v>0</v>
      </c>
      <c r="C7" s="213">
        <v>28078839</v>
      </c>
      <c r="D7" s="7" t="s">
        <v>13</v>
      </c>
      <c r="E7" s="8">
        <v>21605830</v>
      </c>
      <c r="F7" s="2">
        <v>21601934</v>
      </c>
      <c r="G7" t="s">
        <v>17</v>
      </c>
    </row>
    <row r="8" spans="2:7" x14ac:dyDescent="0.25">
      <c r="B8" s="212"/>
      <c r="C8" s="213"/>
      <c r="D8" s="7" t="s">
        <v>14</v>
      </c>
      <c r="E8" s="8">
        <v>3804716</v>
      </c>
      <c r="F8" t="s">
        <v>11</v>
      </c>
    </row>
    <row r="9" spans="2:7" ht="14.45" x14ac:dyDescent="0.3">
      <c r="B9" s="11" t="s">
        <v>1</v>
      </c>
      <c r="C9" s="8">
        <v>8774444</v>
      </c>
      <c r="D9" s="7" t="s">
        <v>15</v>
      </c>
      <c r="E9" s="8">
        <v>4440000</v>
      </c>
      <c r="F9" t="s">
        <v>11</v>
      </c>
    </row>
    <row r="10" spans="2:7" x14ac:dyDescent="0.25">
      <c r="B10" s="7" t="s">
        <v>2</v>
      </c>
      <c r="C10" s="8">
        <v>4000000</v>
      </c>
      <c r="D10" s="7" t="s">
        <v>9</v>
      </c>
      <c r="E10" s="7"/>
    </row>
    <row r="11" spans="2:7" x14ac:dyDescent="0.25">
      <c r="B11" s="11" t="s">
        <v>3</v>
      </c>
      <c r="C11" s="8">
        <v>23081000</v>
      </c>
      <c r="D11" s="7" t="s">
        <v>12</v>
      </c>
      <c r="E11" s="8">
        <v>22954000</v>
      </c>
      <c r="F11" t="s">
        <v>11</v>
      </c>
    </row>
    <row r="12" spans="2:7" x14ac:dyDescent="0.25">
      <c r="B12" s="11" t="s">
        <v>4</v>
      </c>
      <c r="C12" s="8">
        <v>3535945</v>
      </c>
      <c r="D12" s="7" t="s">
        <v>12</v>
      </c>
      <c r="E12" s="8">
        <v>3535945</v>
      </c>
      <c r="F12" s="55">
        <v>4782666</v>
      </c>
      <c r="G12" t="s">
        <v>97</v>
      </c>
    </row>
    <row r="13" spans="2:7" x14ac:dyDescent="0.25">
      <c r="B13" s="11" t="s">
        <v>5</v>
      </c>
      <c r="C13" s="8">
        <v>14895305</v>
      </c>
      <c r="D13" s="7" t="s">
        <v>12</v>
      </c>
      <c r="E13" s="8">
        <v>14895305</v>
      </c>
      <c r="F13" t="s">
        <v>159</v>
      </c>
    </row>
    <row r="14" spans="2:7" x14ac:dyDescent="0.25">
      <c r="B14" s="7" t="s">
        <v>6</v>
      </c>
      <c r="C14" s="8">
        <v>4295334</v>
      </c>
      <c r="D14" s="7" t="s">
        <v>9</v>
      </c>
      <c r="E14" s="7"/>
    </row>
    <row r="15" spans="2:7" x14ac:dyDescent="0.25">
      <c r="B15" s="9" t="s">
        <v>7</v>
      </c>
      <c r="C15" s="10">
        <v>4190900</v>
      </c>
      <c r="D15" s="9" t="s">
        <v>9</v>
      </c>
      <c r="E15" s="9"/>
    </row>
    <row r="16" spans="2:7" x14ac:dyDescent="0.25">
      <c r="B16" s="12" t="s">
        <v>16</v>
      </c>
      <c r="C16" s="13">
        <f>SUM(C5:C15)</f>
        <v>124691751</v>
      </c>
      <c r="D16" s="12"/>
      <c r="E16" s="14">
        <f>SUM(E5:E15)</f>
        <v>79054780</v>
      </c>
    </row>
    <row r="17" spans="2:5" x14ac:dyDescent="0.25">
      <c r="B17" s="209"/>
      <c r="C17" s="209"/>
      <c r="D17" s="210"/>
      <c r="E17" s="15">
        <f>E16/C16</f>
        <v>0.63400168307845806</v>
      </c>
    </row>
    <row r="18" spans="2:5" x14ac:dyDescent="0.25">
      <c r="C18" s="2"/>
    </row>
    <row r="19" spans="2:5" x14ac:dyDescent="0.25">
      <c r="C19" s="3"/>
    </row>
    <row r="20" spans="2:5" ht="28.15" customHeight="1" x14ac:dyDescent="0.25">
      <c r="B20" s="208" t="s">
        <v>155</v>
      </c>
      <c r="C20" s="208"/>
    </row>
    <row r="21" spans="2:5" ht="30" x14ac:dyDescent="0.25">
      <c r="B21" s="178" t="s">
        <v>150</v>
      </c>
      <c r="C21" s="179">
        <f>SUM(C22:C27)</f>
        <v>12321000</v>
      </c>
      <c r="D21" s="170"/>
      <c r="E21" s="171"/>
    </row>
    <row r="22" spans="2:5" x14ac:dyDescent="0.25">
      <c r="B22" s="182" t="s">
        <v>1</v>
      </c>
      <c r="C22" s="183">
        <v>1725000</v>
      </c>
      <c r="D22" s="170"/>
      <c r="E22" s="171"/>
    </row>
    <row r="23" spans="2:5" x14ac:dyDescent="0.25">
      <c r="B23" s="184" t="s">
        <v>26</v>
      </c>
      <c r="C23" s="8">
        <v>992000</v>
      </c>
      <c r="D23" s="170"/>
      <c r="E23" s="171"/>
    </row>
    <row r="24" spans="2:5" x14ac:dyDescent="0.25">
      <c r="B24" s="184" t="s">
        <v>144</v>
      </c>
      <c r="C24" s="8">
        <v>6059000</v>
      </c>
      <c r="D24" s="170"/>
      <c r="E24" s="170"/>
    </row>
    <row r="25" spans="2:5" x14ac:dyDescent="0.25">
      <c r="B25" s="184" t="s">
        <v>151</v>
      </c>
      <c r="C25" s="8">
        <v>125000</v>
      </c>
      <c r="D25" s="170"/>
      <c r="E25" s="171"/>
    </row>
    <row r="26" spans="2:5" x14ac:dyDescent="0.25">
      <c r="B26" s="184" t="s">
        <v>152</v>
      </c>
      <c r="C26" s="8">
        <v>100000</v>
      </c>
      <c r="D26" s="170"/>
      <c r="E26" s="171"/>
    </row>
    <row r="27" spans="2:5" s="152" customFormat="1" x14ac:dyDescent="0.25">
      <c r="B27" s="185" t="s">
        <v>153</v>
      </c>
      <c r="C27" s="10">
        <v>3320000</v>
      </c>
      <c r="D27" s="170"/>
      <c r="E27" s="171"/>
    </row>
    <row r="28" spans="2:5" x14ac:dyDescent="0.25">
      <c r="B28" s="180" t="s">
        <v>148</v>
      </c>
      <c r="C28" s="181">
        <v>6600000</v>
      </c>
      <c r="D28" s="170"/>
      <c r="E28" s="170"/>
    </row>
    <row r="29" spans="2:5" x14ac:dyDescent="0.25">
      <c r="B29" s="175" t="s">
        <v>149</v>
      </c>
      <c r="C29" s="176">
        <v>4700000</v>
      </c>
      <c r="D29" s="170"/>
      <c r="E29" s="170"/>
    </row>
    <row r="30" spans="2:5" x14ac:dyDescent="0.25">
      <c r="B30" s="175" t="s">
        <v>158</v>
      </c>
      <c r="C30" s="176">
        <v>2400000</v>
      </c>
      <c r="D30" s="170"/>
      <c r="E30" s="170"/>
    </row>
    <row r="31" spans="2:5" ht="30" x14ac:dyDescent="0.25">
      <c r="B31" s="177" t="s">
        <v>156</v>
      </c>
      <c r="C31" s="13">
        <f>SUM(C21,C28,C29,C30)</f>
        <v>26021000</v>
      </c>
      <c r="D31" s="172"/>
      <c r="E31" s="173"/>
    </row>
    <row r="32" spans="2:5" ht="26.45" customHeight="1" x14ac:dyDescent="0.25">
      <c r="B32" s="211" t="s">
        <v>157</v>
      </c>
      <c r="C32" s="211"/>
      <c r="D32" s="170"/>
      <c r="E32" s="174"/>
    </row>
  </sheetData>
  <mergeCells count="5">
    <mergeCell ref="B20:C20"/>
    <mergeCell ref="B17:D17"/>
    <mergeCell ref="B32:C32"/>
    <mergeCell ref="B7:B8"/>
    <mergeCell ref="C7:C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C80"/>
  </sheetPr>
  <dimension ref="B1:I32"/>
  <sheetViews>
    <sheetView workbookViewId="0">
      <selection activeCell="L19" sqref="L19"/>
    </sheetView>
  </sheetViews>
  <sheetFormatPr defaultColWidth="8.85546875" defaultRowHeight="15" x14ac:dyDescent="0.25"/>
  <cols>
    <col min="1" max="1" width="8.85546875" style="152"/>
    <col min="2" max="2" width="23" style="152" customWidth="1"/>
    <col min="3" max="3" width="7.42578125" style="152" customWidth="1"/>
    <col min="4" max="4" width="10.7109375" style="152" customWidth="1"/>
    <col min="5" max="5" width="0.7109375" style="152" customWidth="1"/>
    <col min="6" max="6" width="11.28515625" style="152" customWidth="1"/>
    <col min="7" max="7" width="0.7109375" style="152" customWidth="1"/>
    <col min="8" max="8" width="11.7109375" style="152" customWidth="1"/>
    <col min="9" max="9" width="0.7109375" style="152" customWidth="1"/>
    <col min="10" max="16384" width="8.85546875" style="152"/>
  </cols>
  <sheetData>
    <row r="1" spans="2:9" thickBot="1" x14ac:dyDescent="0.35"/>
    <row r="2" spans="2:9" ht="21" customHeight="1" x14ac:dyDescent="0.25">
      <c r="B2" s="329"/>
      <c r="C2" s="309" t="s">
        <v>101</v>
      </c>
      <c r="D2" s="311" t="s">
        <v>138</v>
      </c>
      <c r="E2" s="311"/>
      <c r="F2" s="311"/>
      <c r="G2" s="311"/>
      <c r="H2" s="312" t="s">
        <v>139</v>
      </c>
      <c r="I2" s="313"/>
    </row>
    <row r="3" spans="2:9" ht="76.150000000000006" customHeight="1" x14ac:dyDescent="0.25">
      <c r="B3" s="330"/>
      <c r="C3" s="310"/>
      <c r="D3" s="218" t="s">
        <v>136</v>
      </c>
      <c r="E3" s="218"/>
      <c r="F3" s="302" t="s">
        <v>137</v>
      </c>
      <c r="G3" s="304"/>
      <c r="H3" s="314"/>
      <c r="I3" s="315"/>
    </row>
    <row r="4" spans="2:9" ht="14.45" x14ac:dyDescent="0.3">
      <c r="B4" s="127" t="s">
        <v>147</v>
      </c>
      <c r="C4" s="111">
        <v>79050884</v>
      </c>
      <c r="D4" s="333">
        <v>79050884</v>
      </c>
      <c r="E4" s="334"/>
      <c r="F4" s="333">
        <f>D4+10000000</f>
        <v>89050884</v>
      </c>
      <c r="G4" s="334"/>
      <c r="H4" s="331">
        <v>89746473</v>
      </c>
      <c r="I4" s="332"/>
    </row>
    <row r="5" spans="2:9" ht="16.149999999999999" customHeight="1" x14ac:dyDescent="0.3">
      <c r="B5" s="233" t="s">
        <v>103</v>
      </c>
      <c r="C5" s="234"/>
      <c r="D5" s="244"/>
      <c r="E5" s="244"/>
      <c r="F5" s="244"/>
      <c r="G5" s="244"/>
      <c r="H5" s="244"/>
      <c r="I5" s="245"/>
    </row>
    <row r="6" spans="2:9" ht="14.45" x14ac:dyDescent="0.3">
      <c r="B6" s="126" t="s">
        <v>106</v>
      </c>
      <c r="C6" s="116">
        <v>827170348.29772973</v>
      </c>
      <c r="D6" s="327">
        <v>930689430.5435524</v>
      </c>
      <c r="E6" s="328"/>
      <c r="F6" s="240">
        <v>973974051.09660339</v>
      </c>
      <c r="G6" s="246"/>
      <c r="H6" s="227">
        <v>984362460.20357931</v>
      </c>
      <c r="I6" s="239"/>
    </row>
    <row r="7" spans="2:9" ht="14.45" x14ac:dyDescent="0.3">
      <c r="B7" s="126" t="s">
        <v>107</v>
      </c>
      <c r="C7" s="117"/>
      <c r="D7" s="327">
        <v>103519082.24582267</v>
      </c>
      <c r="E7" s="328"/>
      <c r="F7" s="240">
        <v>146803702.79887366</v>
      </c>
      <c r="G7" s="246"/>
      <c r="H7" s="240">
        <f>H6-$C$6</f>
        <v>157192111.90584958</v>
      </c>
      <c r="I7" s="241"/>
    </row>
    <row r="8" spans="2:9" ht="14.45" x14ac:dyDescent="0.3">
      <c r="B8" s="132" t="s">
        <v>100</v>
      </c>
      <c r="C8" s="118"/>
      <c r="D8" s="317">
        <v>0.12514844428219549</v>
      </c>
      <c r="E8" s="318"/>
      <c r="F8" s="242">
        <v>0.17747698899143019</v>
      </c>
      <c r="G8" s="247"/>
      <c r="H8" s="242">
        <f>H7/$C$6</f>
        <v>0.19003596082637891</v>
      </c>
      <c r="I8" s="243"/>
    </row>
    <row r="9" spans="2:9" x14ac:dyDescent="0.25">
      <c r="B9" s="233" t="s">
        <v>104</v>
      </c>
      <c r="C9" s="234"/>
      <c r="D9" s="244"/>
      <c r="E9" s="244"/>
      <c r="F9" s="244"/>
      <c r="G9" s="244"/>
      <c r="H9" s="244"/>
      <c r="I9" s="245"/>
    </row>
    <row r="10" spans="2:9" x14ac:dyDescent="0.25">
      <c r="B10" s="122" t="s">
        <v>62</v>
      </c>
      <c r="C10" s="113">
        <v>5991499</v>
      </c>
      <c r="D10" s="160">
        <v>7189798.7999999998</v>
      </c>
      <c r="E10" s="44"/>
      <c r="F10" s="37">
        <v>7189798.7999999998</v>
      </c>
      <c r="G10" s="44"/>
      <c r="H10" s="37">
        <v>7189798.7999999998</v>
      </c>
      <c r="I10" s="134"/>
    </row>
    <row r="11" spans="2:9" x14ac:dyDescent="0.25">
      <c r="B11" s="126" t="s">
        <v>63</v>
      </c>
      <c r="C11" s="114">
        <v>15610435</v>
      </c>
      <c r="D11" s="161">
        <v>18732522</v>
      </c>
      <c r="E11" s="44"/>
      <c r="F11" s="39">
        <v>18732522</v>
      </c>
      <c r="G11" s="44"/>
      <c r="H11" s="39">
        <v>18732522</v>
      </c>
      <c r="I11" s="134"/>
    </row>
    <row r="12" spans="2:9" x14ac:dyDescent="0.25">
      <c r="B12" s="126" t="s">
        <v>144</v>
      </c>
      <c r="C12" s="114">
        <v>22954000</v>
      </c>
      <c r="D12" s="161">
        <v>25532603.237566095</v>
      </c>
      <c r="E12" s="133"/>
      <c r="F12" s="39">
        <v>27544800</v>
      </c>
      <c r="G12" s="44"/>
      <c r="H12" s="39">
        <v>33364081.59999875</v>
      </c>
      <c r="I12" s="134"/>
    </row>
    <row r="13" spans="2:9" x14ac:dyDescent="0.25">
      <c r="B13" s="132" t="s">
        <v>26</v>
      </c>
      <c r="C13" s="115">
        <v>7818984</v>
      </c>
      <c r="D13" s="162">
        <v>6255187.2000000002</v>
      </c>
      <c r="E13" s="46"/>
      <c r="F13" s="41">
        <v>9382780.7999999989</v>
      </c>
      <c r="G13" s="44"/>
      <c r="H13" s="41">
        <v>6255187.2000000002</v>
      </c>
      <c r="I13" s="164"/>
    </row>
    <row r="14" spans="2:9" x14ac:dyDescent="0.25">
      <c r="B14" s="126" t="s">
        <v>64</v>
      </c>
      <c r="C14" s="114">
        <v>3804716</v>
      </c>
      <c r="D14" s="161">
        <v>3043772.8</v>
      </c>
      <c r="E14" s="45"/>
      <c r="F14" s="39">
        <v>4565659.2</v>
      </c>
      <c r="G14" s="44"/>
      <c r="H14" s="39">
        <v>3424244.4</v>
      </c>
      <c r="I14" s="165"/>
    </row>
    <row r="15" spans="2:9" x14ac:dyDescent="0.25">
      <c r="B15" s="126" t="s">
        <v>72</v>
      </c>
      <c r="C15" s="114">
        <v>3535945</v>
      </c>
      <c r="D15" s="161">
        <v>2828756</v>
      </c>
      <c r="E15" s="46"/>
      <c r="F15" s="39">
        <v>4243134</v>
      </c>
      <c r="G15" s="44"/>
      <c r="H15" s="39">
        <v>3535945</v>
      </c>
      <c r="I15" s="166"/>
    </row>
    <row r="16" spans="2:9" x14ac:dyDescent="0.25">
      <c r="B16" s="126" t="s">
        <v>66</v>
      </c>
      <c r="C16" s="114">
        <v>14895305</v>
      </c>
      <c r="D16" s="161">
        <v>11916244</v>
      </c>
      <c r="E16" s="46"/>
      <c r="F16" s="39">
        <v>13840189.204671074</v>
      </c>
      <c r="G16" s="129"/>
      <c r="H16" s="39">
        <v>12000000</v>
      </c>
      <c r="I16" s="164"/>
    </row>
    <row r="17" spans="2:9" ht="15.75" thickBot="1" x14ac:dyDescent="0.3">
      <c r="B17" s="125" t="s">
        <v>22</v>
      </c>
      <c r="C17" s="124">
        <v>4440000</v>
      </c>
      <c r="D17" s="163">
        <v>3552000</v>
      </c>
      <c r="E17" s="121"/>
      <c r="F17" s="123">
        <v>3552000</v>
      </c>
      <c r="G17" s="121"/>
      <c r="H17" s="123">
        <v>4440000</v>
      </c>
      <c r="I17" s="167"/>
    </row>
    <row r="18" spans="2:9" x14ac:dyDescent="0.25">
      <c r="B18" s="316" t="s">
        <v>140</v>
      </c>
      <c r="C18" s="316"/>
      <c r="D18" s="316"/>
      <c r="E18" s="316"/>
      <c r="F18" s="316"/>
      <c r="G18" s="316"/>
      <c r="H18" s="316"/>
      <c r="I18" s="316"/>
    </row>
    <row r="19" spans="2:9" ht="15.75" thickBot="1" x14ac:dyDescent="0.3"/>
    <row r="20" spans="2:9" x14ac:dyDescent="0.25">
      <c r="B20" s="321" t="s">
        <v>111</v>
      </c>
      <c r="C20" s="322"/>
      <c r="D20" s="323"/>
      <c r="E20" s="323"/>
      <c r="F20" s="323"/>
      <c r="G20" s="323"/>
      <c r="H20" s="323"/>
      <c r="I20" s="324"/>
    </row>
    <row r="21" spans="2:9" x14ac:dyDescent="0.25">
      <c r="B21" s="126" t="s">
        <v>110</v>
      </c>
      <c r="C21" s="136">
        <v>9231710.4875555858</v>
      </c>
      <c r="D21" s="325">
        <v>10414274.929407516</v>
      </c>
      <c r="E21" s="326"/>
      <c r="F21" s="258">
        <v>10886590.265896851</v>
      </c>
      <c r="G21" s="259"/>
      <c r="H21" s="258">
        <v>11007293.610031758</v>
      </c>
      <c r="I21" s="260"/>
    </row>
    <row r="22" spans="2:9" x14ac:dyDescent="0.25">
      <c r="B22" s="126" t="s">
        <v>107</v>
      </c>
      <c r="C22" s="117"/>
      <c r="D22" s="319">
        <v>1182564.4418519307</v>
      </c>
      <c r="E22" s="320"/>
      <c r="F22" s="261">
        <v>1654879.7783412654</v>
      </c>
      <c r="G22" s="262"/>
      <c r="H22" s="261">
        <f t="shared" ref="H22" si="0">H21-$C$21</f>
        <v>1775583.1224761717</v>
      </c>
      <c r="I22" s="263"/>
    </row>
    <row r="23" spans="2:9" x14ac:dyDescent="0.25">
      <c r="B23" s="132" t="s">
        <v>100</v>
      </c>
      <c r="C23" s="118"/>
      <c r="D23" s="317">
        <v>0.12809808577143275</v>
      </c>
      <c r="E23" s="318"/>
      <c r="F23" s="242">
        <v>0.17926036356664948</v>
      </c>
      <c r="G23" s="247"/>
      <c r="H23" s="242">
        <f t="shared" ref="H23" si="1">H22/$C$21</f>
        <v>0.19233522594427879</v>
      </c>
      <c r="I23" s="243"/>
    </row>
    <row r="24" spans="2:9" x14ac:dyDescent="0.25">
      <c r="B24" s="233" t="s">
        <v>112</v>
      </c>
      <c r="C24" s="234"/>
      <c r="D24" s="244"/>
      <c r="E24" s="244"/>
      <c r="F24" s="244"/>
      <c r="G24" s="244"/>
      <c r="H24" s="244"/>
      <c r="I24" s="245"/>
    </row>
    <row r="25" spans="2:9" x14ac:dyDescent="0.25">
      <c r="B25" s="122" t="s">
        <v>62</v>
      </c>
      <c r="C25" s="137">
        <v>2767707.5889119492</v>
      </c>
      <c r="D25" s="266">
        <v>3312421.3159430088</v>
      </c>
      <c r="E25" s="267"/>
      <c r="F25" s="266">
        <v>3312421.3159430088</v>
      </c>
      <c r="G25" s="267"/>
      <c r="H25" s="266">
        <v>3312421.3159430088</v>
      </c>
      <c r="I25" s="284"/>
    </row>
    <row r="26" spans="2:9" x14ac:dyDescent="0.25">
      <c r="B26" s="126" t="s">
        <v>63</v>
      </c>
      <c r="C26" s="138">
        <v>3281566.9987801639</v>
      </c>
      <c r="D26" s="268">
        <v>3938662.5298482887</v>
      </c>
      <c r="E26" s="269"/>
      <c r="F26" s="268">
        <v>3938662.5298482887</v>
      </c>
      <c r="G26" s="269"/>
      <c r="H26" s="268">
        <v>3938662.5298482887</v>
      </c>
      <c r="I26" s="282"/>
    </row>
    <row r="27" spans="2:9" x14ac:dyDescent="0.25">
      <c r="B27" s="126" t="s">
        <v>144</v>
      </c>
      <c r="C27" s="138">
        <v>2018049.0519838764</v>
      </c>
      <c r="D27" s="268">
        <v>2210534.5915285875</v>
      </c>
      <c r="E27" s="269"/>
      <c r="F27" s="268">
        <v>2356379.9860122493</v>
      </c>
      <c r="G27" s="269"/>
      <c r="H27" s="268">
        <v>2757449.6901896722</v>
      </c>
      <c r="I27" s="282"/>
    </row>
    <row r="28" spans="2:9" x14ac:dyDescent="0.25">
      <c r="B28" s="132" t="s">
        <v>26</v>
      </c>
      <c r="C28" s="139">
        <v>478349.49312681123</v>
      </c>
      <c r="D28" s="274">
        <v>391340.25142413448</v>
      </c>
      <c r="E28" s="275"/>
      <c r="F28" s="274">
        <v>561397.01137718465</v>
      </c>
      <c r="G28" s="275"/>
      <c r="H28" s="274">
        <v>391340.25142413448</v>
      </c>
      <c r="I28" s="285"/>
    </row>
    <row r="29" spans="2:9" x14ac:dyDescent="0.25">
      <c r="B29" s="126" t="s">
        <v>64</v>
      </c>
      <c r="C29" s="138">
        <v>190388.11981583459</v>
      </c>
      <c r="D29" s="266">
        <v>152309.33747716082</v>
      </c>
      <c r="E29" s="267"/>
      <c r="F29" s="266">
        <v>228467.48134226177</v>
      </c>
      <c r="G29" s="267"/>
      <c r="H29" s="266">
        <v>171348.65624802854</v>
      </c>
      <c r="I29" s="284"/>
    </row>
    <row r="30" spans="2:9" x14ac:dyDescent="0.25">
      <c r="B30" s="126" t="s">
        <v>72</v>
      </c>
      <c r="C30" s="138">
        <v>105223.86</v>
      </c>
      <c r="D30" s="268">
        <v>84982.734953958949</v>
      </c>
      <c r="E30" s="269"/>
      <c r="F30" s="268">
        <v>125078.00864480999</v>
      </c>
      <c r="G30" s="269"/>
      <c r="H30" s="268">
        <v>105223.86</v>
      </c>
      <c r="I30" s="282"/>
    </row>
    <row r="31" spans="2:9" x14ac:dyDescent="0.25">
      <c r="B31" s="126" t="s">
        <v>66</v>
      </c>
      <c r="C31" s="138">
        <v>357940.73004525341</v>
      </c>
      <c r="D31" s="268">
        <v>296573.45688100718</v>
      </c>
      <c r="E31" s="269"/>
      <c r="F31" s="268">
        <v>336733.22137767449</v>
      </c>
      <c r="G31" s="269"/>
      <c r="H31" s="268">
        <v>298362.66148692742</v>
      </c>
      <c r="I31" s="282"/>
    </row>
    <row r="32" spans="2:9" ht="15.75" thickBot="1" x14ac:dyDescent="0.3">
      <c r="B32" s="125" t="s">
        <v>22</v>
      </c>
      <c r="C32" s="148">
        <v>32484.644891698143</v>
      </c>
      <c r="D32" s="276">
        <v>27450.711351371949</v>
      </c>
      <c r="E32" s="277"/>
      <c r="F32" s="276">
        <v>27450.711351371949</v>
      </c>
      <c r="G32" s="277"/>
      <c r="H32" s="276">
        <v>32484.644891698143</v>
      </c>
      <c r="I32" s="283"/>
    </row>
  </sheetData>
  <mergeCells count="60">
    <mergeCell ref="B2:B3"/>
    <mergeCell ref="D3:E3"/>
    <mergeCell ref="F3:G3"/>
    <mergeCell ref="H4:I4"/>
    <mergeCell ref="D4:E4"/>
    <mergeCell ref="F4:G4"/>
    <mergeCell ref="B5:C5"/>
    <mergeCell ref="D5:I5"/>
    <mergeCell ref="D6:E6"/>
    <mergeCell ref="F6:G6"/>
    <mergeCell ref="H6:I6"/>
    <mergeCell ref="H7:I7"/>
    <mergeCell ref="D8:E8"/>
    <mergeCell ref="F8:G8"/>
    <mergeCell ref="H8:I8"/>
    <mergeCell ref="D7:E7"/>
    <mergeCell ref="F7:G7"/>
    <mergeCell ref="H21:I21"/>
    <mergeCell ref="D22:E22"/>
    <mergeCell ref="F22:G22"/>
    <mergeCell ref="H22:I22"/>
    <mergeCell ref="B9:C9"/>
    <mergeCell ref="D9:I9"/>
    <mergeCell ref="B20:C20"/>
    <mergeCell ref="D20:I20"/>
    <mergeCell ref="D21:E21"/>
    <mergeCell ref="F21:G21"/>
    <mergeCell ref="H23:I23"/>
    <mergeCell ref="B24:C24"/>
    <mergeCell ref="D24:I24"/>
    <mergeCell ref="D25:E25"/>
    <mergeCell ref="F25:G25"/>
    <mergeCell ref="H25:I25"/>
    <mergeCell ref="D23:E23"/>
    <mergeCell ref="F23:G23"/>
    <mergeCell ref="H29:I29"/>
    <mergeCell ref="D28:E28"/>
    <mergeCell ref="F28:G28"/>
    <mergeCell ref="H26:I26"/>
    <mergeCell ref="D27:E27"/>
    <mergeCell ref="F27:G27"/>
    <mergeCell ref="H27:I27"/>
    <mergeCell ref="D26:E26"/>
    <mergeCell ref="F26:G26"/>
    <mergeCell ref="H32:I32"/>
    <mergeCell ref="C2:C3"/>
    <mergeCell ref="D2:G2"/>
    <mergeCell ref="H2:I3"/>
    <mergeCell ref="B18:I18"/>
    <mergeCell ref="D32:E32"/>
    <mergeCell ref="F32:G32"/>
    <mergeCell ref="H30:I30"/>
    <mergeCell ref="D31:E31"/>
    <mergeCell ref="F31:G31"/>
    <mergeCell ref="H31:I31"/>
    <mergeCell ref="D30:E30"/>
    <mergeCell ref="F30:G30"/>
    <mergeCell ref="H28:I28"/>
    <mergeCell ref="D29:E29"/>
    <mergeCell ref="F29:G2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zoomScaleNormal="100" workbookViewId="0">
      <selection activeCell="I1" sqref="I1"/>
    </sheetView>
  </sheetViews>
  <sheetFormatPr defaultColWidth="8.85546875" defaultRowHeight="15" x14ac:dyDescent="0.25"/>
  <cols>
    <col min="1" max="16384" width="8.85546875" style="77"/>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J34"/>
  <sheetViews>
    <sheetView tabSelected="1" topLeftCell="G31" workbookViewId="0">
      <selection activeCell="I39" sqref="I39"/>
    </sheetView>
  </sheetViews>
  <sheetFormatPr defaultRowHeight="15" x14ac:dyDescent="0.25"/>
  <cols>
    <col min="1" max="1" width="17.28515625" customWidth="1"/>
    <col min="3" max="4" width="9.85546875" customWidth="1"/>
    <col min="5" max="5" width="9.28515625" customWidth="1"/>
    <col min="6" max="6" width="10.140625" customWidth="1"/>
    <col min="7" max="7" width="10.28515625" customWidth="1"/>
  </cols>
  <sheetData>
    <row r="2" spans="1:9" ht="14.45" x14ac:dyDescent="0.3">
      <c r="A2" t="s">
        <v>133</v>
      </c>
      <c r="E2" t="s">
        <v>134</v>
      </c>
      <c r="H2" s="152" t="s">
        <v>135</v>
      </c>
      <c r="I2" s="152"/>
    </row>
    <row r="3" spans="1:9" ht="14.45" x14ac:dyDescent="0.3">
      <c r="B3" t="s">
        <v>106</v>
      </c>
      <c r="H3" s="152"/>
      <c r="I3" s="152"/>
    </row>
    <row r="4" spans="1:9" ht="14.45" x14ac:dyDescent="0.3">
      <c r="A4" t="s">
        <v>113</v>
      </c>
      <c r="B4" t="s">
        <v>131</v>
      </c>
      <c r="C4" t="s">
        <v>132</v>
      </c>
      <c r="E4" t="s">
        <v>113</v>
      </c>
      <c r="F4" t="s">
        <v>106</v>
      </c>
      <c r="H4" s="152" t="s">
        <v>113</v>
      </c>
      <c r="I4" s="152" t="s">
        <v>106</v>
      </c>
    </row>
    <row r="5" spans="1:9" ht="14.45" x14ac:dyDescent="0.3">
      <c r="A5" s="144">
        <v>64050884</v>
      </c>
      <c r="B5" s="144">
        <v>702728115.32775736</v>
      </c>
      <c r="C5" s="144">
        <v>830884595.43743718</v>
      </c>
      <c r="E5" s="159">
        <v>79050884</v>
      </c>
      <c r="F5" s="144">
        <v>827170348.29772973</v>
      </c>
      <c r="H5" s="159">
        <v>88941778.999998763</v>
      </c>
      <c r="I5" s="144">
        <v>984362460.20357931</v>
      </c>
    </row>
    <row r="6" spans="1:9" ht="14.45" x14ac:dyDescent="0.3">
      <c r="A6" s="144">
        <v>69050884</v>
      </c>
      <c r="B6" s="144">
        <v>830428101.32387698</v>
      </c>
      <c r="C6" s="144">
        <v>912105801.09912348</v>
      </c>
    </row>
    <row r="7" spans="1:9" ht="14.45" x14ac:dyDescent="0.3">
      <c r="A7" s="144">
        <v>74050884</v>
      </c>
      <c r="B7" s="144">
        <v>896394167.65181732</v>
      </c>
      <c r="C7" s="144">
        <v>948056929.28671288</v>
      </c>
    </row>
    <row r="8" spans="1:9" ht="14.45" x14ac:dyDescent="0.3">
      <c r="A8" s="144">
        <v>79050884</v>
      </c>
      <c r="B8" s="144">
        <v>930689430.5435524</v>
      </c>
      <c r="C8" s="144">
        <v>981791829.16346383</v>
      </c>
    </row>
    <row r="9" spans="1:9" ht="14.45" x14ac:dyDescent="0.3">
      <c r="A9" s="144">
        <v>84050884</v>
      </c>
      <c r="B9" s="144">
        <v>958610537.51406026</v>
      </c>
      <c r="C9" s="144">
        <v>1011278919.2055202</v>
      </c>
    </row>
    <row r="10" spans="1:9" ht="14.45" x14ac:dyDescent="0.3">
      <c r="A10" s="144">
        <v>89050884</v>
      </c>
      <c r="B10" s="144">
        <v>973974051.09660339</v>
      </c>
      <c r="C10" s="144">
        <v>1034572873.8191965</v>
      </c>
    </row>
    <row r="11" spans="1:9" ht="14.45" x14ac:dyDescent="0.3">
      <c r="A11" s="144">
        <v>94050884</v>
      </c>
      <c r="B11" s="144">
        <v>982614219.30281579</v>
      </c>
      <c r="C11" s="144">
        <v>1046440666.8196771</v>
      </c>
    </row>
    <row r="13" spans="1:9" s="152" customFormat="1" ht="14.45" x14ac:dyDescent="0.3"/>
    <row r="14" spans="1:9" ht="28.9" x14ac:dyDescent="0.3">
      <c r="A14" s="70" t="s">
        <v>188</v>
      </c>
      <c r="B14" s="193">
        <v>0.39</v>
      </c>
      <c r="C14" s="70" t="s">
        <v>189</v>
      </c>
      <c r="D14" s="194">
        <v>5000000</v>
      </c>
    </row>
    <row r="15" spans="1:9" ht="14.45" x14ac:dyDescent="0.3">
      <c r="A15" s="195" t="s">
        <v>190</v>
      </c>
    </row>
    <row r="16" spans="1:9" x14ac:dyDescent="0.25">
      <c r="A16" s="335" t="s">
        <v>199</v>
      </c>
      <c r="B16" s="336" t="s">
        <v>131</v>
      </c>
      <c r="C16" s="336"/>
      <c r="D16" s="336"/>
      <c r="E16" s="336" t="s">
        <v>132</v>
      </c>
      <c r="F16" s="336"/>
      <c r="G16" s="336"/>
    </row>
    <row r="17" spans="1:10" ht="75" x14ac:dyDescent="0.25">
      <c r="A17" s="335"/>
      <c r="B17" s="16" t="s">
        <v>185</v>
      </c>
      <c r="C17" s="16" t="s">
        <v>186</v>
      </c>
      <c r="D17" s="16" t="s">
        <v>187</v>
      </c>
      <c r="E17" s="16" t="s">
        <v>185</v>
      </c>
      <c r="F17" s="16" t="s">
        <v>186</v>
      </c>
      <c r="G17" s="16" t="s">
        <v>187</v>
      </c>
    </row>
    <row r="18" spans="1:10" x14ac:dyDescent="0.25">
      <c r="A18" s="196">
        <f>A5</f>
        <v>64050884</v>
      </c>
      <c r="B18" s="197">
        <f t="shared" ref="B18:B23" si="0">(B6-B5)</f>
        <v>127699985.99611962</v>
      </c>
      <c r="C18" s="198">
        <f>B18/$D$14</f>
        <v>25.539997199223922</v>
      </c>
      <c r="D18" s="198">
        <f>B18/($D$14*(1-$B$14))</f>
        <v>41.8688478675802</v>
      </c>
      <c r="E18" s="197">
        <f>C6-C5</f>
        <v>81221205.661686301</v>
      </c>
      <c r="F18" s="198">
        <f>E18/$D$14</f>
        <v>16.244241132337262</v>
      </c>
      <c r="G18" s="198">
        <f>E18/($D$14*(1-$B$14))</f>
        <v>26.629903495634853</v>
      </c>
    </row>
    <row r="19" spans="1:10" x14ac:dyDescent="0.25">
      <c r="A19" s="199">
        <f t="shared" ref="A19:A23" si="1">A6</f>
        <v>69050884</v>
      </c>
      <c r="B19" s="200">
        <f t="shared" si="0"/>
        <v>65966066.327940345</v>
      </c>
      <c r="C19" s="201">
        <f t="shared" ref="C19:C23" si="2">B19/$D$14</f>
        <v>13.193213265588069</v>
      </c>
      <c r="D19" s="201">
        <f t="shared" ref="D19:D23" si="3">B19/($D$14*(1-$B$14))</f>
        <v>21.628218468177163</v>
      </c>
      <c r="E19" s="200">
        <f t="shared" ref="E19:E23" si="4">C7-C6</f>
        <v>35951128.187589407</v>
      </c>
      <c r="F19" s="201">
        <f t="shared" ref="F19:F23" si="5">E19/$D$14</f>
        <v>7.190225637517881</v>
      </c>
      <c r="G19" s="201">
        <f t="shared" ref="G19:G23" si="6">E19/($D$14*(1-$B$14))</f>
        <v>11.787255143471937</v>
      </c>
    </row>
    <row r="20" spans="1:10" x14ac:dyDescent="0.25">
      <c r="A20" s="199">
        <f t="shared" si="1"/>
        <v>74050884</v>
      </c>
      <c r="B20" s="200">
        <f t="shared" si="0"/>
        <v>34295262.891735077</v>
      </c>
      <c r="C20" s="201">
        <f t="shared" si="2"/>
        <v>6.8590525783470158</v>
      </c>
      <c r="D20" s="201">
        <f t="shared" si="3"/>
        <v>11.244348489093468</v>
      </c>
      <c r="E20" s="200">
        <f t="shared" si="4"/>
        <v>33734899.876750946</v>
      </c>
      <c r="F20" s="201">
        <f t="shared" si="5"/>
        <v>6.7469799753501896</v>
      </c>
      <c r="G20" s="201">
        <f t="shared" si="6"/>
        <v>11.060622910410146</v>
      </c>
    </row>
    <row r="21" spans="1:10" x14ac:dyDescent="0.25">
      <c r="A21" s="199">
        <f t="shared" si="1"/>
        <v>79050884</v>
      </c>
      <c r="B21" s="200">
        <f t="shared" si="0"/>
        <v>27921106.97050786</v>
      </c>
      <c r="C21" s="201">
        <f t="shared" si="2"/>
        <v>5.5842213941015721</v>
      </c>
      <c r="D21" s="201">
        <f t="shared" si="3"/>
        <v>9.1544613018058563</v>
      </c>
      <c r="E21" s="200">
        <f t="shared" si="4"/>
        <v>29487090.042056322</v>
      </c>
      <c r="F21" s="201">
        <f t="shared" si="5"/>
        <v>5.8974180084112646</v>
      </c>
      <c r="G21" s="201">
        <f t="shared" si="6"/>
        <v>9.6678983744446949</v>
      </c>
    </row>
    <row r="22" spans="1:10" x14ac:dyDescent="0.25">
      <c r="A22" s="199">
        <f t="shared" si="1"/>
        <v>84050884</v>
      </c>
      <c r="B22" s="200">
        <f t="shared" si="0"/>
        <v>15363513.582543135</v>
      </c>
      <c r="C22" s="201">
        <f t="shared" si="2"/>
        <v>3.0727027165086271</v>
      </c>
      <c r="D22" s="201">
        <f t="shared" si="3"/>
        <v>5.0372175680469296</v>
      </c>
      <c r="E22" s="200">
        <f t="shared" si="4"/>
        <v>23293954.61367631</v>
      </c>
      <c r="F22" s="201">
        <f t="shared" si="5"/>
        <v>4.6587909227352622</v>
      </c>
      <c r="G22" s="201">
        <f t="shared" si="6"/>
        <v>7.6373621684184618</v>
      </c>
    </row>
    <row r="23" spans="1:10" x14ac:dyDescent="0.25">
      <c r="A23" s="202">
        <f t="shared" si="1"/>
        <v>89050884</v>
      </c>
      <c r="B23" s="203">
        <f t="shared" si="0"/>
        <v>8640168.2062124014</v>
      </c>
      <c r="C23" s="204">
        <f t="shared" si="2"/>
        <v>1.7280336412424804</v>
      </c>
      <c r="D23" s="204">
        <f t="shared" si="3"/>
        <v>2.832842034823738</v>
      </c>
      <c r="E23" s="203">
        <f t="shared" si="4"/>
        <v>11867793.000480652</v>
      </c>
      <c r="F23" s="204">
        <f t="shared" si="5"/>
        <v>2.3735586000961302</v>
      </c>
      <c r="G23" s="204">
        <f t="shared" si="6"/>
        <v>3.8910796722887384</v>
      </c>
    </row>
    <row r="24" spans="1:10" x14ac:dyDescent="0.25">
      <c r="A24" s="192"/>
    </row>
    <row r="26" spans="1:10" x14ac:dyDescent="0.25">
      <c r="A26" s="195" t="s">
        <v>192</v>
      </c>
      <c r="B26" s="152"/>
      <c r="C26" s="152"/>
      <c r="D26" s="152"/>
      <c r="E26" s="152"/>
      <c r="F26" s="152"/>
      <c r="G26" s="152"/>
    </row>
    <row r="27" spans="1:10" x14ac:dyDescent="0.25">
      <c r="A27" s="335" t="s">
        <v>184</v>
      </c>
      <c r="B27" s="336" t="s">
        <v>131</v>
      </c>
      <c r="C27" s="336"/>
      <c r="D27" s="336"/>
      <c r="E27" s="336" t="s">
        <v>132</v>
      </c>
      <c r="F27" s="336"/>
      <c r="G27" s="336"/>
    </row>
    <row r="28" spans="1:10" ht="75" x14ac:dyDescent="0.25">
      <c r="A28" s="307"/>
      <c r="B28" s="16" t="s">
        <v>185</v>
      </c>
      <c r="C28" s="16" t="s">
        <v>186</v>
      </c>
      <c r="D28" s="16" t="s">
        <v>187</v>
      </c>
      <c r="E28" s="16" t="s">
        <v>185</v>
      </c>
      <c r="F28" s="16" t="s">
        <v>186</v>
      </c>
      <c r="G28" s="16" t="s">
        <v>187</v>
      </c>
    </row>
    <row r="29" spans="1:10" x14ac:dyDescent="0.25">
      <c r="A29" s="196" t="s">
        <v>193</v>
      </c>
      <c r="B29" s="205">
        <f>B5-B$8</f>
        <v>-227961315.21579504</v>
      </c>
      <c r="C29" s="198">
        <f>B29/($D$14*3)</f>
        <v>-15.197421014386336</v>
      </c>
      <c r="D29" s="198">
        <f>B29/((1-$B$14)*$D$14*3)</f>
        <v>-24.913804941616945</v>
      </c>
      <c r="E29" s="197">
        <f>C5-C$8</f>
        <v>-150907233.72602665</v>
      </c>
      <c r="F29" s="198">
        <f>E29/($D$14*3)</f>
        <v>-10.060482248401778</v>
      </c>
      <c r="G29" s="198">
        <f>E29/((1-$B$14)*$D$14*3)</f>
        <v>-16.492593849838979</v>
      </c>
      <c r="J29" t="s">
        <v>191</v>
      </c>
    </row>
    <row r="30" spans="1:10" x14ac:dyDescent="0.25">
      <c r="A30" s="199" t="s">
        <v>194</v>
      </c>
      <c r="B30" s="206">
        <f t="shared" ref="B30:B31" si="7">B6-B$8</f>
        <v>-100261329.21967542</v>
      </c>
      <c r="C30" s="201">
        <f>B30/($D$14*2)</f>
        <v>-10.026132921967543</v>
      </c>
      <c r="D30" s="201">
        <f>B30/((1-$B$14)*$D$14*2)</f>
        <v>-16.436283478635314</v>
      </c>
      <c r="E30" s="200">
        <f t="shared" ref="E30:E31" si="8">C6-C$8</f>
        <v>-69686028.064340353</v>
      </c>
      <c r="F30" s="201">
        <f>E30/($D$14*2)</f>
        <v>-6.9686028064340357</v>
      </c>
      <c r="G30" s="201">
        <f>E30/((1-$B$14)*$D$14*2)</f>
        <v>-11.423939026941042</v>
      </c>
    </row>
    <row r="31" spans="1:10" x14ac:dyDescent="0.25">
      <c r="A31" s="199" t="s">
        <v>195</v>
      </c>
      <c r="B31" s="206">
        <f t="shared" si="7"/>
        <v>-34295262.891735077</v>
      </c>
      <c r="C31" s="201">
        <f>B31/($D$14*1)</f>
        <v>-6.8590525783470158</v>
      </c>
      <c r="D31" s="201">
        <f>B31/((1-$B$14)*$D$14*1)</f>
        <v>-11.244348489093468</v>
      </c>
      <c r="E31" s="200">
        <f t="shared" si="8"/>
        <v>-33734899.876750946</v>
      </c>
      <c r="F31" s="201">
        <f>E31/($D$14*1)</f>
        <v>-6.7469799753501896</v>
      </c>
      <c r="G31" s="201">
        <f>E31/((1-$B$14)*$D$14*1)</f>
        <v>-11.060622910410146</v>
      </c>
    </row>
    <row r="32" spans="1:10" x14ac:dyDescent="0.25">
      <c r="A32" s="199" t="s">
        <v>196</v>
      </c>
      <c r="B32" s="206">
        <f>B9-B$8</f>
        <v>27921106.97050786</v>
      </c>
      <c r="C32" s="201">
        <f>B32/($D$14*1)</f>
        <v>5.5842213941015721</v>
      </c>
      <c r="D32" s="201">
        <f>B32/((1-$B$14)*$D$14*1)</f>
        <v>9.1544613018058563</v>
      </c>
      <c r="E32" s="200">
        <f>C9-C$8</f>
        <v>29487090.042056322</v>
      </c>
      <c r="F32" s="201">
        <f>E32/($D$14*1)</f>
        <v>5.8974180084112646</v>
      </c>
      <c r="G32" s="201">
        <f>E32/((1-$B$14)*$D$14*1)</f>
        <v>9.6678983744446949</v>
      </c>
    </row>
    <row r="33" spans="1:7" x14ac:dyDescent="0.25">
      <c r="A33" s="199" t="s">
        <v>197</v>
      </c>
      <c r="B33" s="206">
        <f>B10-B$8</f>
        <v>43284620.553050995</v>
      </c>
      <c r="C33" s="201">
        <f>B33/($D$14*2)</f>
        <v>4.3284620553050992</v>
      </c>
      <c r="D33" s="201">
        <f>B33/((1-$B$14)*$D$14*2)</f>
        <v>7.0958394349263925</v>
      </c>
      <c r="E33" s="200">
        <f t="shared" ref="E33:E34" si="9">C10-C$8</f>
        <v>52781044.655732632</v>
      </c>
      <c r="F33" s="201">
        <f>E33/($D$14*2)</f>
        <v>5.2781044655732634</v>
      </c>
      <c r="G33" s="201">
        <f>E33/((1-$B$14)*$D$14*2)</f>
        <v>8.6526302714315797</v>
      </c>
    </row>
    <row r="34" spans="1:7" x14ac:dyDescent="0.25">
      <c r="A34" s="202" t="s">
        <v>198</v>
      </c>
      <c r="B34" s="207">
        <f>B11-B$8</f>
        <v>51924788.759263396</v>
      </c>
      <c r="C34" s="204">
        <f>B34/($D$14*3)</f>
        <v>3.4616525839508929</v>
      </c>
      <c r="D34" s="204">
        <f>B34/((1-$B$14)*$D$14*3)</f>
        <v>5.6748403015588416</v>
      </c>
      <c r="E34" s="203">
        <f t="shared" si="9"/>
        <v>64648837.656213284</v>
      </c>
      <c r="F34" s="204">
        <f>E34/($D$14*3)</f>
        <v>4.3099225104142187</v>
      </c>
      <c r="G34" s="204">
        <f>E34/((1-$B$14)*$D$14*3)</f>
        <v>7.0654467383839652</v>
      </c>
    </row>
  </sheetData>
  <mergeCells count="6">
    <mergeCell ref="A16:A17"/>
    <mergeCell ref="B16:D16"/>
    <mergeCell ref="E16:G16"/>
    <mergeCell ref="A27:A28"/>
    <mergeCell ref="B27:D27"/>
    <mergeCell ref="E27:G27"/>
  </mergeCells>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I38"/>
  <sheetViews>
    <sheetView showGridLines="0" topLeftCell="A16" zoomScaleNormal="100" workbookViewId="0">
      <selection activeCell="A30" sqref="A30:E38"/>
    </sheetView>
  </sheetViews>
  <sheetFormatPr defaultColWidth="8.85546875" defaultRowHeight="15" x14ac:dyDescent="0.25"/>
  <cols>
    <col min="1" max="1" width="16.140625" style="77" customWidth="1"/>
    <col min="2" max="2" width="9.42578125" style="77" hidden="1" customWidth="1"/>
    <col min="3" max="3" width="8.28515625" style="77" hidden="1" customWidth="1"/>
    <col min="4" max="4" width="7.7109375" style="77" customWidth="1"/>
    <col min="5" max="5" width="11.140625" style="77" customWidth="1"/>
    <col min="6" max="6" width="8.42578125" style="77" customWidth="1"/>
    <col min="7" max="7" width="7.7109375" style="77" customWidth="1"/>
    <col min="8" max="8" width="10.28515625" style="77" customWidth="1"/>
    <col min="9" max="9" width="11.85546875" style="77" customWidth="1"/>
    <col min="10" max="16384" width="8.85546875" style="77"/>
  </cols>
  <sheetData>
    <row r="1" spans="1:9" ht="52.9" customHeight="1" x14ac:dyDescent="0.3">
      <c r="A1" s="18"/>
      <c r="B1" s="65" t="str">
        <f>'[2]Response Stats'!B2</f>
        <v>Januvia Samples</v>
      </c>
      <c r="C1" s="65" t="str">
        <f>'[2]Response Stats'!C2</f>
        <v>Janumet + XR Samples</v>
      </c>
      <c r="D1" s="65" t="str">
        <f>'[2]Response Stats'!D2</f>
        <v>Janvia Family Vouchers</v>
      </c>
      <c r="E1" s="65" t="str">
        <f>'[2]Response Stats'!E2</f>
        <v>Janvia Family MMF</v>
      </c>
      <c r="F1" s="65" t="str">
        <f>'[2]Response Stats'!F2</f>
        <v>Janvia Family HCC</v>
      </c>
      <c r="G1" s="65" t="str">
        <f>'[2]Response Stats'!G2</f>
        <v>Janvia Family MCM</v>
      </c>
      <c r="H1" s="65" t="str">
        <f>'[2]Response Stats'!H2</f>
        <v>Janvia Family HCC Acquisition</v>
      </c>
      <c r="I1" s="65" t="str">
        <f>'[2]Response Stats'!I2</f>
        <v>Janvia Family Adherence Programs</v>
      </c>
    </row>
    <row r="2" spans="1:9" ht="28.15" customHeight="1" x14ac:dyDescent="0.3">
      <c r="A2" s="19" t="s">
        <v>83</v>
      </c>
      <c r="B2" s="73">
        <v>5991499</v>
      </c>
      <c r="C2" s="73">
        <v>15610435</v>
      </c>
      <c r="D2" s="73">
        <v>3804716</v>
      </c>
      <c r="E2" s="73">
        <v>3692448</v>
      </c>
      <c r="F2" s="73">
        <v>22434506</v>
      </c>
      <c r="G2" s="73">
        <v>7032507</v>
      </c>
      <c r="H2" s="73">
        <v>3535945</v>
      </c>
      <c r="I2" s="73">
        <v>14895305</v>
      </c>
    </row>
    <row r="3" spans="1:9" ht="25.15" customHeight="1" x14ac:dyDescent="0.3">
      <c r="A3" s="20" t="s">
        <v>84</v>
      </c>
      <c r="B3" s="76">
        <v>2252689.0804190035</v>
      </c>
      <c r="C3" s="76">
        <v>3121363.7591208136</v>
      </c>
      <c r="D3" s="76">
        <v>190387.5567571299</v>
      </c>
      <c r="E3" s="76">
        <v>28267.937280000002</v>
      </c>
      <c r="F3" s="76">
        <v>1978496.8017817349</v>
      </c>
      <c r="G3" s="76">
        <v>435094.06134423031</v>
      </c>
      <c r="H3" s="76">
        <v>105224.20497399547</v>
      </c>
      <c r="I3" s="75">
        <v>357940.73004525516</v>
      </c>
    </row>
    <row r="4" spans="1:9" ht="33" customHeight="1" x14ac:dyDescent="0.3">
      <c r="A4" s="28" t="str">
        <f>'[2]Response Stats'!A11</f>
        <v>Spend per Incr. TRx</v>
      </c>
      <c r="B4" s="29">
        <v>2.16</v>
      </c>
      <c r="C4" s="29">
        <v>4.76</v>
      </c>
      <c r="D4" s="29">
        <v>19.98</v>
      </c>
      <c r="E4" s="29">
        <v>130.62</v>
      </c>
      <c r="F4" s="29">
        <v>11.34</v>
      </c>
      <c r="G4" s="29">
        <v>16.16</v>
      </c>
      <c r="H4" s="29">
        <v>33.6</v>
      </c>
      <c r="I4" s="29">
        <v>41.61</v>
      </c>
    </row>
    <row r="5" spans="1:9" ht="37.9" customHeight="1" x14ac:dyDescent="0.3">
      <c r="A5" s="20" t="s">
        <v>42</v>
      </c>
      <c r="B5" s="23">
        <v>4.5730305578917857E-2</v>
      </c>
      <c r="C5" s="23">
        <v>0.13745932415519399</v>
      </c>
      <c r="D5" s="23">
        <v>2.5281703775411422E-3</v>
      </c>
      <c r="E5" s="24">
        <v>3.7541142303969022E-4</v>
      </c>
      <c r="F5" s="23">
        <v>2.6272797676669894E-2</v>
      </c>
      <c r="G5" s="23">
        <v>5.7777347531461761E-3</v>
      </c>
      <c r="H5" s="24">
        <v>1.3972894482090997E-3</v>
      </c>
      <c r="I5" s="31" t="s">
        <v>182</v>
      </c>
    </row>
    <row r="30" spans="1:5" ht="42.6" customHeight="1" x14ac:dyDescent="0.25">
      <c r="A30" s="19"/>
      <c r="B30" s="19" t="s">
        <v>85</v>
      </c>
      <c r="C30" s="19" t="s">
        <v>86</v>
      </c>
      <c r="D30" s="169" t="s">
        <v>39</v>
      </c>
      <c r="E30" s="169" t="s">
        <v>42</v>
      </c>
    </row>
    <row r="31" spans="1:5" x14ac:dyDescent="0.25">
      <c r="A31" s="70" t="s">
        <v>62</v>
      </c>
      <c r="B31" s="78">
        <v>5991499</v>
      </c>
      <c r="C31" s="74">
        <v>2252689.0804190035</v>
      </c>
      <c r="D31" s="72">
        <v>2.16</v>
      </c>
      <c r="E31" s="71">
        <v>4.5730305578917857E-2</v>
      </c>
    </row>
    <row r="32" spans="1:5" x14ac:dyDescent="0.25">
      <c r="A32" s="70" t="s">
        <v>63</v>
      </c>
      <c r="B32" s="79">
        <v>15610435</v>
      </c>
      <c r="C32" s="76">
        <v>3121363.7591208136</v>
      </c>
      <c r="D32" s="29">
        <v>4.76</v>
      </c>
      <c r="E32" s="23">
        <v>0.13745932415519399</v>
      </c>
    </row>
    <row r="33" spans="1:5" x14ac:dyDescent="0.25">
      <c r="A33" s="70" t="s">
        <v>144</v>
      </c>
      <c r="B33" s="79">
        <v>22434506</v>
      </c>
      <c r="C33" s="76">
        <v>1978496.8017817349</v>
      </c>
      <c r="D33" s="29">
        <v>11.34</v>
      </c>
      <c r="E33" s="23">
        <v>2.6272797676669894E-2</v>
      </c>
    </row>
    <row r="34" spans="1:5" x14ac:dyDescent="0.25">
      <c r="A34" s="70" t="s">
        <v>26</v>
      </c>
      <c r="B34" s="79">
        <v>7032507</v>
      </c>
      <c r="C34" s="76">
        <v>435094.06134423031</v>
      </c>
      <c r="D34" s="29">
        <v>16.16</v>
      </c>
      <c r="E34" s="23">
        <v>5.7777347531461761E-3</v>
      </c>
    </row>
    <row r="35" spans="1:5" x14ac:dyDescent="0.25">
      <c r="A35" s="70" t="s">
        <v>64</v>
      </c>
      <c r="B35" s="79">
        <v>3804716</v>
      </c>
      <c r="C35" s="76">
        <v>190387.5567571299</v>
      </c>
      <c r="D35" s="29">
        <v>19.98</v>
      </c>
      <c r="E35" s="23">
        <v>2.5281703775411422E-3</v>
      </c>
    </row>
    <row r="36" spans="1:5" ht="13.9" customHeight="1" x14ac:dyDescent="0.25">
      <c r="A36" s="70" t="s">
        <v>145</v>
      </c>
      <c r="B36" s="79">
        <v>3535945</v>
      </c>
      <c r="C36" s="76">
        <v>105224.20497399547</v>
      </c>
      <c r="D36" s="29">
        <v>33.6</v>
      </c>
      <c r="E36" s="24">
        <v>1.3972894482090997E-3</v>
      </c>
    </row>
    <row r="37" spans="1:5" ht="13.9" customHeight="1" x14ac:dyDescent="0.25">
      <c r="A37" s="70" t="s">
        <v>146</v>
      </c>
      <c r="B37" s="79">
        <v>14895305</v>
      </c>
      <c r="C37" s="76">
        <v>357940.73004525516</v>
      </c>
      <c r="D37" s="29">
        <v>41.61</v>
      </c>
      <c r="E37" s="168" t="s">
        <v>183</v>
      </c>
    </row>
    <row r="38" spans="1:5" x14ac:dyDescent="0.25">
      <c r="A38" s="70" t="s">
        <v>22</v>
      </c>
      <c r="B38" s="79">
        <v>3692448</v>
      </c>
      <c r="C38" s="76">
        <v>28267.937280000002</v>
      </c>
      <c r="D38" s="29">
        <v>130.62</v>
      </c>
      <c r="E38" s="24">
        <v>3.7541142303969022E-4</v>
      </c>
    </row>
  </sheetData>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3"/>
  <sheetViews>
    <sheetView workbookViewId="0">
      <selection activeCell="C17" sqref="C17"/>
    </sheetView>
  </sheetViews>
  <sheetFormatPr defaultRowHeight="15" x14ac:dyDescent="0.25"/>
  <cols>
    <col min="1" max="1" width="15.85546875" customWidth="1"/>
    <col min="2" max="2" width="11.28515625" customWidth="1"/>
    <col min="3" max="3" width="12.28515625" customWidth="1"/>
    <col min="4" max="4" width="11.7109375" customWidth="1"/>
    <col min="5" max="5" width="16.5703125" customWidth="1"/>
    <col min="6" max="6" width="12.5703125" customWidth="1"/>
    <col min="7" max="7" width="11.7109375" customWidth="1"/>
    <col min="8" max="9" width="13" customWidth="1"/>
  </cols>
  <sheetData>
    <row r="2" spans="1:9" ht="43.15" x14ac:dyDescent="0.3">
      <c r="A2" s="18"/>
      <c r="B2" s="19" t="s">
        <v>38</v>
      </c>
      <c r="C2" s="19" t="s">
        <v>43</v>
      </c>
      <c r="D2" s="19" t="s">
        <v>49</v>
      </c>
      <c r="E2" s="19" t="s">
        <v>50</v>
      </c>
      <c r="F2" s="19" t="s">
        <v>54</v>
      </c>
      <c r="G2" s="19" t="s">
        <v>56</v>
      </c>
      <c r="H2" s="19" t="s">
        <v>96</v>
      </c>
      <c r="I2" s="19" t="s">
        <v>57</v>
      </c>
    </row>
    <row r="3" spans="1:9" ht="31.9" customHeight="1" x14ac:dyDescent="0.3">
      <c r="A3" s="20" t="s">
        <v>59</v>
      </c>
      <c r="B3" s="16" t="s">
        <v>40</v>
      </c>
      <c r="C3" s="16" t="s">
        <v>40</v>
      </c>
      <c r="D3" s="16" t="s">
        <v>46</v>
      </c>
      <c r="E3" s="16" t="s">
        <v>46</v>
      </c>
      <c r="F3" s="215" t="s">
        <v>55</v>
      </c>
      <c r="G3" s="215"/>
      <c r="H3" s="215"/>
      <c r="I3" s="215"/>
    </row>
    <row r="4" spans="1:9" ht="75" customHeight="1" x14ac:dyDescent="0.3">
      <c r="A4" s="20" t="s">
        <v>35</v>
      </c>
      <c r="B4" s="16" t="s">
        <v>41</v>
      </c>
      <c r="C4" s="16" t="s">
        <v>41</v>
      </c>
      <c r="D4" s="16" t="s">
        <v>47</v>
      </c>
      <c r="E4" s="16" t="s">
        <v>51</v>
      </c>
      <c r="F4" s="215" t="s">
        <v>58</v>
      </c>
      <c r="G4" s="215"/>
      <c r="H4" s="215"/>
      <c r="I4" s="215"/>
    </row>
    <row r="5" spans="1:9" x14ac:dyDescent="0.25">
      <c r="A5" s="20" t="s">
        <v>52</v>
      </c>
      <c r="B5" s="214">
        <v>5991499</v>
      </c>
      <c r="C5" s="214">
        <v>15610435</v>
      </c>
      <c r="D5" s="214">
        <v>3804716</v>
      </c>
      <c r="E5" s="21">
        <v>4440000</v>
      </c>
      <c r="F5" s="21">
        <v>22954000</v>
      </c>
      <c r="G5" s="21">
        <v>7818984</v>
      </c>
      <c r="H5" s="190">
        <v>3535945</v>
      </c>
      <c r="I5" s="216">
        <v>14895305</v>
      </c>
    </row>
    <row r="6" spans="1:9" x14ac:dyDescent="0.25">
      <c r="A6" s="20" t="s">
        <v>53</v>
      </c>
      <c r="B6" s="214"/>
      <c r="C6" s="214"/>
      <c r="D6" s="214"/>
      <c r="E6" s="190">
        <v>3692448</v>
      </c>
      <c r="F6" s="190">
        <v>22434506</v>
      </c>
      <c r="G6" s="190">
        <v>7032507</v>
      </c>
      <c r="H6" s="190">
        <v>3535945</v>
      </c>
      <c r="I6" s="217"/>
    </row>
    <row r="7" spans="1:9" x14ac:dyDescent="0.25">
      <c r="A7" s="20" t="s">
        <v>36</v>
      </c>
      <c r="B7" s="187">
        <v>163120</v>
      </c>
      <c r="C7" s="187">
        <v>219660</v>
      </c>
      <c r="D7" s="187">
        <v>13058</v>
      </c>
      <c r="E7" s="187">
        <v>1939</v>
      </c>
      <c r="F7" s="187">
        <v>135699</v>
      </c>
      <c r="G7" s="187">
        <v>29842</v>
      </c>
      <c r="H7" s="187">
        <v>7217</v>
      </c>
      <c r="I7" s="22"/>
    </row>
    <row r="8" spans="1:9" x14ac:dyDescent="0.25">
      <c r="A8" s="20" t="s">
        <v>45</v>
      </c>
      <c r="B8" s="22">
        <v>3567000</v>
      </c>
      <c r="C8" s="22">
        <v>1598000</v>
      </c>
      <c r="D8" s="22">
        <v>5165000</v>
      </c>
      <c r="E8" s="187">
        <v>5165000</v>
      </c>
      <c r="F8" s="187">
        <v>5165000</v>
      </c>
      <c r="G8" s="187">
        <v>5165000</v>
      </c>
      <c r="H8" s="187">
        <v>5165000</v>
      </c>
      <c r="I8" s="22"/>
    </row>
    <row r="9" spans="1:9" ht="30" x14ac:dyDescent="0.25">
      <c r="A9" s="20" t="s">
        <v>42</v>
      </c>
      <c r="B9" s="188">
        <f t="shared" ref="B9:H9" si="0">B7/B8</f>
        <v>4.5730305578917857E-2</v>
      </c>
      <c r="C9" s="188">
        <f t="shared" si="0"/>
        <v>0.13745932415519399</v>
      </c>
      <c r="D9" s="188">
        <f t="shared" si="0"/>
        <v>2.5281703775411422E-3</v>
      </c>
      <c r="E9" s="191">
        <f t="shared" si="0"/>
        <v>3.7541142303969022E-4</v>
      </c>
      <c r="F9" s="188">
        <f t="shared" si="0"/>
        <v>2.6272797676669894E-2</v>
      </c>
      <c r="G9" s="188">
        <f t="shared" si="0"/>
        <v>5.7777347531461761E-3</v>
      </c>
      <c r="H9" s="191">
        <f t="shared" si="0"/>
        <v>1.3972894482090997E-3</v>
      </c>
      <c r="I9" s="31" t="s">
        <v>162</v>
      </c>
    </row>
    <row r="10" spans="1:9" x14ac:dyDescent="0.25">
      <c r="A10" s="20" t="s">
        <v>37</v>
      </c>
      <c r="B10" s="189">
        <v>2252689.0804190035</v>
      </c>
      <c r="C10" s="189">
        <v>3121363.7591208136</v>
      </c>
      <c r="D10" s="189">
        <v>190387.5567571299</v>
      </c>
      <c r="E10" s="189">
        <v>28267.937280000002</v>
      </c>
      <c r="F10" s="189">
        <v>1978496.8017817349</v>
      </c>
      <c r="G10" s="189">
        <v>435094.06134423031</v>
      </c>
      <c r="H10" s="189">
        <v>105224.20497399547</v>
      </c>
      <c r="I10" s="187">
        <v>357940.73004525516</v>
      </c>
    </row>
    <row r="11" spans="1:9" ht="30" x14ac:dyDescent="0.25">
      <c r="A11" s="28" t="s">
        <v>163</v>
      </c>
      <c r="B11" s="29">
        <v>2.16</v>
      </c>
      <c r="C11" s="29">
        <v>4.76</v>
      </c>
      <c r="D11" s="29">
        <v>19.98</v>
      </c>
      <c r="E11" s="29">
        <v>130.62</v>
      </c>
      <c r="F11" s="29">
        <v>11.34</v>
      </c>
      <c r="G11" s="29">
        <v>16.16</v>
      </c>
      <c r="H11" s="29">
        <v>33.6</v>
      </c>
      <c r="I11" s="29">
        <v>41.61</v>
      </c>
    </row>
    <row r="12" spans="1:9" ht="45" x14ac:dyDescent="0.25">
      <c r="A12" s="20" t="s">
        <v>60</v>
      </c>
      <c r="B12" s="25" t="s">
        <v>164</v>
      </c>
      <c r="C12" s="25" t="s">
        <v>165</v>
      </c>
      <c r="D12" s="25" t="s">
        <v>166</v>
      </c>
      <c r="E12" s="25" t="s">
        <v>167</v>
      </c>
      <c r="F12" s="25" t="s">
        <v>168</v>
      </c>
      <c r="G12" s="25" t="s">
        <v>169</v>
      </c>
      <c r="H12" s="25" t="s">
        <v>170</v>
      </c>
      <c r="I12" s="25" t="s">
        <v>179</v>
      </c>
    </row>
    <row r="13" spans="1:9" ht="45" x14ac:dyDescent="0.25">
      <c r="A13" s="20" t="s">
        <v>61</v>
      </c>
      <c r="B13" s="26" t="s">
        <v>171</v>
      </c>
      <c r="C13" s="26" t="s">
        <v>172</v>
      </c>
      <c r="D13" s="26" t="s">
        <v>173</v>
      </c>
      <c r="E13" s="26" t="s">
        <v>174</v>
      </c>
      <c r="F13" s="26" t="s">
        <v>175</v>
      </c>
      <c r="G13" s="26" t="s">
        <v>176</v>
      </c>
      <c r="H13" s="27" t="s">
        <v>177</v>
      </c>
      <c r="I13" s="30" t="s">
        <v>178</v>
      </c>
    </row>
  </sheetData>
  <mergeCells count="6">
    <mergeCell ref="B5:B6"/>
    <mergeCell ref="C5:C6"/>
    <mergeCell ref="D5:D6"/>
    <mergeCell ref="F3:I3"/>
    <mergeCell ref="F4:I4"/>
    <mergeCell ref="I5:I6"/>
  </mergeCells>
  <pageMargins left="0.7" right="0.7" top="0.75" bottom="0.75" header="0.3" footer="0.3"/>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21"/>
  <sheetViews>
    <sheetView workbookViewId="0">
      <selection activeCell="D15" sqref="D15"/>
    </sheetView>
  </sheetViews>
  <sheetFormatPr defaultRowHeight="15" x14ac:dyDescent="0.25"/>
  <cols>
    <col min="2" max="2" width="21.140625" customWidth="1"/>
    <col min="3" max="3" width="39.85546875" customWidth="1"/>
    <col min="4" max="4" width="54" customWidth="1"/>
  </cols>
  <sheetData>
    <row r="4" spans="2:4" ht="14.45" x14ac:dyDescent="0.3">
      <c r="B4" s="218" t="s">
        <v>18</v>
      </c>
      <c r="C4" s="218"/>
      <c r="D4" s="218"/>
    </row>
    <row r="5" spans="2:4" ht="14.45" x14ac:dyDescent="0.3">
      <c r="B5" s="17" t="s">
        <v>19</v>
      </c>
      <c r="C5" s="17" t="s">
        <v>20</v>
      </c>
      <c r="D5" s="17" t="s">
        <v>34</v>
      </c>
    </row>
    <row r="6" spans="2:4" ht="28.9" x14ac:dyDescent="0.3">
      <c r="B6" s="16" t="s">
        <v>21</v>
      </c>
      <c r="C6" s="16" t="s">
        <v>32</v>
      </c>
      <c r="D6" s="16" t="s">
        <v>44</v>
      </c>
    </row>
    <row r="7" spans="2:4" ht="43.15" x14ac:dyDescent="0.3">
      <c r="B7" s="16" t="s">
        <v>14</v>
      </c>
      <c r="C7" s="16" t="s">
        <v>33</v>
      </c>
      <c r="D7" s="16" t="s">
        <v>160</v>
      </c>
    </row>
    <row r="8" spans="2:4" ht="36" customHeight="1" x14ac:dyDescent="0.3">
      <c r="B8" s="16" t="s">
        <v>22</v>
      </c>
      <c r="C8" s="16" t="s">
        <v>23</v>
      </c>
      <c r="D8" s="16" t="s">
        <v>24</v>
      </c>
    </row>
    <row r="9" spans="2:4" ht="38.450000000000003" customHeight="1" x14ac:dyDescent="0.25">
      <c r="B9" s="16" t="s">
        <v>25</v>
      </c>
      <c r="C9" s="219" t="s">
        <v>48</v>
      </c>
      <c r="D9" s="16" t="s">
        <v>30</v>
      </c>
    </row>
    <row r="10" spans="2:4" ht="40.9" customHeight="1" x14ac:dyDescent="0.25">
      <c r="B10" s="16" t="s">
        <v>26</v>
      </c>
      <c r="C10" s="219"/>
      <c r="D10" s="16" t="s">
        <v>29</v>
      </c>
    </row>
    <row r="11" spans="2:4" ht="34.9" customHeight="1" x14ac:dyDescent="0.25">
      <c r="B11" s="16" t="s">
        <v>27</v>
      </c>
      <c r="C11" s="219"/>
      <c r="D11" s="16" t="s">
        <v>98</v>
      </c>
    </row>
    <row r="12" spans="2:4" ht="40.15" customHeight="1" x14ac:dyDescent="0.25">
      <c r="B12" s="16" t="s">
        <v>28</v>
      </c>
      <c r="C12" s="219"/>
      <c r="D12" s="16" t="s">
        <v>161</v>
      </c>
    </row>
    <row r="13" spans="2:4" ht="18" customHeight="1" x14ac:dyDescent="0.25">
      <c r="B13" s="220" t="s">
        <v>31</v>
      </c>
      <c r="C13" s="220"/>
      <c r="D13" s="220"/>
    </row>
    <row r="14" spans="2:4" x14ac:dyDescent="0.25">
      <c r="B14" s="1"/>
      <c r="C14" s="1"/>
      <c r="D14" s="1"/>
    </row>
    <row r="15" spans="2:4" x14ac:dyDescent="0.25">
      <c r="B15" s="1"/>
      <c r="C15" s="1"/>
      <c r="D15" s="1"/>
    </row>
    <row r="16" spans="2:4" x14ac:dyDescent="0.25">
      <c r="B16" s="1"/>
      <c r="C16" s="1"/>
      <c r="D16" s="1"/>
    </row>
    <row r="17" spans="2:4" x14ac:dyDescent="0.25">
      <c r="B17" s="1"/>
      <c r="C17" s="1"/>
      <c r="D17" s="1"/>
    </row>
    <row r="18" spans="2:4" x14ac:dyDescent="0.25">
      <c r="B18" s="1"/>
      <c r="C18" s="1"/>
      <c r="D18" s="1"/>
    </row>
    <row r="19" spans="2:4" x14ac:dyDescent="0.25">
      <c r="B19" s="1"/>
      <c r="C19" s="1"/>
      <c r="D19" s="1"/>
    </row>
    <row r="20" spans="2:4" x14ac:dyDescent="0.25">
      <c r="B20" s="1"/>
      <c r="C20" s="1"/>
      <c r="D20" s="1"/>
    </row>
    <row r="21" spans="2:4" x14ac:dyDescent="0.25">
      <c r="B21" s="4"/>
      <c r="C21" s="4"/>
      <c r="D21" s="4"/>
    </row>
  </sheetData>
  <mergeCells count="3">
    <mergeCell ref="B4:D4"/>
    <mergeCell ref="C9:C12"/>
    <mergeCell ref="B13:D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4"/>
  <sheetViews>
    <sheetView workbookViewId="0">
      <selection activeCell="D9" sqref="D9"/>
    </sheetView>
  </sheetViews>
  <sheetFormatPr defaultRowHeight="15" x14ac:dyDescent="0.25"/>
  <cols>
    <col min="2" max="2" width="15.28515625" customWidth="1"/>
  </cols>
  <sheetData>
    <row r="2" spans="2:10" ht="14.45" x14ac:dyDescent="0.3">
      <c r="B2" t="s">
        <v>113</v>
      </c>
    </row>
    <row r="3" spans="2:10" ht="14.45" x14ac:dyDescent="0.3">
      <c r="C3" t="s">
        <v>109</v>
      </c>
      <c r="D3">
        <v>-15</v>
      </c>
      <c r="E3">
        <v>-10</v>
      </c>
      <c r="F3">
        <v>-5</v>
      </c>
      <c r="G3">
        <v>0</v>
      </c>
      <c r="H3">
        <v>5</v>
      </c>
      <c r="I3">
        <v>10</v>
      </c>
      <c r="J3">
        <v>15</v>
      </c>
    </row>
    <row r="4" spans="2:10" ht="14.45" x14ac:dyDescent="0.3">
      <c r="B4" s="5" t="s">
        <v>62</v>
      </c>
      <c r="C4" s="113">
        <v>5991499</v>
      </c>
      <c r="D4" s="37">
        <v>7788948.7000000002</v>
      </c>
      <c r="E4" s="37">
        <v>7788948.7000000002</v>
      </c>
      <c r="F4" s="37">
        <v>7788948.7000000002</v>
      </c>
      <c r="G4" s="37">
        <v>7788948.7000000002</v>
      </c>
      <c r="H4" s="37">
        <v>7788948.7000000002</v>
      </c>
      <c r="I4" s="37">
        <v>7788948.7000000002</v>
      </c>
      <c r="J4" s="37">
        <v>7788948.7000000002</v>
      </c>
    </row>
    <row r="5" spans="2:10" ht="14.45" x14ac:dyDescent="0.3">
      <c r="B5" s="7" t="s">
        <v>63</v>
      </c>
      <c r="C5" s="114">
        <v>15610435</v>
      </c>
      <c r="D5" s="39">
        <v>16047670.297391115</v>
      </c>
      <c r="E5" s="39">
        <v>20293565.5</v>
      </c>
      <c r="F5" s="39">
        <v>20293565.5</v>
      </c>
      <c r="G5" s="39">
        <v>20293565.5</v>
      </c>
      <c r="H5" s="39">
        <v>20293565.5</v>
      </c>
      <c r="I5" s="39">
        <v>20293565.5</v>
      </c>
      <c r="J5" s="39">
        <v>20293565.5</v>
      </c>
    </row>
    <row r="6" spans="2:10" ht="14.45" x14ac:dyDescent="0.3">
      <c r="B6" s="143" t="s">
        <v>65</v>
      </c>
      <c r="C6" s="114">
        <v>22954000</v>
      </c>
      <c r="D6" s="39">
        <v>16067799.999999998</v>
      </c>
      <c r="E6" s="39">
        <v>16821904.721588541</v>
      </c>
      <c r="F6" s="39">
        <v>21821904.799827561</v>
      </c>
      <c r="G6" s="39">
        <v>26821905.070167605</v>
      </c>
      <c r="H6" s="39">
        <v>29840200</v>
      </c>
      <c r="I6" s="39">
        <v>29840200</v>
      </c>
      <c r="J6" s="39">
        <v>29840200</v>
      </c>
    </row>
    <row r="7" spans="2:10" ht="14.45" x14ac:dyDescent="0.3">
      <c r="B7" s="143" t="s">
        <v>26</v>
      </c>
      <c r="C7" s="114">
        <v>7818984</v>
      </c>
      <c r="D7" s="39">
        <v>5473288.7999999998</v>
      </c>
      <c r="E7" s="39">
        <v>5473288.7999999998</v>
      </c>
      <c r="F7" s="39">
        <v>5473288.7999999998</v>
      </c>
      <c r="G7" s="39">
        <v>5473288.8000000007</v>
      </c>
      <c r="H7" s="39">
        <v>7454993.5991732869</v>
      </c>
      <c r="I7" s="39">
        <v>10164679.200000001</v>
      </c>
      <c r="J7" s="39">
        <v>10164679.200000001</v>
      </c>
    </row>
    <row r="8" spans="2:10" ht="14.45" x14ac:dyDescent="0.3">
      <c r="B8" s="143" t="s">
        <v>64</v>
      </c>
      <c r="C8" s="114">
        <v>3804716</v>
      </c>
      <c r="D8" s="39">
        <v>2663301.1999999997</v>
      </c>
      <c r="E8" s="39">
        <v>2663301.1999999997</v>
      </c>
      <c r="F8" s="39">
        <v>2663301.1999999997</v>
      </c>
      <c r="G8" s="39">
        <v>2663301.1999999997</v>
      </c>
      <c r="H8" s="39">
        <v>2663301.1999999997</v>
      </c>
      <c r="I8" s="39">
        <v>4946130.8</v>
      </c>
      <c r="J8" s="39">
        <v>4946130.8</v>
      </c>
    </row>
    <row r="9" spans="2:10" ht="14.45" x14ac:dyDescent="0.3">
      <c r="B9" s="143" t="s">
        <v>72</v>
      </c>
      <c r="C9" s="114">
        <v>3535945</v>
      </c>
      <c r="D9" s="39">
        <v>2475161.5</v>
      </c>
      <c r="E9" s="39">
        <v>2475161.5</v>
      </c>
      <c r="F9" s="39">
        <v>2475161.5</v>
      </c>
      <c r="G9" s="39">
        <v>2475161.5</v>
      </c>
      <c r="H9" s="39">
        <v>2475161.5</v>
      </c>
      <c r="I9" s="39">
        <v>2482646.3724081186</v>
      </c>
      <c r="J9" s="39">
        <v>4596728.5</v>
      </c>
    </row>
    <row r="10" spans="2:10" ht="14.45" x14ac:dyDescent="0.3">
      <c r="B10" s="143" t="s">
        <v>66</v>
      </c>
      <c r="C10" s="114">
        <v>14895305</v>
      </c>
      <c r="D10" s="39">
        <v>10426713.5</v>
      </c>
      <c r="E10" s="39">
        <v>10426713.5</v>
      </c>
      <c r="F10" s="39">
        <v>10426713.5</v>
      </c>
      <c r="G10" s="39">
        <v>10426713.5</v>
      </c>
      <c r="H10" s="39">
        <v>10426713.5</v>
      </c>
      <c r="I10" s="39">
        <v>10426713.5</v>
      </c>
      <c r="J10" s="39">
        <v>13312631.257466014</v>
      </c>
    </row>
    <row r="11" spans="2:10" ht="14.45" x14ac:dyDescent="0.3">
      <c r="B11" s="143" t="s">
        <v>22</v>
      </c>
      <c r="C11" s="114">
        <v>4440000</v>
      </c>
      <c r="D11" s="39">
        <v>3108000</v>
      </c>
      <c r="E11" s="39">
        <v>3108000</v>
      </c>
      <c r="F11" s="39">
        <v>3108000</v>
      </c>
      <c r="G11" s="39">
        <v>3108000</v>
      </c>
      <c r="H11" s="39">
        <v>3108000</v>
      </c>
      <c r="I11" s="39">
        <v>3108000</v>
      </c>
      <c r="J11" s="39">
        <v>3108000</v>
      </c>
    </row>
    <row r="15" spans="2:10" x14ac:dyDescent="0.25">
      <c r="B15" t="s">
        <v>110</v>
      </c>
    </row>
    <row r="16" spans="2:10" x14ac:dyDescent="0.25">
      <c r="C16" s="135" t="s">
        <v>109</v>
      </c>
      <c r="D16" s="135">
        <v>-15</v>
      </c>
      <c r="E16" s="135">
        <v>-10</v>
      </c>
      <c r="F16" s="135">
        <v>-5</v>
      </c>
      <c r="G16" s="135">
        <v>0</v>
      </c>
      <c r="H16" s="135">
        <v>5</v>
      </c>
      <c r="I16" s="135">
        <v>10</v>
      </c>
      <c r="J16" s="135">
        <v>15</v>
      </c>
    </row>
    <row r="17" spans="2:10" x14ac:dyDescent="0.25">
      <c r="B17" s="5" t="s">
        <v>62</v>
      </c>
      <c r="C17" s="137">
        <v>2767707.5889119492</v>
      </c>
      <c r="D17" s="140">
        <v>3583674.7056146222</v>
      </c>
      <c r="E17" s="140">
        <v>3583674.7056146222</v>
      </c>
      <c r="F17" s="140">
        <v>3583674.7056146222</v>
      </c>
      <c r="G17" s="140">
        <v>3583674.7056146222</v>
      </c>
      <c r="H17" s="140">
        <v>3583674.7056146222</v>
      </c>
      <c r="I17" s="140">
        <v>3583674.7056146222</v>
      </c>
      <c r="J17" s="140">
        <v>3583674.7056146222</v>
      </c>
    </row>
    <row r="18" spans="2:10" x14ac:dyDescent="0.25">
      <c r="B18" s="7" t="s">
        <v>63</v>
      </c>
      <c r="C18" s="138">
        <v>3281566.9987801639</v>
      </c>
      <c r="D18" s="141">
        <v>3373574.7955126823</v>
      </c>
      <c r="E18" s="141">
        <v>4267308.0617963634</v>
      </c>
      <c r="F18" s="141">
        <v>4267308.0617963634</v>
      </c>
      <c r="G18" s="141">
        <v>4267308.0617963634</v>
      </c>
      <c r="H18" s="141">
        <v>4267308.0617963634</v>
      </c>
      <c r="I18" s="141">
        <v>4267308.0617963634</v>
      </c>
      <c r="J18" s="141">
        <v>4267308.0617963634</v>
      </c>
    </row>
    <row r="19" spans="2:10" x14ac:dyDescent="0.25">
      <c r="B19" s="153" t="s">
        <v>65</v>
      </c>
      <c r="C19" s="138">
        <v>2018049.0519838764</v>
      </c>
      <c r="D19" s="141">
        <v>1471977.8896224049</v>
      </c>
      <c r="E19" s="141">
        <v>1534120.4345532965</v>
      </c>
      <c r="F19" s="141">
        <v>1931518.0456033745</v>
      </c>
      <c r="G19" s="141">
        <v>2304417.848638271</v>
      </c>
      <c r="H19" s="141">
        <v>2518200.0655416748</v>
      </c>
      <c r="I19" s="141">
        <v>2518200.0655416748</v>
      </c>
      <c r="J19" s="141">
        <v>2518200.0655416748</v>
      </c>
    </row>
    <row r="20" spans="2:10" x14ac:dyDescent="0.25">
      <c r="B20" s="153" t="s">
        <v>26</v>
      </c>
      <c r="C20" s="138">
        <v>478349.49312681123</v>
      </c>
      <c r="D20" s="141">
        <v>346294.34011289396</v>
      </c>
      <c r="E20" s="141">
        <v>346294.34011289396</v>
      </c>
      <c r="F20" s="141">
        <v>346294.34011289396</v>
      </c>
      <c r="G20" s="141">
        <v>346294.34011289396</v>
      </c>
      <c r="H20" s="141">
        <v>458457.36415959115</v>
      </c>
      <c r="I20" s="141">
        <v>601489.1521167414</v>
      </c>
      <c r="J20" s="141">
        <v>601489.1521167414</v>
      </c>
    </row>
    <row r="21" spans="2:10" x14ac:dyDescent="0.25">
      <c r="B21" s="153" t="s">
        <v>64</v>
      </c>
      <c r="C21" s="138">
        <v>190388.11981583459</v>
      </c>
      <c r="D21" s="141">
        <v>133270.16350323145</v>
      </c>
      <c r="E21" s="141">
        <v>133270.16350323145</v>
      </c>
      <c r="F21" s="141">
        <v>133270.16350323145</v>
      </c>
      <c r="G21" s="141">
        <v>133270.16350323145</v>
      </c>
      <c r="H21" s="141">
        <v>133270.16350323145</v>
      </c>
      <c r="I21" s="141">
        <v>247507.37930088287</v>
      </c>
      <c r="J21" s="141">
        <v>247507.37930088287</v>
      </c>
    </row>
    <row r="22" spans="2:10" x14ac:dyDescent="0.25">
      <c r="B22" s="153" t="s">
        <v>72</v>
      </c>
      <c r="C22" s="138">
        <v>105223.86</v>
      </c>
      <c r="D22" s="141">
        <v>74714.772136189116</v>
      </c>
      <c r="E22" s="141">
        <v>74714.772136189116</v>
      </c>
      <c r="F22" s="141">
        <v>74714.772136189116</v>
      </c>
      <c r="G22" s="141">
        <v>74714.772136189116</v>
      </c>
      <c r="H22" s="141">
        <v>74714.772136189116</v>
      </c>
      <c r="I22" s="141">
        <v>74933.151449923113</v>
      </c>
      <c r="J22" s="141">
        <v>134862.22094521255</v>
      </c>
    </row>
    <row r="23" spans="2:10" x14ac:dyDescent="0.25">
      <c r="B23" s="153" t="s">
        <v>66</v>
      </c>
      <c r="C23" s="138">
        <v>357940.73004525341</v>
      </c>
      <c r="D23" s="141">
        <v>264116.06882997416</v>
      </c>
      <c r="E23" s="141">
        <v>264116.06882997416</v>
      </c>
      <c r="F23" s="141">
        <v>264116.06882997416</v>
      </c>
      <c r="G23" s="141">
        <v>264116.06882997416</v>
      </c>
      <c r="H23" s="141">
        <v>264116.06882997416</v>
      </c>
      <c r="I23" s="141">
        <v>264116.06882997416</v>
      </c>
      <c r="J23" s="141">
        <v>325914.80613466725</v>
      </c>
    </row>
    <row r="24" spans="2:10" x14ac:dyDescent="0.25">
      <c r="B24" s="153" t="s">
        <v>22</v>
      </c>
      <c r="C24" s="138">
        <v>32484.644891698143</v>
      </c>
      <c r="D24" s="141">
        <v>24802.992303032715</v>
      </c>
      <c r="E24" s="141">
        <v>24802.992303032715</v>
      </c>
      <c r="F24" s="141">
        <v>24802.992303032715</v>
      </c>
      <c r="G24" s="141">
        <v>24802.992303032715</v>
      </c>
      <c r="H24" s="141">
        <v>24802.992303032715</v>
      </c>
      <c r="I24" s="141">
        <v>24802.992303032715</v>
      </c>
      <c r="J24" s="141">
        <v>24802.992303032715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C80"/>
  </sheetPr>
  <dimension ref="B1:Q33"/>
  <sheetViews>
    <sheetView workbookViewId="0">
      <selection activeCell="B2" sqref="B2:Q18"/>
    </sheetView>
  </sheetViews>
  <sheetFormatPr defaultRowHeight="15" x14ac:dyDescent="0.25"/>
  <cols>
    <col min="2" max="2" width="23" customWidth="1"/>
    <col min="3" max="3" width="7.42578125" style="107" customWidth="1"/>
    <col min="4" max="4" width="8.85546875" customWidth="1"/>
    <col min="5" max="5" width="0.7109375" style="107" customWidth="1"/>
    <col min="7" max="7" width="0.7109375" style="107" customWidth="1"/>
    <col min="8" max="8" width="9.140625" customWidth="1"/>
    <col min="9" max="9" width="0.7109375" style="107" customWidth="1"/>
    <col min="11" max="11" width="0.7109375" style="107" customWidth="1"/>
    <col min="13" max="13" width="0.5703125" style="107" customWidth="1"/>
    <col min="15" max="15" width="0.7109375" style="107" customWidth="1"/>
    <col min="17" max="17" width="0.7109375" customWidth="1"/>
  </cols>
  <sheetData>
    <row r="1" spans="2:17" thickBot="1" x14ac:dyDescent="0.35"/>
    <row r="2" spans="2:17" ht="33.6" customHeight="1" x14ac:dyDescent="0.3">
      <c r="B2" s="229" t="s">
        <v>105</v>
      </c>
      <c r="C2" s="230"/>
      <c r="D2" s="230"/>
      <c r="E2" s="230"/>
      <c r="F2" s="230"/>
      <c r="G2" s="230"/>
      <c r="H2" s="230"/>
      <c r="I2" s="230"/>
      <c r="J2" s="230"/>
      <c r="K2" s="230"/>
      <c r="L2" s="230"/>
      <c r="M2" s="230"/>
      <c r="N2" s="230"/>
      <c r="O2" s="230"/>
      <c r="P2" s="230"/>
      <c r="Q2" s="231"/>
    </row>
    <row r="3" spans="2:17" s="107" customFormat="1" ht="17.45" customHeight="1" x14ac:dyDescent="0.3">
      <c r="B3" s="120"/>
      <c r="C3" s="119" t="s">
        <v>101</v>
      </c>
      <c r="D3" s="218" t="s">
        <v>108</v>
      </c>
      <c r="E3" s="218"/>
      <c r="F3" s="218"/>
      <c r="G3" s="218"/>
      <c r="H3" s="218"/>
      <c r="I3" s="218"/>
      <c r="J3" s="218"/>
      <c r="K3" s="218"/>
      <c r="L3" s="218"/>
      <c r="M3" s="218"/>
      <c r="N3" s="218"/>
      <c r="O3" s="218"/>
      <c r="P3" s="218"/>
      <c r="Q3" s="232"/>
    </row>
    <row r="4" spans="2:17" ht="14.45" x14ac:dyDescent="0.3">
      <c r="B4" s="127" t="s">
        <v>147</v>
      </c>
      <c r="C4" s="111">
        <v>79050884</v>
      </c>
      <c r="D4" s="221">
        <f>J4-15000000</f>
        <v>64050884</v>
      </c>
      <c r="E4" s="222"/>
      <c r="F4" s="221">
        <f>J4-10000000</f>
        <v>69050884</v>
      </c>
      <c r="G4" s="222"/>
      <c r="H4" s="221">
        <f>J4-5000000</f>
        <v>74050884</v>
      </c>
      <c r="I4" s="222"/>
      <c r="J4" s="235">
        <v>79050884</v>
      </c>
      <c r="K4" s="236"/>
      <c r="L4" s="221">
        <f>J4+5000000</f>
        <v>84050884</v>
      </c>
      <c r="M4" s="222"/>
      <c r="N4" s="221">
        <f>J4+10000000</f>
        <v>89050884</v>
      </c>
      <c r="O4" s="222"/>
      <c r="P4" s="221">
        <f>J4+15000000</f>
        <v>94050884</v>
      </c>
      <c r="Q4" s="225"/>
    </row>
    <row r="5" spans="2:17" ht="14.45" x14ac:dyDescent="0.3">
      <c r="B5" s="128" t="s">
        <v>99</v>
      </c>
      <c r="C5" s="112"/>
      <c r="D5" s="223">
        <v>-15</v>
      </c>
      <c r="E5" s="224"/>
      <c r="F5" s="223">
        <v>-10</v>
      </c>
      <c r="G5" s="224"/>
      <c r="H5" s="223">
        <v>-5</v>
      </c>
      <c r="I5" s="224"/>
      <c r="J5" s="237" t="s">
        <v>102</v>
      </c>
      <c r="K5" s="238"/>
      <c r="L5" s="223">
        <v>5</v>
      </c>
      <c r="M5" s="224"/>
      <c r="N5" s="223">
        <v>10</v>
      </c>
      <c r="O5" s="224"/>
      <c r="P5" s="223">
        <v>15</v>
      </c>
      <c r="Q5" s="226"/>
    </row>
    <row r="6" spans="2:17" ht="16.149999999999999" customHeight="1" x14ac:dyDescent="0.3">
      <c r="B6" s="233" t="s">
        <v>103</v>
      </c>
      <c r="C6" s="234"/>
      <c r="D6" s="244"/>
      <c r="E6" s="244"/>
      <c r="F6" s="244"/>
      <c r="G6" s="244"/>
      <c r="H6" s="244"/>
      <c r="I6" s="244"/>
      <c r="J6" s="244"/>
      <c r="K6" s="244"/>
      <c r="L6" s="244"/>
      <c r="M6" s="244"/>
      <c r="N6" s="244"/>
      <c r="O6" s="244"/>
      <c r="P6" s="244"/>
      <c r="Q6" s="245"/>
    </row>
    <row r="7" spans="2:17" ht="14.45" x14ac:dyDescent="0.3">
      <c r="B7" s="126" t="s">
        <v>106</v>
      </c>
      <c r="C7" s="116">
        <v>827170348.29772973</v>
      </c>
      <c r="D7" s="227">
        <v>702728115.32775736</v>
      </c>
      <c r="E7" s="228"/>
      <c r="F7" s="227">
        <v>830428101.32387698</v>
      </c>
      <c r="G7" s="228"/>
      <c r="H7" s="227">
        <v>896394167.65181732</v>
      </c>
      <c r="I7" s="228"/>
      <c r="J7" s="248">
        <v>930689430.5435524</v>
      </c>
      <c r="K7" s="249"/>
      <c r="L7" s="227">
        <v>958610537.51406026</v>
      </c>
      <c r="M7" s="228"/>
      <c r="N7" s="227">
        <v>973974051.09660339</v>
      </c>
      <c r="O7" s="228"/>
      <c r="P7" s="227">
        <v>982614219.30281579</v>
      </c>
      <c r="Q7" s="239"/>
    </row>
    <row r="8" spans="2:17" ht="14.45" x14ac:dyDescent="0.3">
      <c r="B8" s="126" t="s">
        <v>107</v>
      </c>
      <c r="C8" s="117"/>
      <c r="D8" s="240">
        <f>D7-$C$7</f>
        <v>-124442232.96997237</v>
      </c>
      <c r="E8" s="246"/>
      <c r="F8" s="240">
        <f>F7-$C$7</f>
        <v>3257753.0261472464</v>
      </c>
      <c r="G8" s="246"/>
      <c r="H8" s="240">
        <f>H7-$C$7</f>
        <v>69223819.354087591</v>
      </c>
      <c r="I8" s="246"/>
      <c r="J8" s="250">
        <f>J7-$C$7</f>
        <v>103519082.24582267</v>
      </c>
      <c r="K8" s="251"/>
      <c r="L8" s="240">
        <f>L7-$C$7</f>
        <v>131440189.21633053</v>
      </c>
      <c r="M8" s="246"/>
      <c r="N8" s="240">
        <f>N7-$C$7</f>
        <v>146803702.79887366</v>
      </c>
      <c r="O8" s="246"/>
      <c r="P8" s="240">
        <f>P7-$C$7</f>
        <v>155443871.00508606</v>
      </c>
      <c r="Q8" s="241"/>
    </row>
    <row r="9" spans="2:17" ht="14.45" x14ac:dyDescent="0.3">
      <c r="B9" s="132" t="s">
        <v>100</v>
      </c>
      <c r="C9" s="118"/>
      <c r="D9" s="242">
        <f>D8/$C$7</f>
        <v>-0.15044329529711445</v>
      </c>
      <c r="E9" s="247"/>
      <c r="F9" s="242">
        <f>F8/$C$7</f>
        <v>3.9384306181326732E-3</v>
      </c>
      <c r="G9" s="247"/>
      <c r="H9" s="242">
        <f>H8/$C$7</f>
        <v>8.3687501004534717E-2</v>
      </c>
      <c r="I9" s="247"/>
      <c r="J9" s="252">
        <f>J8/$C$7</f>
        <v>0.12514844428219549</v>
      </c>
      <c r="K9" s="253"/>
      <c r="L9" s="242">
        <f>L8/$C$7</f>
        <v>0.15890341026709562</v>
      </c>
      <c r="M9" s="247"/>
      <c r="N9" s="242">
        <f>N8/$C$7</f>
        <v>0.17747698899143019</v>
      </c>
      <c r="O9" s="247"/>
      <c r="P9" s="242">
        <f>P8/$C$7</f>
        <v>0.18792244103645742</v>
      </c>
      <c r="Q9" s="243"/>
    </row>
    <row r="10" spans="2:17" ht="14.45" x14ac:dyDescent="0.3">
      <c r="B10" s="233" t="s">
        <v>104</v>
      </c>
      <c r="C10" s="234"/>
      <c r="D10" s="244"/>
      <c r="E10" s="244"/>
      <c r="F10" s="244"/>
      <c r="G10" s="244"/>
      <c r="H10" s="244"/>
      <c r="I10" s="244"/>
      <c r="J10" s="244"/>
      <c r="K10" s="244"/>
      <c r="L10" s="244"/>
      <c r="M10" s="244"/>
      <c r="N10" s="244"/>
      <c r="O10" s="244"/>
      <c r="P10" s="244"/>
      <c r="Q10" s="245"/>
    </row>
    <row r="11" spans="2:17" ht="14.45" x14ac:dyDescent="0.3">
      <c r="B11" s="122" t="s">
        <v>62</v>
      </c>
      <c r="C11" s="113">
        <v>5991499</v>
      </c>
      <c r="D11" s="37">
        <v>5603375.9999975879</v>
      </c>
      <c r="E11" s="54"/>
      <c r="F11" s="37">
        <v>7189798.8000000007</v>
      </c>
      <c r="G11" s="44"/>
      <c r="H11" s="37">
        <v>7189798.7999999998</v>
      </c>
      <c r="I11" s="44"/>
      <c r="J11" s="108">
        <v>7189798.7999999998</v>
      </c>
      <c r="K11" s="44"/>
      <c r="L11" s="37">
        <v>7189798.7999999998</v>
      </c>
      <c r="M11" s="44"/>
      <c r="N11" s="37">
        <v>7189798.7999999998</v>
      </c>
      <c r="O11" s="44"/>
      <c r="P11" s="37">
        <v>7189798.7999999989</v>
      </c>
      <c r="Q11" s="134"/>
    </row>
    <row r="12" spans="2:17" x14ac:dyDescent="0.25">
      <c r="B12" s="126" t="s">
        <v>63</v>
      </c>
      <c r="C12" s="114">
        <v>15610435</v>
      </c>
      <c r="D12" s="39">
        <v>12488348</v>
      </c>
      <c r="E12" s="45"/>
      <c r="F12" s="39">
        <v>15901923.329664389</v>
      </c>
      <c r="G12" s="54"/>
      <c r="H12" s="39">
        <v>18732522</v>
      </c>
      <c r="I12" s="44"/>
      <c r="J12" s="109">
        <v>18732522</v>
      </c>
      <c r="K12" s="44"/>
      <c r="L12" s="39">
        <v>18732522</v>
      </c>
      <c r="M12" s="44"/>
      <c r="N12" s="39">
        <v>18732522</v>
      </c>
      <c r="O12" s="44"/>
      <c r="P12" s="39">
        <v>18732522</v>
      </c>
      <c r="Q12" s="134"/>
    </row>
    <row r="13" spans="2:17" x14ac:dyDescent="0.25">
      <c r="B13" s="126" t="s">
        <v>144</v>
      </c>
      <c r="C13" s="114">
        <v>22954000</v>
      </c>
      <c r="D13" s="39">
        <v>18363200</v>
      </c>
      <c r="E13" s="45"/>
      <c r="F13" s="39">
        <v>18363200</v>
      </c>
      <c r="G13" s="46"/>
      <c r="H13" s="39">
        <v>20532601.307892084</v>
      </c>
      <c r="I13" s="129"/>
      <c r="J13" s="109">
        <v>25532603.237566095</v>
      </c>
      <c r="K13" s="133"/>
      <c r="L13" s="39">
        <v>27544800</v>
      </c>
      <c r="M13" s="44"/>
      <c r="N13" s="39">
        <v>27544800</v>
      </c>
      <c r="O13" s="44"/>
      <c r="P13" s="39">
        <v>27544800</v>
      </c>
      <c r="Q13" s="134"/>
    </row>
    <row r="14" spans="2:17" x14ac:dyDescent="0.25">
      <c r="B14" s="132" t="s">
        <v>26</v>
      </c>
      <c r="C14" s="115">
        <v>7818984</v>
      </c>
      <c r="D14" s="41">
        <v>6255187.2000000002</v>
      </c>
      <c r="E14" s="46"/>
      <c r="F14" s="41">
        <v>6255187.2000000002</v>
      </c>
      <c r="G14" s="46"/>
      <c r="H14" s="41">
        <v>6255187.2000000002</v>
      </c>
      <c r="I14" s="46"/>
      <c r="J14" s="110">
        <v>6255187.2000000002</v>
      </c>
      <c r="K14" s="46"/>
      <c r="L14" s="41">
        <v>9242990.354269661</v>
      </c>
      <c r="M14" s="44"/>
      <c r="N14" s="41">
        <v>9382780.7999999989</v>
      </c>
      <c r="O14" s="44"/>
      <c r="P14" s="41">
        <v>9382780.7999999989</v>
      </c>
      <c r="Q14" s="134"/>
    </row>
    <row r="15" spans="2:17" x14ac:dyDescent="0.25">
      <c r="B15" s="126" t="s">
        <v>64</v>
      </c>
      <c r="C15" s="114">
        <v>3804716</v>
      </c>
      <c r="D15" s="39">
        <v>3043772.8000000003</v>
      </c>
      <c r="E15" s="45"/>
      <c r="F15" s="39">
        <v>3043772.8000000003</v>
      </c>
      <c r="G15" s="45"/>
      <c r="H15" s="39">
        <v>3043772.8000000003</v>
      </c>
      <c r="I15" s="45"/>
      <c r="J15" s="109">
        <v>3043772.8</v>
      </c>
      <c r="K15" s="45"/>
      <c r="L15" s="39">
        <v>3043772.8000000003</v>
      </c>
      <c r="M15" s="45"/>
      <c r="N15" s="39">
        <v>4565659.2</v>
      </c>
      <c r="O15" s="44"/>
      <c r="P15" s="39">
        <v>4565659.2</v>
      </c>
      <c r="Q15" s="134"/>
    </row>
    <row r="16" spans="2:17" x14ac:dyDescent="0.25">
      <c r="B16" s="126" t="s">
        <v>72</v>
      </c>
      <c r="C16" s="114">
        <v>3535945</v>
      </c>
      <c r="D16" s="39">
        <v>2828756</v>
      </c>
      <c r="E16" s="46"/>
      <c r="F16" s="39">
        <v>2828756</v>
      </c>
      <c r="G16" s="46"/>
      <c r="H16" s="39">
        <v>2828756</v>
      </c>
      <c r="I16" s="46"/>
      <c r="J16" s="109">
        <v>2828756</v>
      </c>
      <c r="K16" s="46"/>
      <c r="L16" s="39">
        <v>2828756</v>
      </c>
      <c r="M16" s="46"/>
      <c r="N16" s="39">
        <v>4243134</v>
      </c>
      <c r="O16" s="44"/>
      <c r="P16" s="39">
        <v>4243134</v>
      </c>
      <c r="Q16" s="134"/>
    </row>
    <row r="17" spans="2:17" x14ac:dyDescent="0.25">
      <c r="B17" s="126" t="s">
        <v>66</v>
      </c>
      <c r="C17" s="114">
        <v>14895305</v>
      </c>
      <c r="D17" s="39">
        <v>11916244</v>
      </c>
      <c r="E17" s="46"/>
      <c r="F17" s="39">
        <v>11916244</v>
      </c>
      <c r="G17" s="46"/>
      <c r="H17" s="39">
        <v>11916244</v>
      </c>
      <c r="I17" s="46"/>
      <c r="J17" s="109">
        <v>11916244</v>
      </c>
      <c r="K17" s="46"/>
      <c r="L17" s="39">
        <v>11916244</v>
      </c>
      <c r="M17" s="46"/>
      <c r="N17" s="39">
        <v>13840189.204671074</v>
      </c>
      <c r="O17" s="129"/>
      <c r="P17" s="39">
        <v>17874366</v>
      </c>
      <c r="Q17" s="134"/>
    </row>
    <row r="18" spans="2:17" ht="15.75" thickBot="1" x14ac:dyDescent="0.3">
      <c r="B18" s="125" t="s">
        <v>22</v>
      </c>
      <c r="C18" s="124">
        <v>4440000</v>
      </c>
      <c r="D18" s="123">
        <v>3552000</v>
      </c>
      <c r="E18" s="121"/>
      <c r="F18" s="123">
        <v>3552001.8711737162</v>
      </c>
      <c r="G18" s="121"/>
      <c r="H18" s="123">
        <v>3552001.8711737162</v>
      </c>
      <c r="I18" s="121"/>
      <c r="J18" s="131">
        <v>3552000</v>
      </c>
      <c r="K18" s="121"/>
      <c r="L18" s="123">
        <v>3552000</v>
      </c>
      <c r="M18" s="121"/>
      <c r="N18" s="123">
        <v>3552000</v>
      </c>
      <c r="O18" s="121"/>
      <c r="P18" s="123">
        <v>4517823.1942819115</v>
      </c>
      <c r="Q18" s="130"/>
    </row>
    <row r="20" spans="2:17" s="135" customFormat="1" x14ac:dyDescent="0.25"/>
    <row r="21" spans="2:17" x14ac:dyDescent="0.25">
      <c r="B21" s="233" t="s">
        <v>111</v>
      </c>
      <c r="C21" s="234"/>
      <c r="D21" s="244"/>
      <c r="E21" s="244"/>
      <c r="F21" s="244"/>
      <c r="G21" s="244"/>
      <c r="H21" s="244"/>
      <c r="I21" s="244"/>
      <c r="J21" s="244"/>
      <c r="K21" s="244"/>
      <c r="L21" s="244"/>
      <c r="M21" s="244"/>
      <c r="N21" s="244"/>
      <c r="O21" s="244"/>
      <c r="P21" s="244"/>
      <c r="Q21" s="245"/>
    </row>
    <row r="22" spans="2:17" x14ac:dyDescent="0.25">
      <c r="B22" s="126" t="s">
        <v>110</v>
      </c>
      <c r="C22" s="136">
        <v>9231710.4875555858</v>
      </c>
      <c r="D22" s="254">
        <v>7827346.9324386874</v>
      </c>
      <c r="E22" s="255"/>
      <c r="F22" s="254">
        <v>9267293.8673626464</v>
      </c>
      <c r="G22" s="255"/>
      <c r="H22" s="254">
        <v>10035180.969618663</v>
      </c>
      <c r="I22" s="255"/>
      <c r="J22" s="256">
        <v>10414274.929407516</v>
      </c>
      <c r="K22" s="257"/>
      <c r="L22" s="258">
        <v>10722910.061803276</v>
      </c>
      <c r="M22" s="259"/>
      <c r="N22" s="258">
        <v>10886590.265896851</v>
      </c>
      <c r="O22" s="259"/>
      <c r="P22" s="258">
        <v>10970145.995542536</v>
      </c>
      <c r="Q22" s="260"/>
    </row>
    <row r="23" spans="2:17" x14ac:dyDescent="0.25">
      <c r="B23" s="126" t="s">
        <v>107</v>
      </c>
      <c r="C23" s="117"/>
      <c r="D23" s="261">
        <f>D22-$C$22</f>
        <v>-1404363.5551168984</v>
      </c>
      <c r="E23" s="262"/>
      <c r="F23" s="261">
        <f t="shared" ref="F23" si="0">F22-$C$22</f>
        <v>35583.379807060584</v>
      </c>
      <c r="G23" s="262"/>
      <c r="H23" s="261">
        <f t="shared" ref="H23" si="1">H22-$C$22</f>
        <v>803470.48206307739</v>
      </c>
      <c r="I23" s="262"/>
      <c r="J23" s="264">
        <f t="shared" ref="J23" si="2">J22-$C$22</f>
        <v>1182564.4418519307</v>
      </c>
      <c r="K23" s="265"/>
      <c r="L23" s="261">
        <f t="shared" ref="L23" si="3">L22-$C$22</f>
        <v>1491199.5742476899</v>
      </c>
      <c r="M23" s="262"/>
      <c r="N23" s="261">
        <f t="shared" ref="N23" si="4">N22-$C$22</f>
        <v>1654879.7783412654</v>
      </c>
      <c r="O23" s="262"/>
      <c r="P23" s="261">
        <f t="shared" ref="P23" si="5">P22-$C$22</f>
        <v>1738435.5079869498</v>
      </c>
      <c r="Q23" s="263"/>
    </row>
    <row r="24" spans="2:17" x14ac:dyDescent="0.25">
      <c r="B24" s="132" t="s">
        <v>100</v>
      </c>
      <c r="C24" s="118"/>
      <c r="D24" s="242">
        <f>D23/$C$22</f>
        <v>-0.15212387314463455</v>
      </c>
      <c r="E24" s="247"/>
      <c r="F24" s="242">
        <f t="shared" ref="F24" si="6">F23/$C$22</f>
        <v>3.8544731071264902E-3</v>
      </c>
      <c r="G24" s="247"/>
      <c r="H24" s="242">
        <f t="shared" ref="H24" si="7">H23/$C$22</f>
        <v>8.7033760769053753E-2</v>
      </c>
      <c r="I24" s="247"/>
      <c r="J24" s="252">
        <f t="shared" ref="J24" si="8">J23/$C$22</f>
        <v>0.12809808577143275</v>
      </c>
      <c r="K24" s="253"/>
      <c r="L24" s="242">
        <f t="shared" ref="L24" si="9">L23/$C$22</f>
        <v>0.16153014939732327</v>
      </c>
      <c r="M24" s="247"/>
      <c r="N24" s="242">
        <f t="shared" ref="N24" si="10">N23/$C$22</f>
        <v>0.17926036356664948</v>
      </c>
      <c r="O24" s="247"/>
      <c r="P24" s="242">
        <f t="shared" ref="P24" si="11">P23/$C$22</f>
        <v>0.18831131135777857</v>
      </c>
      <c r="Q24" s="243"/>
    </row>
    <row r="25" spans="2:17" x14ac:dyDescent="0.25">
      <c r="B25" s="233" t="s">
        <v>112</v>
      </c>
      <c r="C25" s="234"/>
      <c r="D25" s="244"/>
      <c r="E25" s="244"/>
      <c r="F25" s="244"/>
      <c r="G25" s="244"/>
      <c r="H25" s="244"/>
      <c r="I25" s="244"/>
      <c r="J25" s="244"/>
      <c r="K25" s="244"/>
      <c r="L25" s="244"/>
      <c r="M25" s="244"/>
      <c r="N25" s="244"/>
      <c r="O25" s="244"/>
      <c r="P25" s="244"/>
      <c r="Q25" s="245"/>
    </row>
    <row r="26" spans="2:17" x14ac:dyDescent="0.25">
      <c r="B26" s="122" t="s">
        <v>62</v>
      </c>
      <c r="C26" s="137">
        <v>2767707.5889119492</v>
      </c>
      <c r="D26" s="266">
        <v>2590646.78238738</v>
      </c>
      <c r="E26" s="267"/>
      <c r="F26" s="266">
        <v>3312421.3159430088</v>
      </c>
      <c r="G26" s="267"/>
      <c r="H26" s="266">
        <v>3312421.3159430088</v>
      </c>
      <c r="I26" s="267"/>
      <c r="J26" s="270">
        <v>3312421.3159430088</v>
      </c>
      <c r="K26" s="271"/>
      <c r="L26" s="266">
        <v>3312421.3159430088</v>
      </c>
      <c r="M26" s="267"/>
      <c r="N26" s="266">
        <v>3312421.3159430088</v>
      </c>
      <c r="O26" s="267"/>
      <c r="P26" s="266">
        <v>3312421.3159430083</v>
      </c>
      <c r="Q26" s="284"/>
    </row>
    <row r="27" spans="2:17" x14ac:dyDescent="0.25">
      <c r="B27" s="126" t="s">
        <v>63</v>
      </c>
      <c r="C27" s="138">
        <v>3281566.9987801639</v>
      </c>
      <c r="D27" s="268">
        <v>2624732.1781494026</v>
      </c>
      <c r="E27" s="269"/>
      <c r="F27" s="268">
        <v>3342904.5685799406</v>
      </c>
      <c r="G27" s="269"/>
      <c r="H27" s="268">
        <v>3938662.5298482887</v>
      </c>
      <c r="I27" s="269"/>
      <c r="J27" s="272">
        <v>3938662.5298482887</v>
      </c>
      <c r="K27" s="273"/>
      <c r="L27" s="268">
        <v>3938662.5298482887</v>
      </c>
      <c r="M27" s="269"/>
      <c r="N27" s="268">
        <v>3938662.5298482887</v>
      </c>
      <c r="O27" s="269"/>
      <c r="P27" s="268">
        <v>3938662.5298482887</v>
      </c>
      <c r="Q27" s="282"/>
    </row>
    <row r="28" spans="2:17" x14ac:dyDescent="0.25">
      <c r="B28" s="126" t="s">
        <v>144</v>
      </c>
      <c r="C28" s="138">
        <v>2018049.0519838764</v>
      </c>
      <c r="D28" s="268">
        <v>1659311.4798142719</v>
      </c>
      <c r="E28" s="269"/>
      <c r="F28" s="268">
        <v>1659311.4798142719</v>
      </c>
      <c r="G28" s="269"/>
      <c r="H28" s="268">
        <v>1831440.6208019408</v>
      </c>
      <c r="I28" s="269"/>
      <c r="J28" s="272">
        <v>2210534.5915285875</v>
      </c>
      <c r="K28" s="273"/>
      <c r="L28" s="268">
        <v>2356379.9860122493</v>
      </c>
      <c r="M28" s="269"/>
      <c r="N28" s="268">
        <v>2356379.9860122493</v>
      </c>
      <c r="O28" s="269"/>
      <c r="P28" s="268">
        <v>2356379.9860122493</v>
      </c>
      <c r="Q28" s="282"/>
    </row>
    <row r="29" spans="2:17" x14ac:dyDescent="0.25">
      <c r="B29" s="132" t="s">
        <v>26</v>
      </c>
      <c r="C29" s="139">
        <v>478349.49312681123</v>
      </c>
      <c r="D29" s="274">
        <v>391340.25142413448</v>
      </c>
      <c r="E29" s="275"/>
      <c r="F29" s="274">
        <v>391340.25142413448</v>
      </c>
      <c r="G29" s="275"/>
      <c r="H29" s="274">
        <v>391340.25142413448</v>
      </c>
      <c r="I29" s="275"/>
      <c r="J29" s="278">
        <v>391340.25142413448</v>
      </c>
      <c r="K29" s="279"/>
      <c r="L29" s="274">
        <v>554129.98933623079</v>
      </c>
      <c r="M29" s="275"/>
      <c r="N29" s="274">
        <v>561397.01137718465</v>
      </c>
      <c r="O29" s="275"/>
      <c r="P29" s="274">
        <v>561397.01137718465</v>
      </c>
      <c r="Q29" s="285"/>
    </row>
    <row r="30" spans="2:17" x14ac:dyDescent="0.25">
      <c r="B30" s="126" t="s">
        <v>64</v>
      </c>
      <c r="C30" s="138">
        <v>190388.11981583459</v>
      </c>
      <c r="D30" s="266">
        <v>152309.33747716085</v>
      </c>
      <c r="E30" s="267"/>
      <c r="F30" s="266">
        <v>152309.33747716085</v>
      </c>
      <c r="G30" s="267"/>
      <c r="H30" s="266">
        <v>152309.33747716085</v>
      </c>
      <c r="I30" s="267"/>
      <c r="J30" s="270">
        <v>152309.33747716082</v>
      </c>
      <c r="K30" s="271"/>
      <c r="L30" s="266">
        <v>152309.33747716085</v>
      </c>
      <c r="M30" s="267"/>
      <c r="N30" s="266">
        <v>228467.48134226177</v>
      </c>
      <c r="O30" s="267"/>
      <c r="P30" s="266">
        <v>228467.48134226177</v>
      </c>
      <c r="Q30" s="284"/>
    </row>
    <row r="31" spans="2:17" x14ac:dyDescent="0.25">
      <c r="B31" s="126" t="s">
        <v>72</v>
      </c>
      <c r="C31" s="138">
        <v>105223.86</v>
      </c>
      <c r="D31" s="268">
        <v>84982.734953958949</v>
      </c>
      <c r="E31" s="269"/>
      <c r="F31" s="268">
        <v>84982.734953958949</v>
      </c>
      <c r="G31" s="269"/>
      <c r="H31" s="268">
        <v>84982.734953958949</v>
      </c>
      <c r="I31" s="269"/>
      <c r="J31" s="272">
        <v>84982.734953958949</v>
      </c>
      <c r="K31" s="273"/>
      <c r="L31" s="268">
        <v>84982.734953958949</v>
      </c>
      <c r="M31" s="269"/>
      <c r="N31" s="268">
        <v>125078.00864480999</v>
      </c>
      <c r="O31" s="269"/>
      <c r="P31" s="268">
        <v>125078.00864480999</v>
      </c>
      <c r="Q31" s="282"/>
    </row>
    <row r="32" spans="2:17" x14ac:dyDescent="0.25">
      <c r="B32" s="126" t="s">
        <v>66</v>
      </c>
      <c r="C32" s="138">
        <v>357940.73004525341</v>
      </c>
      <c r="D32" s="268">
        <v>296573.45688100718</v>
      </c>
      <c r="E32" s="269"/>
      <c r="F32" s="268">
        <v>296573.45688100718</v>
      </c>
      <c r="G32" s="269"/>
      <c r="H32" s="268">
        <v>296573.45688100718</v>
      </c>
      <c r="I32" s="269"/>
      <c r="J32" s="272">
        <v>296573.45688100718</v>
      </c>
      <c r="K32" s="273"/>
      <c r="L32" s="268">
        <v>296573.45688100718</v>
      </c>
      <c r="M32" s="269"/>
      <c r="N32" s="268">
        <v>336733.22137767449</v>
      </c>
      <c r="O32" s="269"/>
      <c r="P32" s="268">
        <v>414833.00667234883</v>
      </c>
      <c r="Q32" s="282"/>
    </row>
    <row r="33" spans="2:17" ht="15.75" thickBot="1" x14ac:dyDescent="0.3">
      <c r="B33" s="125" t="s">
        <v>22</v>
      </c>
      <c r="C33" s="148">
        <v>32484.644891698143</v>
      </c>
      <c r="D33" s="276">
        <v>27450.711351371949</v>
      </c>
      <c r="E33" s="277"/>
      <c r="F33" s="276">
        <v>27450.722289164725</v>
      </c>
      <c r="G33" s="277"/>
      <c r="H33" s="276">
        <v>27450.722289164725</v>
      </c>
      <c r="I33" s="277"/>
      <c r="J33" s="280">
        <v>27450.711351371949</v>
      </c>
      <c r="K33" s="281"/>
      <c r="L33" s="276">
        <v>27450.711351371949</v>
      </c>
      <c r="M33" s="277"/>
      <c r="N33" s="276">
        <v>27450.711351371949</v>
      </c>
      <c r="O33" s="277"/>
      <c r="P33" s="276">
        <v>32906.655702383112</v>
      </c>
      <c r="Q33" s="283"/>
    </row>
  </sheetData>
  <mergeCells count="122">
    <mergeCell ref="P31:Q31"/>
    <mergeCell ref="P32:Q32"/>
    <mergeCell ref="P33:Q33"/>
    <mergeCell ref="P26:Q26"/>
    <mergeCell ref="P27:Q27"/>
    <mergeCell ref="P28:Q28"/>
    <mergeCell ref="P29:Q29"/>
    <mergeCell ref="P30:Q30"/>
    <mergeCell ref="L33:M33"/>
    <mergeCell ref="N26:O26"/>
    <mergeCell ref="N27:O27"/>
    <mergeCell ref="N28:O28"/>
    <mergeCell ref="N29:O29"/>
    <mergeCell ref="N30:O30"/>
    <mergeCell ref="N31:O31"/>
    <mergeCell ref="N32:O32"/>
    <mergeCell ref="N33:O33"/>
    <mergeCell ref="L28:M28"/>
    <mergeCell ref="L29:M29"/>
    <mergeCell ref="L30:M30"/>
    <mergeCell ref="L31:M31"/>
    <mergeCell ref="L32:M32"/>
    <mergeCell ref="J29:K29"/>
    <mergeCell ref="J30:K30"/>
    <mergeCell ref="J31:K31"/>
    <mergeCell ref="J32:K32"/>
    <mergeCell ref="J33:K33"/>
    <mergeCell ref="H29:I29"/>
    <mergeCell ref="H30:I30"/>
    <mergeCell ref="H31:I31"/>
    <mergeCell ref="H32:I32"/>
    <mergeCell ref="H33:I33"/>
    <mergeCell ref="F29:G29"/>
    <mergeCell ref="F30:G30"/>
    <mergeCell ref="F31:G31"/>
    <mergeCell ref="F32:G32"/>
    <mergeCell ref="F33:G33"/>
    <mergeCell ref="D29:E29"/>
    <mergeCell ref="D30:E30"/>
    <mergeCell ref="D31:E31"/>
    <mergeCell ref="D32:E32"/>
    <mergeCell ref="D33:E33"/>
    <mergeCell ref="B25:C25"/>
    <mergeCell ref="D25:Q25"/>
    <mergeCell ref="D26:E26"/>
    <mergeCell ref="D27:E27"/>
    <mergeCell ref="D28:E28"/>
    <mergeCell ref="F26:G26"/>
    <mergeCell ref="F27:G27"/>
    <mergeCell ref="F28:G28"/>
    <mergeCell ref="H26:I26"/>
    <mergeCell ref="H27:I27"/>
    <mergeCell ref="H28:I28"/>
    <mergeCell ref="J26:K26"/>
    <mergeCell ref="J27:K27"/>
    <mergeCell ref="J28:K28"/>
    <mergeCell ref="L26:M26"/>
    <mergeCell ref="L27:M27"/>
    <mergeCell ref="N23:O23"/>
    <mergeCell ref="P23:Q23"/>
    <mergeCell ref="D24:E24"/>
    <mergeCell ref="F24:G24"/>
    <mergeCell ref="H24:I24"/>
    <mergeCell ref="J24:K24"/>
    <mergeCell ref="L24:M24"/>
    <mergeCell ref="N24:O24"/>
    <mergeCell ref="P24:Q24"/>
    <mergeCell ref="D23:E23"/>
    <mergeCell ref="F23:G23"/>
    <mergeCell ref="H23:I23"/>
    <mergeCell ref="J23:K23"/>
    <mergeCell ref="L23:M23"/>
    <mergeCell ref="B10:C10"/>
    <mergeCell ref="B21:C21"/>
    <mergeCell ref="D21:Q21"/>
    <mergeCell ref="D22:E22"/>
    <mergeCell ref="F22:G22"/>
    <mergeCell ref="H22:I22"/>
    <mergeCell ref="J22:K22"/>
    <mergeCell ref="L22:M22"/>
    <mergeCell ref="N22:O22"/>
    <mergeCell ref="P22:Q22"/>
    <mergeCell ref="P8:Q8"/>
    <mergeCell ref="P9:Q9"/>
    <mergeCell ref="D6:Q6"/>
    <mergeCell ref="D10:Q10"/>
    <mergeCell ref="L7:M7"/>
    <mergeCell ref="L8:M8"/>
    <mergeCell ref="L9:M9"/>
    <mergeCell ref="N7:O7"/>
    <mergeCell ref="N8:O8"/>
    <mergeCell ref="N9:O9"/>
    <mergeCell ref="H7:I7"/>
    <mergeCell ref="H8:I8"/>
    <mergeCell ref="H9:I9"/>
    <mergeCell ref="J7:K7"/>
    <mergeCell ref="J8:K8"/>
    <mergeCell ref="J9:K9"/>
    <mergeCell ref="D8:E8"/>
    <mergeCell ref="D9:E9"/>
    <mergeCell ref="F7:G7"/>
    <mergeCell ref="F8:G8"/>
    <mergeCell ref="F9:G9"/>
    <mergeCell ref="N4:O4"/>
    <mergeCell ref="N5:O5"/>
    <mergeCell ref="P4:Q4"/>
    <mergeCell ref="P5:Q5"/>
    <mergeCell ref="D7:E7"/>
    <mergeCell ref="B2:Q2"/>
    <mergeCell ref="D3:Q3"/>
    <mergeCell ref="B6:C6"/>
    <mergeCell ref="D4:E4"/>
    <mergeCell ref="D5:E5"/>
    <mergeCell ref="F4:G4"/>
    <mergeCell ref="F5:G5"/>
    <mergeCell ref="H4:I4"/>
    <mergeCell ref="H5:I5"/>
    <mergeCell ref="J4:K4"/>
    <mergeCell ref="J5:K5"/>
    <mergeCell ref="L4:M4"/>
    <mergeCell ref="L5:M5"/>
    <mergeCell ref="P7:Q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C80"/>
  </sheetPr>
  <dimension ref="B1:Q33"/>
  <sheetViews>
    <sheetView workbookViewId="0">
      <selection activeCell="B2" sqref="B2:Q18"/>
    </sheetView>
  </sheetViews>
  <sheetFormatPr defaultColWidth="8.85546875" defaultRowHeight="15" x14ac:dyDescent="0.25"/>
  <cols>
    <col min="1" max="1" width="8.85546875" style="135"/>
    <col min="2" max="2" width="23" style="135" customWidth="1"/>
    <col min="3" max="3" width="7.42578125" style="135" customWidth="1"/>
    <col min="4" max="4" width="8.85546875" style="135" customWidth="1"/>
    <col min="5" max="5" width="0.7109375" style="135" customWidth="1"/>
    <col min="6" max="6" width="8.85546875" style="135"/>
    <col min="7" max="7" width="0.7109375" style="135" customWidth="1"/>
    <col min="8" max="8" width="9.140625" style="135" customWidth="1"/>
    <col min="9" max="9" width="0.7109375" style="135" customWidth="1"/>
    <col min="10" max="10" width="8.85546875" style="135"/>
    <col min="11" max="11" width="0.7109375" style="135" customWidth="1"/>
    <col min="12" max="12" width="8.85546875" style="135"/>
    <col min="13" max="13" width="0.5703125" style="135" customWidth="1"/>
    <col min="14" max="14" width="8.85546875" style="135"/>
    <col min="15" max="15" width="0.7109375" style="135" customWidth="1"/>
    <col min="16" max="16" width="8.85546875" style="135"/>
    <col min="17" max="17" width="0.7109375" style="135" customWidth="1"/>
    <col min="18" max="16384" width="8.85546875" style="135"/>
  </cols>
  <sheetData>
    <row r="1" spans="2:17" thickBot="1" x14ac:dyDescent="0.35"/>
    <row r="2" spans="2:17" ht="33.6" customHeight="1" x14ac:dyDescent="0.3">
      <c r="B2" s="229" t="s">
        <v>114</v>
      </c>
      <c r="C2" s="230"/>
      <c r="D2" s="230"/>
      <c r="E2" s="230"/>
      <c r="F2" s="230"/>
      <c r="G2" s="230"/>
      <c r="H2" s="230"/>
      <c r="I2" s="230"/>
      <c r="J2" s="230"/>
      <c r="K2" s="230"/>
      <c r="L2" s="230"/>
      <c r="M2" s="230"/>
      <c r="N2" s="230"/>
      <c r="O2" s="230"/>
      <c r="P2" s="230"/>
      <c r="Q2" s="231"/>
    </row>
    <row r="3" spans="2:17" ht="17.45" customHeight="1" x14ac:dyDescent="0.3">
      <c r="B3" s="120"/>
      <c r="C3" s="119" t="s">
        <v>101</v>
      </c>
      <c r="D3" s="218" t="s">
        <v>108</v>
      </c>
      <c r="E3" s="218"/>
      <c r="F3" s="218"/>
      <c r="G3" s="218"/>
      <c r="H3" s="218"/>
      <c r="I3" s="218"/>
      <c r="J3" s="218"/>
      <c r="K3" s="218"/>
      <c r="L3" s="218"/>
      <c r="M3" s="218"/>
      <c r="N3" s="218"/>
      <c r="O3" s="218"/>
      <c r="P3" s="218"/>
      <c r="Q3" s="232"/>
    </row>
    <row r="4" spans="2:17" ht="14.45" x14ac:dyDescent="0.3">
      <c r="B4" s="127" t="s">
        <v>147</v>
      </c>
      <c r="C4" s="111">
        <v>79050884</v>
      </c>
      <c r="D4" s="221">
        <f>J4-15000000</f>
        <v>64050884</v>
      </c>
      <c r="E4" s="222"/>
      <c r="F4" s="221">
        <f>J4-10000000</f>
        <v>69050884</v>
      </c>
      <c r="G4" s="222"/>
      <c r="H4" s="221">
        <f>J4-5000000</f>
        <v>74050884</v>
      </c>
      <c r="I4" s="222"/>
      <c r="J4" s="235">
        <v>79050884</v>
      </c>
      <c r="K4" s="236"/>
      <c r="L4" s="221">
        <f>J4+5000000</f>
        <v>84050884</v>
      </c>
      <c r="M4" s="222"/>
      <c r="N4" s="221">
        <f>J4+10000000</f>
        <v>89050884</v>
      </c>
      <c r="O4" s="222"/>
      <c r="P4" s="221">
        <f>J4+15000000</f>
        <v>94050884</v>
      </c>
      <c r="Q4" s="225"/>
    </row>
    <row r="5" spans="2:17" ht="14.45" x14ac:dyDescent="0.3">
      <c r="B5" s="128" t="s">
        <v>99</v>
      </c>
      <c r="C5" s="112"/>
      <c r="D5" s="223">
        <v>-15</v>
      </c>
      <c r="E5" s="224"/>
      <c r="F5" s="223">
        <v>-10</v>
      </c>
      <c r="G5" s="224"/>
      <c r="H5" s="223">
        <v>-5</v>
      </c>
      <c r="I5" s="224"/>
      <c r="J5" s="237" t="s">
        <v>102</v>
      </c>
      <c r="K5" s="238"/>
      <c r="L5" s="223">
        <v>5</v>
      </c>
      <c r="M5" s="224"/>
      <c r="N5" s="223">
        <v>10</v>
      </c>
      <c r="O5" s="224"/>
      <c r="P5" s="223">
        <v>15</v>
      </c>
      <c r="Q5" s="226"/>
    </row>
    <row r="6" spans="2:17" ht="16.149999999999999" customHeight="1" x14ac:dyDescent="0.3">
      <c r="B6" s="233" t="s">
        <v>103</v>
      </c>
      <c r="C6" s="234"/>
      <c r="D6" s="244"/>
      <c r="E6" s="244"/>
      <c r="F6" s="244"/>
      <c r="G6" s="244"/>
      <c r="H6" s="244"/>
      <c r="I6" s="244"/>
      <c r="J6" s="244"/>
      <c r="K6" s="244"/>
      <c r="L6" s="244"/>
      <c r="M6" s="244"/>
      <c r="N6" s="244"/>
      <c r="O6" s="244"/>
      <c r="P6" s="244"/>
      <c r="Q6" s="245"/>
    </row>
    <row r="7" spans="2:17" ht="14.45" x14ac:dyDescent="0.3">
      <c r="B7" s="126" t="s">
        <v>106</v>
      </c>
      <c r="C7" s="116">
        <v>827170348.29772973</v>
      </c>
      <c r="D7" s="286">
        <v>830884595.43743718</v>
      </c>
      <c r="E7" s="287"/>
      <c r="F7" s="286">
        <v>912105801.09912348</v>
      </c>
      <c r="G7" s="287"/>
      <c r="H7" s="286">
        <v>948056929.28671288</v>
      </c>
      <c r="I7" s="287"/>
      <c r="J7" s="288">
        <v>981791829.16346383</v>
      </c>
      <c r="K7" s="289"/>
      <c r="L7" s="286">
        <v>1011278919.2055202</v>
      </c>
      <c r="M7" s="287"/>
      <c r="N7" s="286">
        <v>1034572873.8191965</v>
      </c>
      <c r="O7" s="287"/>
      <c r="P7" s="286">
        <v>1046440666.8196771</v>
      </c>
      <c r="Q7" s="290"/>
    </row>
    <row r="8" spans="2:17" ht="14.45" x14ac:dyDescent="0.3">
      <c r="B8" s="126" t="s">
        <v>107</v>
      </c>
      <c r="C8" s="117"/>
      <c r="D8" s="240">
        <f>D7-$C$7</f>
        <v>3714247.1397074461</v>
      </c>
      <c r="E8" s="246"/>
      <c r="F8" s="240">
        <f>F7-$C$7</f>
        <v>84935452.801393747</v>
      </c>
      <c r="G8" s="246"/>
      <c r="H8" s="240">
        <f>H7-$C$7</f>
        <v>120886580.98898315</v>
      </c>
      <c r="I8" s="246"/>
      <c r="J8" s="250">
        <f>J7-$C$7</f>
        <v>154621480.8657341</v>
      </c>
      <c r="K8" s="251"/>
      <c r="L8" s="240">
        <f>L7-$C$7</f>
        <v>184108570.90779042</v>
      </c>
      <c r="M8" s="246"/>
      <c r="N8" s="240">
        <f>N7-$C$7</f>
        <v>207402525.52146673</v>
      </c>
      <c r="O8" s="246"/>
      <c r="P8" s="240">
        <f>P7-$C$7</f>
        <v>219270318.52194738</v>
      </c>
      <c r="Q8" s="241"/>
    </row>
    <row r="9" spans="2:17" ht="14.45" x14ac:dyDescent="0.3">
      <c r="B9" s="132" t="s">
        <v>100</v>
      </c>
      <c r="C9" s="118"/>
      <c r="D9" s="242">
        <f>D8/$C$7</f>
        <v>4.4903049865739975E-3</v>
      </c>
      <c r="E9" s="247"/>
      <c r="F9" s="242">
        <f>F8/$C$7</f>
        <v>0.1026819360439916</v>
      </c>
      <c r="G9" s="247"/>
      <c r="H9" s="242">
        <f>H8/$C$7</f>
        <v>0.14614472247193214</v>
      </c>
      <c r="I9" s="247"/>
      <c r="J9" s="252">
        <f>J8/$C$7</f>
        <v>0.186928220026185</v>
      </c>
      <c r="K9" s="253"/>
      <c r="L9" s="242">
        <f>L8/$C$7</f>
        <v>0.22257636687131685</v>
      </c>
      <c r="M9" s="247"/>
      <c r="N9" s="242">
        <f>N8/$C$7</f>
        <v>0.25073737948693342</v>
      </c>
      <c r="O9" s="247"/>
      <c r="P9" s="242">
        <f>P8/$C$7</f>
        <v>0.26508483890070944</v>
      </c>
      <c r="Q9" s="243"/>
    </row>
    <row r="10" spans="2:17" ht="14.45" x14ac:dyDescent="0.3">
      <c r="B10" s="233" t="s">
        <v>104</v>
      </c>
      <c r="C10" s="234"/>
      <c r="D10" s="244"/>
      <c r="E10" s="244"/>
      <c r="F10" s="244"/>
      <c r="G10" s="244"/>
      <c r="H10" s="244"/>
      <c r="I10" s="244"/>
      <c r="J10" s="244"/>
      <c r="K10" s="244"/>
      <c r="L10" s="244"/>
      <c r="M10" s="244"/>
      <c r="N10" s="244"/>
      <c r="O10" s="244"/>
      <c r="P10" s="244"/>
      <c r="Q10" s="245"/>
    </row>
    <row r="11" spans="2:17" ht="14.45" x14ac:dyDescent="0.3">
      <c r="B11" s="122" t="s">
        <v>62</v>
      </c>
      <c r="C11" s="113">
        <v>5991499</v>
      </c>
      <c r="D11" s="37">
        <v>7788948.7000000002</v>
      </c>
      <c r="E11" s="44"/>
      <c r="F11" s="37">
        <v>7788948.7000000002</v>
      </c>
      <c r="G11" s="44"/>
      <c r="H11" s="37">
        <v>7788948.7000000002</v>
      </c>
      <c r="I11" s="44"/>
      <c r="J11" s="108">
        <v>7788948.7000000002</v>
      </c>
      <c r="K11" s="44"/>
      <c r="L11" s="37">
        <v>7788948.7000000002</v>
      </c>
      <c r="M11" s="44"/>
      <c r="N11" s="37">
        <v>7788948.7000000002</v>
      </c>
      <c r="O11" s="44"/>
      <c r="P11" s="37">
        <v>7788948.7000000002</v>
      </c>
      <c r="Q11" s="134"/>
    </row>
    <row r="12" spans="2:17" x14ac:dyDescent="0.25">
      <c r="B12" s="126" t="s">
        <v>63</v>
      </c>
      <c r="C12" s="114">
        <v>15610435</v>
      </c>
      <c r="D12" s="39">
        <v>16047670.297391115</v>
      </c>
      <c r="E12" s="54"/>
      <c r="F12" s="39">
        <v>20293565.5</v>
      </c>
      <c r="G12" s="44"/>
      <c r="H12" s="39">
        <v>20293565.5</v>
      </c>
      <c r="I12" s="44"/>
      <c r="J12" s="109">
        <v>20293565.5</v>
      </c>
      <c r="K12" s="44"/>
      <c r="L12" s="39">
        <v>20293565.5</v>
      </c>
      <c r="M12" s="44"/>
      <c r="N12" s="39">
        <v>20293565.5</v>
      </c>
      <c r="O12" s="44"/>
      <c r="P12" s="39">
        <v>20293565.5</v>
      </c>
      <c r="Q12" s="134"/>
    </row>
    <row r="13" spans="2:17" x14ac:dyDescent="0.25">
      <c r="B13" s="126" t="s">
        <v>144</v>
      </c>
      <c r="C13" s="114">
        <v>22954000</v>
      </c>
      <c r="D13" s="39">
        <v>16067799.999999998</v>
      </c>
      <c r="E13" s="45"/>
      <c r="F13" s="39">
        <v>16821904.721588541</v>
      </c>
      <c r="G13" s="46"/>
      <c r="H13" s="39">
        <v>21821904.799827561</v>
      </c>
      <c r="I13" s="54"/>
      <c r="J13" s="109">
        <v>26821905.070167605</v>
      </c>
      <c r="K13" s="133"/>
      <c r="L13" s="39">
        <v>29840200</v>
      </c>
      <c r="M13" s="44"/>
      <c r="N13" s="39">
        <v>29840200</v>
      </c>
      <c r="O13" s="44"/>
      <c r="P13" s="39">
        <v>29840200</v>
      </c>
      <c r="Q13" s="134"/>
    </row>
    <row r="14" spans="2:17" x14ac:dyDescent="0.25">
      <c r="B14" s="132" t="s">
        <v>26</v>
      </c>
      <c r="C14" s="115">
        <v>7818984</v>
      </c>
      <c r="D14" s="41">
        <v>5473288.7999999998</v>
      </c>
      <c r="E14" s="46"/>
      <c r="F14" s="41">
        <v>5473288.7999999998</v>
      </c>
      <c r="G14" s="46"/>
      <c r="H14" s="41">
        <v>5473288.7999999998</v>
      </c>
      <c r="I14" s="46"/>
      <c r="J14" s="110">
        <v>5473288.8000000007</v>
      </c>
      <c r="K14" s="46"/>
      <c r="L14" s="41">
        <v>7454993.5991732869</v>
      </c>
      <c r="M14" s="54"/>
      <c r="N14" s="41">
        <v>10164679.200000001</v>
      </c>
      <c r="O14" s="44"/>
      <c r="P14" s="41">
        <v>10164679.200000001</v>
      </c>
      <c r="Q14" s="134"/>
    </row>
    <row r="15" spans="2:17" x14ac:dyDescent="0.25">
      <c r="B15" s="126" t="s">
        <v>64</v>
      </c>
      <c r="C15" s="114">
        <v>3804716</v>
      </c>
      <c r="D15" s="39">
        <v>2663301.1999999997</v>
      </c>
      <c r="E15" s="45"/>
      <c r="F15" s="39">
        <v>2663301.1999999997</v>
      </c>
      <c r="G15" s="45"/>
      <c r="H15" s="39">
        <v>2663301.1999999997</v>
      </c>
      <c r="I15" s="45"/>
      <c r="J15" s="109">
        <v>2663301.1999999997</v>
      </c>
      <c r="K15" s="45"/>
      <c r="L15" s="39">
        <v>2663301.1999999997</v>
      </c>
      <c r="M15" s="45"/>
      <c r="N15" s="39">
        <v>4946130.8</v>
      </c>
      <c r="O15" s="44"/>
      <c r="P15" s="39">
        <v>4946130.8</v>
      </c>
      <c r="Q15" s="134"/>
    </row>
    <row r="16" spans="2:17" x14ac:dyDescent="0.25">
      <c r="B16" s="126" t="s">
        <v>72</v>
      </c>
      <c r="C16" s="114">
        <v>3535945</v>
      </c>
      <c r="D16" s="39">
        <v>2475161.5</v>
      </c>
      <c r="E16" s="46"/>
      <c r="F16" s="39">
        <v>2475161.5</v>
      </c>
      <c r="G16" s="46"/>
      <c r="H16" s="39">
        <v>2475161.5</v>
      </c>
      <c r="I16" s="46"/>
      <c r="J16" s="109">
        <v>2475161.5</v>
      </c>
      <c r="K16" s="46"/>
      <c r="L16" s="39">
        <v>2475161.5</v>
      </c>
      <c r="M16" s="46"/>
      <c r="N16" s="39">
        <v>2482646.3724081186</v>
      </c>
      <c r="O16" s="46"/>
      <c r="P16" s="39">
        <v>4596728.5</v>
      </c>
      <c r="Q16" s="134"/>
    </row>
    <row r="17" spans="2:17" x14ac:dyDescent="0.25">
      <c r="B17" s="126" t="s">
        <v>66</v>
      </c>
      <c r="C17" s="114">
        <v>15700000</v>
      </c>
      <c r="D17" s="39">
        <v>10426713.5</v>
      </c>
      <c r="E17" s="46"/>
      <c r="F17" s="39">
        <v>10426713.5</v>
      </c>
      <c r="G17" s="46"/>
      <c r="H17" s="39">
        <v>10426713.5</v>
      </c>
      <c r="I17" s="46"/>
      <c r="J17" s="109">
        <v>10426713.5</v>
      </c>
      <c r="K17" s="46"/>
      <c r="L17" s="39">
        <v>10426713.5</v>
      </c>
      <c r="M17" s="46"/>
      <c r="N17" s="39">
        <v>10426713.5</v>
      </c>
      <c r="O17" s="46"/>
      <c r="P17" s="39">
        <v>13312631.257466014</v>
      </c>
      <c r="Q17" s="142"/>
    </row>
    <row r="18" spans="2:17" ht="15.75" thickBot="1" x14ac:dyDescent="0.3">
      <c r="B18" s="125" t="s">
        <v>22</v>
      </c>
      <c r="C18" s="124">
        <v>4440000</v>
      </c>
      <c r="D18" s="123">
        <v>3108000</v>
      </c>
      <c r="E18" s="121"/>
      <c r="F18" s="123">
        <v>3108000</v>
      </c>
      <c r="G18" s="121"/>
      <c r="H18" s="123">
        <v>3108000</v>
      </c>
      <c r="I18" s="121"/>
      <c r="J18" s="131">
        <v>3108000</v>
      </c>
      <c r="K18" s="121"/>
      <c r="L18" s="123">
        <v>3108000</v>
      </c>
      <c r="M18" s="121"/>
      <c r="N18" s="123">
        <v>3108000</v>
      </c>
      <c r="O18" s="121"/>
      <c r="P18" s="123">
        <v>3108000</v>
      </c>
      <c r="Q18" s="121"/>
    </row>
    <row r="21" spans="2:17" x14ac:dyDescent="0.25">
      <c r="B21" s="233" t="s">
        <v>111</v>
      </c>
      <c r="C21" s="234"/>
      <c r="D21" s="244"/>
      <c r="E21" s="244"/>
      <c r="F21" s="244"/>
      <c r="G21" s="244"/>
      <c r="H21" s="244"/>
      <c r="I21" s="244"/>
      <c r="J21" s="244"/>
      <c r="K21" s="244"/>
      <c r="L21" s="244"/>
      <c r="M21" s="244"/>
      <c r="N21" s="244"/>
      <c r="O21" s="244"/>
      <c r="P21" s="244"/>
      <c r="Q21" s="245"/>
    </row>
    <row r="22" spans="2:17" x14ac:dyDescent="0.25">
      <c r="B22" s="126" t="s">
        <v>110</v>
      </c>
      <c r="C22" s="136">
        <v>9231710.4875555858</v>
      </c>
      <c r="D22" s="254">
        <v>9272425.7276350316</v>
      </c>
      <c r="E22" s="255"/>
      <c r="F22" s="254">
        <v>10228301.538849605</v>
      </c>
      <c r="G22" s="255"/>
      <c r="H22" s="254">
        <v>10625699.149899682</v>
      </c>
      <c r="I22" s="255"/>
      <c r="J22" s="256">
        <v>10998598.95293458</v>
      </c>
      <c r="K22" s="257"/>
      <c r="L22" s="258">
        <v>11324544.19388468</v>
      </c>
      <c r="M22" s="259"/>
      <c r="N22" s="258">
        <v>11582031.576953216</v>
      </c>
      <c r="O22" s="259"/>
      <c r="P22" s="258">
        <v>11703759.383753199</v>
      </c>
      <c r="Q22" s="260"/>
    </row>
    <row r="23" spans="2:17" x14ac:dyDescent="0.25">
      <c r="B23" s="126" t="s">
        <v>107</v>
      </c>
      <c r="C23" s="117"/>
      <c r="D23" s="261">
        <f>D22-$C$22</f>
        <v>40715.240079445764</v>
      </c>
      <c r="E23" s="262"/>
      <c r="F23" s="261">
        <f t="shared" ref="F23" si="0">F22-$C$22</f>
        <v>996591.05129401945</v>
      </c>
      <c r="G23" s="262"/>
      <c r="H23" s="261">
        <f t="shared" ref="H23" si="1">H22-$C$22</f>
        <v>1393988.6623440962</v>
      </c>
      <c r="I23" s="262"/>
      <c r="J23" s="264">
        <f t="shared" ref="J23" si="2">J22-$C$22</f>
        <v>1766888.4653789941</v>
      </c>
      <c r="K23" s="265"/>
      <c r="L23" s="261">
        <f t="shared" ref="L23" si="3">L22-$C$22</f>
        <v>2092833.7063290942</v>
      </c>
      <c r="M23" s="262"/>
      <c r="N23" s="261">
        <f t="shared" ref="N23" si="4">N22-$C$22</f>
        <v>2350321.0893976297</v>
      </c>
      <c r="O23" s="262"/>
      <c r="P23" s="261">
        <f t="shared" ref="P23" si="5">P22-$C$22</f>
        <v>2472048.8961976133</v>
      </c>
      <c r="Q23" s="263"/>
    </row>
    <row r="24" spans="2:17" x14ac:dyDescent="0.25">
      <c r="B24" s="132" t="s">
        <v>100</v>
      </c>
      <c r="C24" s="118"/>
      <c r="D24" s="242">
        <f>D23/$C$22</f>
        <v>4.4103679523237009E-3</v>
      </c>
      <c r="E24" s="247"/>
      <c r="F24" s="242">
        <f t="shared" ref="F24" si="6">F23/$C$22</f>
        <v>0.10795302264270869</v>
      </c>
      <c r="G24" s="247"/>
      <c r="H24" s="242">
        <f t="shared" ref="H24" si="7">H23/$C$22</f>
        <v>0.15100004102416376</v>
      </c>
      <c r="I24" s="247"/>
      <c r="J24" s="252">
        <f t="shared" ref="J24" si="8">J23/$C$22</f>
        <v>0.1913934007961767</v>
      </c>
      <c r="K24" s="253"/>
      <c r="L24" s="242">
        <f t="shared" ref="L24" si="9">L23/$C$22</f>
        <v>0.22670053498214113</v>
      </c>
      <c r="M24" s="247"/>
      <c r="N24" s="242">
        <f t="shared" ref="N24" si="10">N23/$C$22</f>
        <v>0.25459215738685481</v>
      </c>
      <c r="O24" s="247"/>
      <c r="P24" s="242">
        <f t="shared" ref="P24" si="11">P23/$C$22</f>
        <v>0.26777799190409551</v>
      </c>
      <c r="Q24" s="243"/>
    </row>
    <row r="25" spans="2:17" x14ac:dyDescent="0.25">
      <c r="B25" s="233" t="s">
        <v>112</v>
      </c>
      <c r="C25" s="234"/>
      <c r="D25" s="244"/>
      <c r="E25" s="244"/>
      <c r="F25" s="244"/>
      <c r="G25" s="244"/>
      <c r="H25" s="244"/>
      <c r="I25" s="244"/>
      <c r="J25" s="244"/>
      <c r="K25" s="244"/>
      <c r="L25" s="244"/>
      <c r="M25" s="244"/>
      <c r="N25" s="244"/>
      <c r="O25" s="244"/>
      <c r="P25" s="244"/>
      <c r="Q25" s="245"/>
    </row>
    <row r="26" spans="2:17" x14ac:dyDescent="0.25">
      <c r="B26" s="122" t="s">
        <v>62</v>
      </c>
      <c r="C26" s="137">
        <v>2310765</v>
      </c>
      <c r="D26" s="266">
        <v>3583674.7056146222</v>
      </c>
      <c r="E26" s="267"/>
      <c r="F26" s="266">
        <v>3583674.7056146222</v>
      </c>
      <c r="G26" s="267"/>
      <c r="H26" s="266">
        <v>3583674.7056146222</v>
      </c>
      <c r="I26" s="267"/>
      <c r="J26" s="270">
        <v>3583674.7056146222</v>
      </c>
      <c r="K26" s="271"/>
      <c r="L26" s="266">
        <v>3583674.7056146222</v>
      </c>
      <c r="M26" s="267"/>
      <c r="N26" s="266">
        <v>3583674.7056146222</v>
      </c>
      <c r="O26" s="267"/>
      <c r="P26" s="266">
        <v>3583674.7056146222</v>
      </c>
      <c r="Q26" s="284"/>
    </row>
    <row r="27" spans="2:17" x14ac:dyDescent="0.25">
      <c r="B27" s="126" t="s">
        <v>63</v>
      </c>
      <c r="C27" s="138">
        <v>2662665</v>
      </c>
      <c r="D27" s="268">
        <v>3373574.7955126823</v>
      </c>
      <c r="E27" s="269"/>
      <c r="F27" s="268">
        <v>4267308.0617963634</v>
      </c>
      <c r="G27" s="269"/>
      <c r="H27" s="268">
        <v>4267308.0617963634</v>
      </c>
      <c r="I27" s="269"/>
      <c r="J27" s="272">
        <v>4267308.0617963634</v>
      </c>
      <c r="K27" s="273"/>
      <c r="L27" s="268">
        <v>4267308.0617963634</v>
      </c>
      <c r="M27" s="269"/>
      <c r="N27" s="268">
        <v>4267308.0617963634</v>
      </c>
      <c r="O27" s="269"/>
      <c r="P27" s="268">
        <v>4267308.0617963634</v>
      </c>
      <c r="Q27" s="282"/>
    </row>
    <row r="28" spans="2:17" x14ac:dyDescent="0.25">
      <c r="B28" s="126" t="s">
        <v>144</v>
      </c>
      <c r="C28" s="138">
        <v>1595892</v>
      </c>
      <c r="D28" s="268">
        <v>1471977.8896224049</v>
      </c>
      <c r="E28" s="269"/>
      <c r="F28" s="268">
        <v>1534120.4345532965</v>
      </c>
      <c r="G28" s="269"/>
      <c r="H28" s="268">
        <v>1931518.0456033745</v>
      </c>
      <c r="I28" s="269"/>
      <c r="J28" s="272">
        <v>2304417.848638271</v>
      </c>
      <c r="K28" s="273"/>
      <c r="L28" s="268">
        <v>2518200.0655416748</v>
      </c>
      <c r="M28" s="269"/>
      <c r="N28" s="268">
        <v>2518200.0655416748</v>
      </c>
      <c r="O28" s="269"/>
      <c r="P28" s="268">
        <v>2518200.0655416748</v>
      </c>
      <c r="Q28" s="282"/>
    </row>
    <row r="29" spans="2:17" x14ac:dyDescent="0.25">
      <c r="B29" s="132" t="s">
        <v>26</v>
      </c>
      <c r="C29" s="139">
        <v>378283</v>
      </c>
      <c r="D29" s="274">
        <v>346294.34011289396</v>
      </c>
      <c r="E29" s="275"/>
      <c r="F29" s="274">
        <v>346294.34011289396</v>
      </c>
      <c r="G29" s="275"/>
      <c r="H29" s="274">
        <v>346294.34011289396</v>
      </c>
      <c r="I29" s="275"/>
      <c r="J29" s="278">
        <v>346294.34011289396</v>
      </c>
      <c r="K29" s="279"/>
      <c r="L29" s="274">
        <v>458457.36415959115</v>
      </c>
      <c r="M29" s="275"/>
      <c r="N29" s="274">
        <v>601489.1521167414</v>
      </c>
      <c r="O29" s="275"/>
      <c r="P29" s="274">
        <v>601489.1521167414</v>
      </c>
      <c r="Q29" s="285"/>
    </row>
    <row r="30" spans="2:17" x14ac:dyDescent="0.25">
      <c r="B30" s="126" t="s">
        <v>64</v>
      </c>
      <c r="C30" s="138">
        <v>150561</v>
      </c>
      <c r="D30" s="266">
        <v>133270.16350323145</v>
      </c>
      <c r="E30" s="267"/>
      <c r="F30" s="266">
        <v>133270.16350323145</v>
      </c>
      <c r="G30" s="267"/>
      <c r="H30" s="266">
        <v>133270.16350323145</v>
      </c>
      <c r="I30" s="267"/>
      <c r="J30" s="270">
        <v>133270.16350323145</v>
      </c>
      <c r="K30" s="271"/>
      <c r="L30" s="266">
        <v>133270.16350323145</v>
      </c>
      <c r="M30" s="267"/>
      <c r="N30" s="266">
        <v>247507.37930088287</v>
      </c>
      <c r="O30" s="267"/>
      <c r="P30" s="266">
        <v>247507.37930088287</v>
      </c>
      <c r="Q30" s="284"/>
    </row>
    <row r="31" spans="2:17" x14ac:dyDescent="0.25">
      <c r="B31" s="126" t="s">
        <v>72</v>
      </c>
      <c r="C31" s="138">
        <v>83212</v>
      </c>
      <c r="D31" s="268">
        <v>74714.772136189116</v>
      </c>
      <c r="E31" s="269"/>
      <c r="F31" s="268">
        <v>74714.772136189116</v>
      </c>
      <c r="G31" s="269"/>
      <c r="H31" s="268">
        <v>74714.772136189116</v>
      </c>
      <c r="I31" s="269"/>
      <c r="J31" s="272">
        <v>74714.772136189116</v>
      </c>
      <c r="K31" s="273"/>
      <c r="L31" s="268">
        <v>74714.772136189116</v>
      </c>
      <c r="M31" s="269"/>
      <c r="N31" s="268">
        <v>74933.151449923113</v>
      </c>
      <c r="O31" s="269"/>
      <c r="P31" s="268">
        <v>134862.22094521255</v>
      </c>
      <c r="Q31" s="282"/>
    </row>
    <row r="32" spans="2:17" x14ac:dyDescent="0.25">
      <c r="B32" s="126" t="s">
        <v>66</v>
      </c>
      <c r="C32" s="138">
        <v>360833</v>
      </c>
      <c r="D32" s="268">
        <v>264116.06882997416</v>
      </c>
      <c r="E32" s="269"/>
      <c r="F32" s="268">
        <v>264116.06882997416</v>
      </c>
      <c r="G32" s="269"/>
      <c r="H32" s="268">
        <v>264116.06882997416</v>
      </c>
      <c r="I32" s="269"/>
      <c r="J32" s="272">
        <v>264116.06882997416</v>
      </c>
      <c r="K32" s="273"/>
      <c r="L32" s="268">
        <v>264116.06882997416</v>
      </c>
      <c r="M32" s="269"/>
      <c r="N32" s="268">
        <v>264116.06882997416</v>
      </c>
      <c r="O32" s="269"/>
      <c r="P32" s="268">
        <v>325914.80613466725</v>
      </c>
      <c r="Q32" s="282"/>
    </row>
    <row r="33" spans="2:17" ht="15.75" thickBot="1" x14ac:dyDescent="0.3">
      <c r="B33" s="125" t="s">
        <v>22</v>
      </c>
      <c r="C33" s="148">
        <v>25689</v>
      </c>
      <c r="D33" s="276">
        <v>24802.992303032715</v>
      </c>
      <c r="E33" s="277"/>
      <c r="F33" s="276">
        <v>24802.992303032715</v>
      </c>
      <c r="G33" s="277"/>
      <c r="H33" s="276">
        <v>24802.992303032715</v>
      </c>
      <c r="I33" s="277"/>
      <c r="J33" s="280">
        <v>24802.992303032715</v>
      </c>
      <c r="K33" s="281"/>
      <c r="L33" s="276">
        <v>24802.992303032715</v>
      </c>
      <c r="M33" s="277"/>
      <c r="N33" s="276">
        <v>24802.992303032715</v>
      </c>
      <c r="O33" s="277"/>
      <c r="P33" s="276">
        <v>24802.992303032715</v>
      </c>
      <c r="Q33" s="283"/>
    </row>
  </sheetData>
  <mergeCells count="122">
    <mergeCell ref="P33:Q33"/>
    <mergeCell ref="D33:E33"/>
    <mergeCell ref="F33:G33"/>
    <mergeCell ref="H33:I33"/>
    <mergeCell ref="J33:K33"/>
    <mergeCell ref="L33:M33"/>
    <mergeCell ref="N33:O33"/>
    <mergeCell ref="P31:Q31"/>
    <mergeCell ref="D32:E32"/>
    <mergeCell ref="F32:G32"/>
    <mergeCell ref="H32:I32"/>
    <mergeCell ref="J32:K32"/>
    <mergeCell ref="L32:M32"/>
    <mergeCell ref="N32:O32"/>
    <mergeCell ref="P32:Q32"/>
    <mergeCell ref="D31:E31"/>
    <mergeCell ref="F31:G31"/>
    <mergeCell ref="H31:I31"/>
    <mergeCell ref="J31:K31"/>
    <mergeCell ref="L31:M31"/>
    <mergeCell ref="N31:O31"/>
    <mergeCell ref="P29:Q29"/>
    <mergeCell ref="D30:E30"/>
    <mergeCell ref="F30:G30"/>
    <mergeCell ref="H30:I30"/>
    <mergeCell ref="J30:K30"/>
    <mergeCell ref="L30:M30"/>
    <mergeCell ref="N30:O30"/>
    <mergeCell ref="P30:Q30"/>
    <mergeCell ref="D29:E29"/>
    <mergeCell ref="F29:G29"/>
    <mergeCell ref="H29:I29"/>
    <mergeCell ref="J29:K29"/>
    <mergeCell ref="L29:M29"/>
    <mergeCell ref="N29:O29"/>
    <mergeCell ref="P27:Q27"/>
    <mergeCell ref="D28:E28"/>
    <mergeCell ref="F28:G28"/>
    <mergeCell ref="H28:I28"/>
    <mergeCell ref="J28:K28"/>
    <mergeCell ref="L28:M28"/>
    <mergeCell ref="N28:O28"/>
    <mergeCell ref="P28:Q28"/>
    <mergeCell ref="D27:E27"/>
    <mergeCell ref="F27:G27"/>
    <mergeCell ref="H27:I27"/>
    <mergeCell ref="J27:K27"/>
    <mergeCell ref="L27:M27"/>
    <mergeCell ref="N27:O27"/>
    <mergeCell ref="P24:Q24"/>
    <mergeCell ref="B25:C25"/>
    <mergeCell ref="D25:Q25"/>
    <mergeCell ref="D26:E26"/>
    <mergeCell ref="F26:G26"/>
    <mergeCell ref="H26:I26"/>
    <mergeCell ref="J26:K26"/>
    <mergeCell ref="L26:M26"/>
    <mergeCell ref="N26:O26"/>
    <mergeCell ref="P26:Q26"/>
    <mergeCell ref="D24:E24"/>
    <mergeCell ref="F24:G24"/>
    <mergeCell ref="H24:I24"/>
    <mergeCell ref="J24:K24"/>
    <mergeCell ref="L24:M24"/>
    <mergeCell ref="N24:O24"/>
    <mergeCell ref="P22:Q22"/>
    <mergeCell ref="D23:E23"/>
    <mergeCell ref="F23:G23"/>
    <mergeCell ref="H23:I23"/>
    <mergeCell ref="J23:K23"/>
    <mergeCell ref="L23:M23"/>
    <mergeCell ref="N23:O23"/>
    <mergeCell ref="P23:Q23"/>
    <mergeCell ref="B10:C10"/>
    <mergeCell ref="D10:Q10"/>
    <mergeCell ref="B21:C21"/>
    <mergeCell ref="D21:Q21"/>
    <mergeCell ref="D22:E22"/>
    <mergeCell ref="F22:G22"/>
    <mergeCell ref="H22:I22"/>
    <mergeCell ref="J22:K22"/>
    <mergeCell ref="L22:M22"/>
    <mergeCell ref="N22:O22"/>
    <mergeCell ref="P8:Q8"/>
    <mergeCell ref="D9:E9"/>
    <mergeCell ref="F9:G9"/>
    <mergeCell ref="H9:I9"/>
    <mergeCell ref="J9:K9"/>
    <mergeCell ref="L9:M9"/>
    <mergeCell ref="N9:O9"/>
    <mergeCell ref="P9:Q9"/>
    <mergeCell ref="D8:E8"/>
    <mergeCell ref="F8:G8"/>
    <mergeCell ref="H8:I8"/>
    <mergeCell ref="J8:K8"/>
    <mergeCell ref="L8:M8"/>
    <mergeCell ref="N8:O8"/>
    <mergeCell ref="P5:Q5"/>
    <mergeCell ref="B6:C6"/>
    <mergeCell ref="D6:Q6"/>
    <mergeCell ref="D7:E7"/>
    <mergeCell ref="F7:G7"/>
    <mergeCell ref="H7:I7"/>
    <mergeCell ref="J7:K7"/>
    <mergeCell ref="L7:M7"/>
    <mergeCell ref="N7:O7"/>
    <mergeCell ref="P7:Q7"/>
    <mergeCell ref="D5:E5"/>
    <mergeCell ref="F5:G5"/>
    <mergeCell ref="H5:I5"/>
    <mergeCell ref="J5:K5"/>
    <mergeCell ref="L5:M5"/>
    <mergeCell ref="N5:O5"/>
    <mergeCell ref="B2:Q2"/>
    <mergeCell ref="D3:Q3"/>
    <mergeCell ref="D4:E4"/>
    <mergeCell ref="F4:G4"/>
    <mergeCell ref="H4:I4"/>
    <mergeCell ref="J4:K4"/>
    <mergeCell ref="L4:M4"/>
    <mergeCell ref="N4:O4"/>
    <mergeCell ref="P4:Q4"/>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7"/>
  <sheetViews>
    <sheetView workbookViewId="0">
      <selection activeCell="J4" sqref="J4:K11"/>
    </sheetView>
  </sheetViews>
  <sheetFormatPr defaultRowHeight="15" x14ac:dyDescent="0.25"/>
  <cols>
    <col min="1" max="1" width="14.5703125" customWidth="1"/>
    <col min="2" max="2" width="7.28515625" customWidth="1"/>
    <col min="3" max="4" width="8.7109375" customWidth="1"/>
    <col min="5" max="5" width="7.28515625" customWidth="1"/>
    <col min="6" max="6" width="0.7109375" customWidth="1"/>
    <col min="7" max="7" width="7.7109375" customWidth="1"/>
    <col min="9" max="9" width="14.85546875" customWidth="1"/>
    <col min="10" max="10" width="7.28515625" customWidth="1"/>
    <col min="11" max="11" width="8" customWidth="1"/>
    <col min="12" max="12" width="7.5703125" customWidth="1"/>
    <col min="13" max="13" width="8.28515625" customWidth="1"/>
    <col min="15" max="15" width="11.42578125" bestFit="1" customWidth="1"/>
  </cols>
  <sheetData>
    <row r="2" spans="1:16" ht="27" customHeight="1" x14ac:dyDescent="0.25">
      <c r="A2" s="291" t="s">
        <v>77</v>
      </c>
      <c r="B2" s="291" t="s">
        <v>74</v>
      </c>
      <c r="C2" s="291"/>
      <c r="D2" s="291"/>
      <c r="E2" s="291"/>
      <c r="F2" s="291"/>
      <c r="G2" s="291"/>
      <c r="I2" s="298" t="s">
        <v>93</v>
      </c>
      <c r="J2" s="291" t="s">
        <v>87</v>
      </c>
      <c r="K2" s="291"/>
      <c r="L2" s="291"/>
      <c r="M2" s="291" t="s">
        <v>88</v>
      </c>
    </row>
    <row r="3" spans="1:16" ht="29.45" customHeight="1" x14ac:dyDescent="0.25">
      <c r="A3" s="297"/>
      <c r="B3" s="32" t="s">
        <v>67</v>
      </c>
      <c r="C3" s="33" t="s">
        <v>68</v>
      </c>
      <c r="D3" s="33" t="s">
        <v>69</v>
      </c>
      <c r="E3" s="292" t="s">
        <v>70</v>
      </c>
      <c r="F3" s="293"/>
      <c r="G3" s="33" t="s">
        <v>71</v>
      </c>
      <c r="I3" s="297"/>
      <c r="J3" s="66" t="s">
        <v>67</v>
      </c>
      <c r="K3" s="86" t="s">
        <v>70</v>
      </c>
      <c r="L3" s="66" t="s">
        <v>73</v>
      </c>
      <c r="M3" s="291"/>
      <c r="O3" s="33" t="s">
        <v>75</v>
      </c>
      <c r="P3" s="33" t="s">
        <v>76</v>
      </c>
    </row>
    <row r="4" spans="1:16" ht="14.45" x14ac:dyDescent="0.3">
      <c r="A4" s="5" t="s">
        <v>62</v>
      </c>
      <c r="B4" s="37">
        <v>5991499</v>
      </c>
      <c r="C4" s="37">
        <v>4793199.2</v>
      </c>
      <c r="D4" s="37">
        <v>7189798.7999999998</v>
      </c>
      <c r="E4" s="49">
        <v>7189798.7999999998</v>
      </c>
      <c r="F4" s="44"/>
      <c r="G4" s="38">
        <f>(E4-B4)/B4</f>
        <v>0.19999999999999996</v>
      </c>
      <c r="I4" s="5" t="s">
        <v>62</v>
      </c>
      <c r="J4" s="94">
        <v>2767707.5889119492</v>
      </c>
      <c r="K4" s="88">
        <v>3312421.3159430088</v>
      </c>
      <c r="L4" s="145">
        <f>K4-J4</f>
        <v>544713.72703105956</v>
      </c>
      <c r="M4" s="96">
        <f>0.34*K4</f>
        <v>1126223.247420623</v>
      </c>
      <c r="O4" s="37">
        <f>B4-C4</f>
        <v>1198299.7999999998</v>
      </c>
      <c r="P4" s="37">
        <f>D4-B4</f>
        <v>1198299.7999999998</v>
      </c>
    </row>
    <row r="5" spans="1:16" ht="14.45" x14ac:dyDescent="0.3">
      <c r="A5" s="7" t="s">
        <v>63</v>
      </c>
      <c r="B5" s="39">
        <v>15610435</v>
      </c>
      <c r="C5" s="39">
        <v>12488348</v>
      </c>
      <c r="D5" s="39">
        <v>18732522</v>
      </c>
      <c r="E5" s="50">
        <v>18732522</v>
      </c>
      <c r="F5" s="44"/>
      <c r="G5" s="40">
        <f t="shared" ref="G5:G12" si="0">(E5-B5)/B5</f>
        <v>0.2</v>
      </c>
      <c r="I5" s="7" t="s">
        <v>63</v>
      </c>
      <c r="J5" s="87">
        <v>3281566.9987801639</v>
      </c>
      <c r="K5" s="91">
        <v>3938662.5298482887</v>
      </c>
      <c r="L5" s="146">
        <f t="shared" ref="L5:L11" si="1">K5-J5</f>
        <v>657095.53106812481</v>
      </c>
      <c r="M5" s="92">
        <f t="shared" ref="M5:M11" si="2">0.34*K5</f>
        <v>1339145.2601484184</v>
      </c>
      <c r="O5" s="39">
        <f t="shared" ref="O5:O12" si="3">B5-C5</f>
        <v>3122087</v>
      </c>
      <c r="P5" s="39">
        <f t="shared" ref="P5:P12" si="4">D5-B5</f>
        <v>3122087</v>
      </c>
    </row>
    <row r="6" spans="1:16" ht="14.45" x14ac:dyDescent="0.3">
      <c r="A6" s="7" t="s">
        <v>65</v>
      </c>
      <c r="B6" s="39">
        <v>22954000</v>
      </c>
      <c r="C6" s="39">
        <v>22954000</v>
      </c>
      <c r="D6" s="39">
        <v>36811696</v>
      </c>
      <c r="E6" s="50">
        <v>33364081.59999875</v>
      </c>
      <c r="F6" s="44"/>
      <c r="G6" s="40">
        <f>(E6-B6)/B6</f>
        <v>0.45351928204229108</v>
      </c>
      <c r="I6" s="7" t="s">
        <v>65</v>
      </c>
      <c r="J6" s="87">
        <v>2018049.0519838764</v>
      </c>
      <c r="K6" s="91">
        <v>2757449.6901896722</v>
      </c>
      <c r="L6" s="146">
        <f>K6-J6</f>
        <v>739400.63820579578</v>
      </c>
      <c r="M6" s="92">
        <f>0.34*K6</f>
        <v>937532.89466448862</v>
      </c>
      <c r="O6" s="39">
        <f>B6-C6</f>
        <v>0</v>
      </c>
      <c r="P6" s="39">
        <f>D6-B6</f>
        <v>13857696</v>
      </c>
    </row>
    <row r="7" spans="1:16" ht="14.45" x14ac:dyDescent="0.3">
      <c r="A7" s="9" t="s">
        <v>26</v>
      </c>
      <c r="B7" s="41">
        <v>7818984</v>
      </c>
      <c r="C7" s="41">
        <v>6255187.2000000002</v>
      </c>
      <c r="D7" s="41">
        <v>8600882.4000000004</v>
      </c>
      <c r="E7" s="51">
        <v>6255187.2000000002</v>
      </c>
      <c r="F7" s="46"/>
      <c r="G7" s="42">
        <f>(E7-B7)/B7</f>
        <v>-0.19999999999999998</v>
      </c>
      <c r="I7" s="9" t="s">
        <v>26</v>
      </c>
      <c r="J7" s="93">
        <v>478349.49312681123</v>
      </c>
      <c r="K7" s="95">
        <v>391340.25142413448</v>
      </c>
      <c r="L7" s="147">
        <f>K7-J7</f>
        <v>-87009.241702676751</v>
      </c>
      <c r="M7" s="90">
        <f>0.34*K7</f>
        <v>133055.68548420572</v>
      </c>
      <c r="O7" s="41">
        <f>B7-C7</f>
        <v>1563796.7999999998</v>
      </c>
      <c r="P7" s="41">
        <f>D7-B7</f>
        <v>781898.40000000037</v>
      </c>
    </row>
    <row r="8" spans="1:16" ht="14.45" x14ac:dyDescent="0.3">
      <c r="A8" s="7" t="s">
        <v>64</v>
      </c>
      <c r="B8" s="39">
        <v>3804716</v>
      </c>
      <c r="C8" s="39">
        <v>3424244.4</v>
      </c>
      <c r="D8" s="39">
        <v>4185187.6000000006</v>
      </c>
      <c r="E8" s="50">
        <v>3424244.4</v>
      </c>
      <c r="F8" s="57"/>
      <c r="G8" s="40">
        <f>(E8-B8)/B8</f>
        <v>-0.10000000000000002</v>
      </c>
      <c r="I8" s="7" t="s">
        <v>64</v>
      </c>
      <c r="J8" s="102">
        <v>190388.11981583459</v>
      </c>
      <c r="K8" s="99">
        <v>171348.65624802854</v>
      </c>
      <c r="L8" s="146">
        <f>K8-J8</f>
        <v>-19039.463567806059</v>
      </c>
      <c r="M8" s="100">
        <f>0.34*K8</f>
        <v>58258.543124329706</v>
      </c>
      <c r="O8" s="39">
        <f>B8-C8</f>
        <v>380471.60000000009</v>
      </c>
      <c r="P8" s="39">
        <f>D8-B8</f>
        <v>380471.60000000056</v>
      </c>
    </row>
    <row r="9" spans="1:16" ht="14.45" x14ac:dyDescent="0.3">
      <c r="A9" s="7" t="s">
        <v>72</v>
      </c>
      <c r="B9" s="39">
        <v>3535945</v>
      </c>
      <c r="C9" s="39">
        <v>3535945</v>
      </c>
      <c r="D9" s="39">
        <v>5000000</v>
      </c>
      <c r="E9" s="50">
        <v>3535945</v>
      </c>
      <c r="F9" s="68"/>
      <c r="G9" s="40">
        <f>(E9-B9)/B9</f>
        <v>0</v>
      </c>
      <c r="I9" s="7" t="s">
        <v>72</v>
      </c>
      <c r="J9" s="102">
        <v>105223.86</v>
      </c>
      <c r="K9" s="99">
        <v>105223.86</v>
      </c>
      <c r="L9" s="146">
        <f>K9-J9</f>
        <v>0</v>
      </c>
      <c r="M9" s="100">
        <f>0.34*K9</f>
        <v>35776.112400000005</v>
      </c>
      <c r="O9" s="39">
        <f>B9-C9</f>
        <v>0</v>
      </c>
      <c r="P9" s="39">
        <f>D9-B9</f>
        <v>1464055</v>
      </c>
    </row>
    <row r="10" spans="1:16" ht="14.45" x14ac:dyDescent="0.3">
      <c r="A10" s="7" t="s">
        <v>66</v>
      </c>
      <c r="B10" s="39">
        <v>14895305</v>
      </c>
      <c r="C10" s="39">
        <v>12000000</v>
      </c>
      <c r="D10" s="39">
        <v>16500000</v>
      </c>
      <c r="E10" s="50">
        <v>12000000</v>
      </c>
      <c r="F10" s="58"/>
      <c r="G10" s="40">
        <f>(E10-B10)/B10</f>
        <v>-0.19437702014158154</v>
      </c>
      <c r="I10" s="7" t="s">
        <v>66</v>
      </c>
      <c r="J10" s="102">
        <v>357940.73004525341</v>
      </c>
      <c r="K10" s="99">
        <v>298362.66148692742</v>
      </c>
      <c r="L10" s="146">
        <f>K10-J10</f>
        <v>-59578.068558325991</v>
      </c>
      <c r="M10" s="100">
        <f>0.54*K10</f>
        <v>161115.83720294081</v>
      </c>
      <c r="O10" s="39">
        <f t="shared" si="3"/>
        <v>2895305</v>
      </c>
      <c r="P10" s="39">
        <f t="shared" si="4"/>
        <v>1604695</v>
      </c>
    </row>
    <row r="11" spans="1:16" x14ac:dyDescent="0.25">
      <c r="A11" s="7" t="s">
        <v>22</v>
      </c>
      <c r="B11" s="39">
        <v>4440000</v>
      </c>
      <c r="C11" s="39">
        <v>4440000</v>
      </c>
      <c r="D11" s="39">
        <v>6253528.5509214355</v>
      </c>
      <c r="E11" s="50">
        <v>4440000</v>
      </c>
      <c r="F11" s="69"/>
      <c r="G11" s="40">
        <f t="shared" si="0"/>
        <v>0</v>
      </c>
      <c r="I11" s="7" t="s">
        <v>22</v>
      </c>
      <c r="J11" s="101">
        <v>32484.644891698143</v>
      </c>
      <c r="K11" s="103">
        <v>32484.644891698143</v>
      </c>
      <c r="L11" s="147">
        <f t="shared" si="1"/>
        <v>0</v>
      </c>
      <c r="M11" s="98">
        <f t="shared" si="2"/>
        <v>11044.77926317737</v>
      </c>
      <c r="O11" s="39">
        <f t="shared" si="3"/>
        <v>0</v>
      </c>
      <c r="P11" s="39">
        <f t="shared" si="4"/>
        <v>1813528.5509214355</v>
      </c>
    </row>
    <row r="12" spans="1:16" ht="13.9" customHeight="1" thickBot="1" x14ac:dyDescent="0.3">
      <c r="A12" s="34" t="s">
        <v>16</v>
      </c>
      <c r="B12" s="35">
        <f>SUM(B4:B11)</f>
        <v>79050884</v>
      </c>
      <c r="C12" s="35">
        <v>88941779</v>
      </c>
      <c r="D12" s="35">
        <v>88941779</v>
      </c>
      <c r="E12" s="52">
        <f>SUM(E4:E11)</f>
        <v>88941778.999998763</v>
      </c>
      <c r="F12" s="44"/>
      <c r="G12" s="36">
        <f t="shared" si="0"/>
        <v>0.12512061218693979</v>
      </c>
      <c r="I12" s="81" t="s">
        <v>92</v>
      </c>
      <c r="J12" s="89">
        <f>SUM(J4:J11)</f>
        <v>9231710.4875555858</v>
      </c>
      <c r="K12" s="97">
        <f>SUM(K4:K11)</f>
        <v>11007293.610031758</v>
      </c>
      <c r="L12" s="89">
        <f>SUM(L4:L11)</f>
        <v>1775583.1224761712</v>
      </c>
      <c r="M12" s="89">
        <f>SUM(M4:M11)</f>
        <v>3802152.3597081834</v>
      </c>
      <c r="O12" s="35">
        <f t="shared" si="3"/>
        <v>-9890895</v>
      </c>
      <c r="P12" s="35">
        <f t="shared" si="4"/>
        <v>9890895</v>
      </c>
    </row>
    <row r="13" spans="1:16" ht="15.75" thickTop="1" x14ac:dyDescent="0.25">
      <c r="E13" s="47"/>
      <c r="I13" s="295" t="s">
        <v>89</v>
      </c>
      <c r="J13" s="294" t="s">
        <v>91</v>
      </c>
      <c r="K13" s="294"/>
      <c r="L13" s="294"/>
      <c r="M13" s="80" t="s">
        <v>90</v>
      </c>
    </row>
    <row r="14" spans="1:16" ht="31.15" customHeight="1" x14ac:dyDescent="0.25">
      <c r="I14" s="296"/>
      <c r="J14" s="48">
        <f>SUM(J4:J11)</f>
        <v>9231710.4875555858</v>
      </c>
      <c r="K14" s="59">
        <f>SUM(K4:K11)</f>
        <v>11007293.610031758</v>
      </c>
      <c r="L14" s="48">
        <f>SUM(L4:L11)</f>
        <v>1775583.1224761712</v>
      </c>
      <c r="M14" s="48">
        <f>SUM(M4:M11)</f>
        <v>3802152.3597081834</v>
      </c>
    </row>
    <row r="15" spans="1:16" x14ac:dyDescent="0.25">
      <c r="L15" s="43">
        <f>L14/J14</f>
        <v>0.19233522594427874</v>
      </c>
    </row>
    <row r="18" spans="1:11" x14ac:dyDescent="0.25">
      <c r="A18" s="5" t="s">
        <v>62</v>
      </c>
      <c r="B18" s="39">
        <v>5991499</v>
      </c>
      <c r="C18" s="39">
        <v>4793199.2</v>
      </c>
      <c r="D18" s="39">
        <v>7189798.7999999998</v>
      </c>
      <c r="E18" s="39">
        <v>7189798.7999999998</v>
      </c>
      <c r="I18" s="5" t="s">
        <v>62</v>
      </c>
      <c r="J18" s="87">
        <v>2767707.5889119492</v>
      </c>
      <c r="K18" s="87">
        <v>3312421.3159430088</v>
      </c>
    </row>
    <row r="19" spans="1:11" x14ac:dyDescent="0.25">
      <c r="A19" s="7" t="s">
        <v>63</v>
      </c>
      <c r="B19" s="39">
        <v>15610435</v>
      </c>
      <c r="C19" s="39">
        <v>12488348</v>
      </c>
      <c r="D19" s="39">
        <v>18732522</v>
      </c>
      <c r="E19" s="39">
        <v>18732522</v>
      </c>
      <c r="I19" s="7" t="s">
        <v>63</v>
      </c>
      <c r="J19" s="87">
        <v>3281566.9987801639</v>
      </c>
      <c r="K19" s="87">
        <v>3938662.5298482887</v>
      </c>
    </row>
    <row r="20" spans="1:11" x14ac:dyDescent="0.25">
      <c r="A20" s="153" t="s">
        <v>65</v>
      </c>
      <c r="B20" s="39">
        <v>22954000</v>
      </c>
      <c r="C20" s="39">
        <v>22954000</v>
      </c>
      <c r="D20" s="39">
        <v>36811696</v>
      </c>
      <c r="E20" s="39">
        <v>33364081.59999875</v>
      </c>
      <c r="I20" s="153" t="s">
        <v>65</v>
      </c>
      <c r="J20" s="87">
        <v>2018049.0519838764</v>
      </c>
      <c r="K20" s="87">
        <v>2757449.6901896722</v>
      </c>
    </row>
    <row r="21" spans="1:11" x14ac:dyDescent="0.25">
      <c r="A21" s="153" t="s">
        <v>26</v>
      </c>
      <c r="B21" s="39">
        <v>7818984</v>
      </c>
      <c r="C21" s="39">
        <v>6255187.2000000002</v>
      </c>
      <c r="D21" s="39">
        <v>8600882.4000000004</v>
      </c>
      <c r="E21" s="39">
        <v>6255187.2000000002</v>
      </c>
      <c r="I21" s="153" t="s">
        <v>26</v>
      </c>
      <c r="J21" s="87">
        <v>478349.49312681123</v>
      </c>
      <c r="K21" s="87">
        <v>391340.25142413448</v>
      </c>
    </row>
    <row r="22" spans="1:11" x14ac:dyDescent="0.25">
      <c r="A22" s="153" t="s">
        <v>64</v>
      </c>
      <c r="B22" s="39">
        <v>3804716</v>
      </c>
      <c r="C22" s="39">
        <v>3424244.4</v>
      </c>
      <c r="D22" s="39">
        <v>4185187.6000000006</v>
      </c>
      <c r="E22" s="39">
        <v>3424244.4</v>
      </c>
      <c r="I22" s="153" t="s">
        <v>64</v>
      </c>
      <c r="J22" s="87">
        <v>190388.11981583459</v>
      </c>
      <c r="K22" s="87">
        <v>171348.65624802854</v>
      </c>
    </row>
    <row r="23" spans="1:11" x14ac:dyDescent="0.25">
      <c r="A23" s="153" t="s">
        <v>72</v>
      </c>
      <c r="B23" s="39">
        <v>3535945</v>
      </c>
      <c r="C23" s="39">
        <v>3535945</v>
      </c>
      <c r="D23" s="39">
        <v>5000000</v>
      </c>
      <c r="E23" s="39">
        <v>3535945</v>
      </c>
      <c r="I23" s="153" t="s">
        <v>72</v>
      </c>
      <c r="J23" s="87">
        <v>105223.86</v>
      </c>
      <c r="K23" s="87">
        <v>105223.86</v>
      </c>
    </row>
    <row r="24" spans="1:11" x14ac:dyDescent="0.25">
      <c r="A24" s="153" t="s">
        <v>66</v>
      </c>
      <c r="B24" s="39">
        <v>14895305</v>
      </c>
      <c r="C24" s="39">
        <v>12000000</v>
      </c>
      <c r="D24" s="39">
        <v>16500000</v>
      </c>
      <c r="E24" s="39">
        <v>12000000</v>
      </c>
      <c r="I24" s="153" t="s">
        <v>66</v>
      </c>
      <c r="J24" s="87">
        <v>357940.73004525341</v>
      </c>
      <c r="K24" s="87">
        <v>298362.66148692742</v>
      </c>
    </row>
    <row r="25" spans="1:11" x14ac:dyDescent="0.25">
      <c r="A25" s="153" t="s">
        <v>22</v>
      </c>
      <c r="B25" s="39">
        <v>4440000</v>
      </c>
      <c r="C25" s="39">
        <v>4440000</v>
      </c>
      <c r="D25" s="39">
        <v>6253528.5509214355</v>
      </c>
      <c r="E25" s="39">
        <v>4440000</v>
      </c>
      <c r="I25" s="153" t="s">
        <v>22</v>
      </c>
      <c r="J25" s="87">
        <v>32484.644891698143</v>
      </c>
      <c r="K25" s="87">
        <v>32484.644891698143</v>
      </c>
    </row>
    <row r="27" spans="1:11" x14ac:dyDescent="0.25">
      <c r="J27" s="55"/>
    </row>
  </sheetData>
  <mergeCells count="8">
    <mergeCell ref="M2:M3"/>
    <mergeCell ref="E3:F3"/>
    <mergeCell ref="J13:L13"/>
    <mergeCell ref="I13:I14"/>
    <mergeCell ref="A2:A3"/>
    <mergeCell ref="B2:G2"/>
    <mergeCell ref="I2:I3"/>
    <mergeCell ref="J2:L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C80"/>
  </sheetPr>
  <dimension ref="A2:R15"/>
  <sheetViews>
    <sheetView workbookViewId="0">
      <selection activeCell="E14" sqref="E14"/>
    </sheetView>
  </sheetViews>
  <sheetFormatPr defaultColWidth="8.85546875" defaultRowHeight="15" x14ac:dyDescent="0.25"/>
  <cols>
    <col min="1" max="1" width="14.5703125" style="135" customWidth="1"/>
    <col min="2" max="2" width="7.28515625" style="135" customWidth="1"/>
    <col min="3" max="4" width="8.7109375" style="135" customWidth="1"/>
    <col min="5" max="5" width="7.28515625" style="135" customWidth="1"/>
    <col min="6" max="6" width="0.7109375" style="135" customWidth="1"/>
    <col min="7" max="7" width="7.7109375" style="135" customWidth="1"/>
    <col min="8" max="8" width="8.85546875" style="135"/>
    <col min="9" max="9" width="15.140625" style="135" customWidth="1"/>
    <col min="10" max="10" width="7.28515625" style="135" customWidth="1"/>
    <col min="11" max="11" width="8" style="135" customWidth="1"/>
    <col min="12" max="12" width="7.5703125" style="135" customWidth="1"/>
    <col min="13" max="13" width="8.28515625" style="135" customWidth="1"/>
    <col min="14" max="14" width="8.85546875" style="135"/>
    <col min="15" max="15" width="11.42578125" style="135" bestFit="1" customWidth="1"/>
    <col min="16" max="17" width="8.85546875" style="135"/>
    <col min="18" max="18" width="23.140625" style="135" customWidth="1"/>
    <col min="19" max="16384" width="8.85546875" style="135"/>
  </cols>
  <sheetData>
    <row r="2" spans="1:18" ht="16.149999999999999" customHeight="1" x14ac:dyDescent="0.25">
      <c r="A2" s="291" t="s">
        <v>115</v>
      </c>
      <c r="B2" s="291" t="s">
        <v>74</v>
      </c>
      <c r="C2" s="291"/>
      <c r="D2" s="291"/>
      <c r="E2" s="291"/>
      <c r="F2" s="291"/>
      <c r="G2" s="291"/>
      <c r="I2" s="291" t="s">
        <v>116</v>
      </c>
      <c r="J2" s="291" t="s">
        <v>87</v>
      </c>
      <c r="K2" s="291"/>
      <c r="L2" s="291"/>
      <c r="M2" s="291" t="s">
        <v>94</v>
      </c>
    </row>
    <row r="3" spans="1:18" ht="30" x14ac:dyDescent="0.25">
      <c r="A3" s="297"/>
      <c r="B3" s="105" t="s">
        <v>67</v>
      </c>
      <c r="C3" s="104" t="s">
        <v>68</v>
      </c>
      <c r="D3" s="104" t="s">
        <v>69</v>
      </c>
      <c r="E3" s="292" t="s">
        <v>70</v>
      </c>
      <c r="F3" s="293"/>
      <c r="G3" s="104" t="s">
        <v>71</v>
      </c>
      <c r="I3" s="297"/>
      <c r="J3" s="105" t="s">
        <v>67</v>
      </c>
      <c r="K3" s="53" t="s">
        <v>70</v>
      </c>
      <c r="L3" s="105" t="s">
        <v>73</v>
      </c>
      <c r="M3" s="291"/>
      <c r="O3" s="104" t="s">
        <v>75</v>
      </c>
      <c r="P3" s="104" t="s">
        <v>76</v>
      </c>
    </row>
    <row r="4" spans="1:18" ht="14.45" x14ac:dyDescent="0.3">
      <c r="A4" s="5" t="s">
        <v>62</v>
      </c>
      <c r="B4" s="37">
        <v>5991499</v>
      </c>
      <c r="C4" s="37">
        <v>4793199.2</v>
      </c>
      <c r="D4" s="37">
        <v>7189798.7999999998</v>
      </c>
      <c r="E4" s="49">
        <v>7189798.7999999998</v>
      </c>
      <c r="F4" s="44"/>
      <c r="G4" s="38">
        <v>0.20000003338062811</v>
      </c>
      <c r="I4" s="5" t="s">
        <v>62</v>
      </c>
      <c r="J4" s="94">
        <v>2767707.5889119492</v>
      </c>
      <c r="K4" s="88">
        <v>3312421.3159430088</v>
      </c>
      <c r="L4" s="145">
        <f>K4-J4</f>
        <v>544713.72703105956</v>
      </c>
      <c r="M4" s="96">
        <f>0.34*K4</f>
        <v>1126223.247420623</v>
      </c>
      <c r="N4" s="186">
        <f>L4/L$12</f>
        <v>0.30678018963788029</v>
      </c>
      <c r="O4" s="37">
        <f>B4-C4</f>
        <v>1198299.7999999998</v>
      </c>
      <c r="P4" s="37">
        <f>D4-B4</f>
        <v>1198299.7999999998</v>
      </c>
      <c r="R4" s="64" t="s">
        <v>80</v>
      </c>
    </row>
    <row r="5" spans="1:18" ht="14.45" x14ac:dyDescent="0.3">
      <c r="A5" s="7" t="s">
        <v>63</v>
      </c>
      <c r="B5" s="39">
        <v>15610435</v>
      </c>
      <c r="C5" s="39">
        <v>12488348</v>
      </c>
      <c r="D5" s="39">
        <v>18732522</v>
      </c>
      <c r="E5" s="50">
        <v>18732522</v>
      </c>
      <c r="F5" s="44"/>
      <c r="G5" s="40">
        <v>0.2</v>
      </c>
      <c r="I5" s="7" t="s">
        <v>63</v>
      </c>
      <c r="J5" s="87">
        <v>3281566.9987801639</v>
      </c>
      <c r="K5" s="91">
        <v>3938662.5298482887</v>
      </c>
      <c r="L5" s="146">
        <f t="shared" ref="L5:L11" si="0">K5-J5</f>
        <v>657095.53106812481</v>
      </c>
      <c r="M5" s="92">
        <f t="shared" ref="M5:M11" si="1">0.34*K5</f>
        <v>1339145.2601484184</v>
      </c>
      <c r="N5" s="186">
        <f t="shared" ref="N5:N11" si="2">L5/L$12</f>
        <v>0.37007308908847947</v>
      </c>
      <c r="O5" s="39">
        <f t="shared" ref="O5:O12" si="3">B5-C5</f>
        <v>3122087</v>
      </c>
      <c r="P5" s="39">
        <f t="shared" ref="P5:P12" si="4">D5-B5</f>
        <v>3122087</v>
      </c>
      <c r="R5" s="64" t="s">
        <v>81</v>
      </c>
    </row>
    <row r="6" spans="1:18" ht="14.45" x14ac:dyDescent="0.3">
      <c r="A6" s="7" t="s">
        <v>144</v>
      </c>
      <c r="B6" s="39">
        <v>22954000</v>
      </c>
      <c r="C6" s="39">
        <v>22954000</v>
      </c>
      <c r="D6" s="39">
        <v>36811696</v>
      </c>
      <c r="E6" s="50">
        <v>33364081.59999875</v>
      </c>
      <c r="F6" s="44"/>
      <c r="G6" s="40">
        <v>0.48857610873921758</v>
      </c>
      <c r="I6" s="7" t="s">
        <v>144</v>
      </c>
      <c r="J6" s="87">
        <v>2018049.0519838764</v>
      </c>
      <c r="K6" s="91">
        <v>2757449.6901896722</v>
      </c>
      <c r="L6" s="146">
        <f t="shared" si="0"/>
        <v>739400.63820579578</v>
      </c>
      <c r="M6" s="92">
        <f t="shared" si="1"/>
        <v>937532.89466448862</v>
      </c>
      <c r="N6" s="186">
        <f t="shared" si="2"/>
        <v>0.41642693538033365</v>
      </c>
      <c r="O6" s="39">
        <f t="shared" si="3"/>
        <v>0</v>
      </c>
      <c r="P6" s="39">
        <f t="shared" si="4"/>
        <v>13857696</v>
      </c>
      <c r="R6" s="64" t="s">
        <v>79</v>
      </c>
    </row>
    <row r="7" spans="1:18" ht="14.45" x14ac:dyDescent="0.3">
      <c r="A7" s="9" t="s">
        <v>26</v>
      </c>
      <c r="B7" s="41">
        <v>7818984</v>
      </c>
      <c r="C7" s="41">
        <v>6255187.2000000002</v>
      </c>
      <c r="D7" s="41">
        <v>8600882.4000000004</v>
      </c>
      <c r="E7" s="51">
        <v>6255187.2000000002</v>
      </c>
      <c r="F7" s="46"/>
      <c r="G7" s="42">
        <v>-0.20000002557877083</v>
      </c>
      <c r="I7" s="9" t="s">
        <v>26</v>
      </c>
      <c r="J7" s="93">
        <v>478349.49312681123</v>
      </c>
      <c r="K7" s="95">
        <v>391340.25142413448</v>
      </c>
      <c r="L7" s="147">
        <f t="shared" si="0"/>
        <v>-87009.241702676751</v>
      </c>
      <c r="M7" s="90">
        <f t="shared" si="1"/>
        <v>133055.68548420572</v>
      </c>
      <c r="N7" s="186">
        <f t="shared" si="2"/>
        <v>-4.9003192585732866E-2</v>
      </c>
      <c r="O7" s="41">
        <f t="shared" si="3"/>
        <v>1563796.7999999998</v>
      </c>
      <c r="P7" s="41">
        <f t="shared" si="4"/>
        <v>781898.40000000037</v>
      </c>
    </row>
    <row r="8" spans="1:18" ht="14.45" x14ac:dyDescent="0.3">
      <c r="A8" s="7" t="s">
        <v>64</v>
      </c>
      <c r="B8" s="39">
        <v>3804716</v>
      </c>
      <c r="C8" s="39">
        <v>3424244.4</v>
      </c>
      <c r="D8" s="39">
        <v>4185187.6000000006</v>
      </c>
      <c r="E8" s="50">
        <v>3424244.4</v>
      </c>
      <c r="F8" s="45"/>
      <c r="G8" s="40">
        <v>-0.1000001051326827</v>
      </c>
      <c r="I8" s="7" t="s">
        <v>64</v>
      </c>
      <c r="J8" s="102">
        <v>190388.11981583459</v>
      </c>
      <c r="K8" s="99">
        <v>171348.65624802854</v>
      </c>
      <c r="L8" s="146">
        <f t="shared" si="0"/>
        <v>-19039.463567806059</v>
      </c>
      <c r="M8" s="100">
        <f t="shared" si="1"/>
        <v>58258.543124329706</v>
      </c>
      <c r="N8" s="186">
        <f t="shared" si="2"/>
        <v>-1.0722935652403717E-2</v>
      </c>
      <c r="O8" s="39">
        <f t="shared" si="3"/>
        <v>380471.60000000009</v>
      </c>
      <c r="P8" s="39">
        <f t="shared" si="4"/>
        <v>380471.60000000056</v>
      </c>
    </row>
    <row r="9" spans="1:18" ht="14.45" x14ac:dyDescent="0.3">
      <c r="A9" s="7" t="s">
        <v>72</v>
      </c>
      <c r="B9" s="39">
        <v>3535945</v>
      </c>
      <c r="C9" s="39">
        <v>3535945</v>
      </c>
      <c r="D9" s="39">
        <v>5000000</v>
      </c>
      <c r="E9" s="50">
        <v>3535945</v>
      </c>
      <c r="F9" s="69"/>
      <c r="G9" s="40">
        <v>0</v>
      </c>
      <c r="I9" s="7" t="s">
        <v>72</v>
      </c>
      <c r="J9" s="102">
        <v>105223.86</v>
      </c>
      <c r="K9" s="99">
        <v>105223.86</v>
      </c>
      <c r="L9" s="146">
        <f t="shared" si="0"/>
        <v>0</v>
      </c>
      <c r="M9" s="100">
        <f t="shared" si="1"/>
        <v>35776.112400000005</v>
      </c>
      <c r="N9" s="186">
        <f t="shared" si="2"/>
        <v>0</v>
      </c>
      <c r="O9" s="39">
        <f t="shared" si="3"/>
        <v>0</v>
      </c>
      <c r="P9" s="39">
        <f t="shared" si="4"/>
        <v>1464055</v>
      </c>
    </row>
    <row r="10" spans="1:18" ht="14.45" x14ac:dyDescent="0.3">
      <c r="A10" s="7" t="s">
        <v>66</v>
      </c>
      <c r="B10" s="39">
        <v>14895305</v>
      </c>
      <c r="C10" s="39">
        <v>12000000</v>
      </c>
      <c r="D10" s="39">
        <v>16500000</v>
      </c>
      <c r="E10" s="50">
        <v>12000000</v>
      </c>
      <c r="F10" s="46"/>
      <c r="G10" s="40">
        <v>-0.2356687898089172</v>
      </c>
      <c r="I10" s="7" t="s">
        <v>66</v>
      </c>
      <c r="J10" s="102">
        <v>357940.73004525341</v>
      </c>
      <c r="K10" s="99">
        <v>298362.66148692742</v>
      </c>
      <c r="L10" s="146">
        <f t="shared" si="0"/>
        <v>-59578.068558325991</v>
      </c>
      <c r="M10" s="100">
        <f>0.54*K10</f>
        <v>161115.83720294081</v>
      </c>
      <c r="N10" s="186">
        <f t="shared" si="2"/>
        <v>-3.3554085868556981E-2</v>
      </c>
      <c r="O10" s="39">
        <f t="shared" si="3"/>
        <v>2895305</v>
      </c>
      <c r="P10" s="39">
        <f t="shared" si="4"/>
        <v>1604695</v>
      </c>
    </row>
    <row r="11" spans="1:18" ht="14.45" x14ac:dyDescent="0.3">
      <c r="A11" s="7" t="s">
        <v>22</v>
      </c>
      <c r="B11" s="39">
        <v>4440000</v>
      </c>
      <c r="C11" s="39">
        <v>4440000</v>
      </c>
      <c r="D11" s="39">
        <v>6253528.5509214355</v>
      </c>
      <c r="E11" s="50">
        <v>4440000</v>
      </c>
      <c r="F11" s="69"/>
      <c r="G11" s="40">
        <v>0</v>
      </c>
      <c r="I11" s="7" t="s">
        <v>22</v>
      </c>
      <c r="J11" s="101">
        <v>32484.644891698143</v>
      </c>
      <c r="K11" s="103">
        <v>32484.644891698143</v>
      </c>
      <c r="L11" s="147">
        <f t="shared" si="0"/>
        <v>0</v>
      </c>
      <c r="M11" s="98">
        <f t="shared" si="1"/>
        <v>11044.77926317737</v>
      </c>
      <c r="N11" s="186">
        <f t="shared" si="2"/>
        <v>0</v>
      </c>
      <c r="O11" s="39">
        <f t="shared" si="3"/>
        <v>0</v>
      </c>
      <c r="P11" s="39">
        <f t="shared" si="4"/>
        <v>1813528.5509214355</v>
      </c>
    </row>
    <row r="12" spans="1:18" ht="15.75" thickBot="1" x14ac:dyDescent="0.3">
      <c r="A12" s="56" t="s">
        <v>16</v>
      </c>
      <c r="B12" s="35">
        <f>SUM(B4:B11)</f>
        <v>79050884</v>
      </c>
      <c r="C12" s="35">
        <v>88941779</v>
      </c>
      <c r="D12" s="35">
        <v>88941779</v>
      </c>
      <c r="E12" s="52">
        <f>SUM(E4:E11)</f>
        <v>88941778.999998763</v>
      </c>
      <c r="F12" s="44"/>
      <c r="G12" s="36">
        <f t="shared" ref="G12" si="5">(E12-B12)/B12</f>
        <v>0.12512061218693979</v>
      </c>
      <c r="I12" s="81" t="s">
        <v>92</v>
      </c>
      <c r="J12" s="89">
        <f>SUM(J4:J11)</f>
        <v>9231710.4875555858</v>
      </c>
      <c r="K12" s="97">
        <f>SUM(K4:K11)</f>
        <v>11007293.610031758</v>
      </c>
      <c r="L12" s="89">
        <f>K12-J12</f>
        <v>1775583.1224761717</v>
      </c>
      <c r="M12" s="89">
        <f>SUM(M4:M11)</f>
        <v>3802152.3597081834</v>
      </c>
      <c r="O12" s="35">
        <f t="shared" si="3"/>
        <v>-9890895</v>
      </c>
      <c r="P12" s="35">
        <f t="shared" si="4"/>
        <v>9890895</v>
      </c>
    </row>
    <row r="13" spans="1:18" ht="15.75" thickTop="1" x14ac:dyDescent="0.25">
      <c r="A13" s="299" t="s">
        <v>78</v>
      </c>
      <c r="B13" s="299"/>
      <c r="C13" s="299"/>
      <c r="D13" s="299"/>
      <c r="E13" s="299"/>
      <c r="F13" s="299"/>
      <c r="G13" s="299"/>
      <c r="I13" s="295" t="s">
        <v>95</v>
      </c>
      <c r="J13" s="294" t="s">
        <v>91</v>
      </c>
      <c r="K13" s="294"/>
      <c r="L13" s="294"/>
      <c r="M13" s="80" t="s">
        <v>90</v>
      </c>
    </row>
    <row r="14" spans="1:18" ht="30" customHeight="1" x14ac:dyDescent="0.25">
      <c r="A14" s="82"/>
      <c r="B14" s="82"/>
      <c r="C14" s="82"/>
      <c r="D14" s="82"/>
      <c r="E14" s="82"/>
      <c r="F14" s="82"/>
      <c r="G14" s="82"/>
      <c r="I14" s="296"/>
      <c r="J14" s="83">
        <v>827170348.29772973</v>
      </c>
      <c r="K14" s="84">
        <v>984362460.20357931</v>
      </c>
      <c r="L14" s="83">
        <v>157192111.90584958</v>
      </c>
      <c r="M14" s="83">
        <v>340907678.31315726</v>
      </c>
    </row>
    <row r="15" spans="1:18" x14ac:dyDescent="0.25">
      <c r="A15" s="82"/>
      <c r="B15" s="82"/>
      <c r="C15" s="82"/>
      <c r="D15" s="82"/>
      <c r="E15" s="82"/>
      <c r="F15" s="82"/>
      <c r="G15" s="82"/>
      <c r="I15" s="209"/>
      <c r="J15" s="209"/>
      <c r="K15" s="210"/>
      <c r="L15" s="85">
        <f>L14/J14</f>
        <v>0.19003596082637891</v>
      </c>
    </row>
  </sheetData>
  <mergeCells count="10">
    <mergeCell ref="M2:M3"/>
    <mergeCell ref="E3:F3"/>
    <mergeCell ref="A13:G13"/>
    <mergeCell ref="I13:I14"/>
    <mergeCell ref="J13:L13"/>
    <mergeCell ref="I15:K15"/>
    <mergeCell ref="A2:A3"/>
    <mergeCell ref="B2:G2"/>
    <mergeCell ref="I2:I3"/>
    <mergeCell ref="J2:L2"/>
  </mergeCells>
  <pageMargins left="0.7" right="0.7" top="0.75" bottom="0.75" header="0.3" footer="0.3"/>
  <pageSetup orientation="portrait"/>
  <ignoredErrors>
    <ignoredError sqref="M10" formula="1"/>
  </ignoredError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C80"/>
  </sheetPr>
  <dimension ref="A2:G24"/>
  <sheetViews>
    <sheetView workbookViewId="0">
      <selection activeCell="I17" sqref="I17"/>
    </sheetView>
  </sheetViews>
  <sheetFormatPr defaultColWidth="8.85546875" defaultRowHeight="15" x14ac:dyDescent="0.25"/>
  <cols>
    <col min="1" max="1" width="14.5703125" style="152" customWidth="1"/>
    <col min="2" max="2" width="8.7109375" style="152" customWidth="1"/>
    <col min="3" max="3" width="9.5703125" style="152" customWidth="1"/>
    <col min="4" max="4" width="0.7109375" style="152" customWidth="1"/>
    <col min="5" max="5" width="9.5703125" style="152" customWidth="1"/>
    <col min="6" max="6" width="0.7109375" style="152" customWidth="1"/>
    <col min="7" max="7" width="36.28515625" style="152" customWidth="1"/>
    <col min="8" max="16384" width="8.85546875" style="152"/>
  </cols>
  <sheetData>
    <row r="2" spans="1:7" ht="14.45" x14ac:dyDescent="0.3">
      <c r="A2" s="300" t="s">
        <v>125</v>
      </c>
      <c r="B2" s="300"/>
      <c r="C2" s="300"/>
      <c r="D2" s="300"/>
      <c r="E2" s="300"/>
      <c r="F2" s="300"/>
      <c r="G2" s="300"/>
    </row>
    <row r="3" spans="1:7" ht="21.6" customHeight="1" x14ac:dyDescent="0.25">
      <c r="A3" s="301" t="s">
        <v>120</v>
      </c>
      <c r="B3" s="302" t="s">
        <v>118</v>
      </c>
      <c r="C3" s="303"/>
      <c r="D3" s="303"/>
      <c r="E3" s="303"/>
      <c r="F3" s="304"/>
      <c r="G3" s="307" t="s">
        <v>82</v>
      </c>
    </row>
    <row r="4" spans="1:7" ht="56.45" customHeight="1" x14ac:dyDescent="0.25">
      <c r="A4" s="296"/>
      <c r="B4" s="106" t="s">
        <v>119</v>
      </c>
      <c r="C4" s="305" t="s">
        <v>127</v>
      </c>
      <c r="D4" s="306"/>
      <c r="E4" s="305" t="s">
        <v>128</v>
      </c>
      <c r="F4" s="306"/>
      <c r="G4" s="308"/>
    </row>
    <row r="5" spans="1:7" ht="14.45" x14ac:dyDescent="0.3">
      <c r="A5" s="5" t="s">
        <v>62</v>
      </c>
      <c r="B5" s="60">
        <v>7189798.7999999998</v>
      </c>
      <c r="C5" s="60">
        <v>7189798.7999999998</v>
      </c>
      <c r="D5" s="69"/>
      <c r="E5" s="60">
        <v>7189798.7999999998</v>
      </c>
      <c r="F5" s="69"/>
      <c r="G5" s="157" t="s">
        <v>123</v>
      </c>
    </row>
    <row r="6" spans="1:7" ht="14.45" x14ac:dyDescent="0.3">
      <c r="A6" s="7" t="s">
        <v>63</v>
      </c>
      <c r="B6" s="61">
        <v>18732522</v>
      </c>
      <c r="C6" s="61">
        <v>18732522</v>
      </c>
      <c r="D6" s="69"/>
      <c r="E6" s="61">
        <v>18732522</v>
      </c>
      <c r="F6" s="69"/>
      <c r="G6" s="156" t="s">
        <v>122</v>
      </c>
    </row>
    <row r="7" spans="1:7" ht="14.45" x14ac:dyDescent="0.3">
      <c r="A7" s="7" t="s">
        <v>144</v>
      </c>
      <c r="B7" s="61">
        <v>33364081.600381546</v>
      </c>
      <c r="C7" s="39">
        <v>30257443.217211075</v>
      </c>
      <c r="D7" s="149"/>
      <c r="E7" s="61">
        <v>33364081.850999106</v>
      </c>
      <c r="F7" s="155"/>
      <c r="G7" s="150" t="s">
        <v>180</v>
      </c>
    </row>
    <row r="8" spans="1:7" ht="14.45" x14ac:dyDescent="0.3">
      <c r="A8" s="9" t="s">
        <v>26</v>
      </c>
      <c r="B8" s="62">
        <v>6255187.2000000002</v>
      </c>
      <c r="C8" s="41">
        <v>6255187.2000000002</v>
      </c>
      <c r="D8" s="69"/>
      <c r="E8" s="62">
        <v>8600882.4000000004</v>
      </c>
      <c r="F8" s="67"/>
      <c r="G8" s="154" t="s">
        <v>130</v>
      </c>
    </row>
    <row r="9" spans="1:7" ht="14.45" x14ac:dyDescent="0.3">
      <c r="A9" s="7" t="s">
        <v>64</v>
      </c>
      <c r="B9" s="61">
        <v>3424244.4</v>
      </c>
      <c r="C9" s="39">
        <v>3424244.4</v>
      </c>
      <c r="D9" s="155"/>
      <c r="E9" s="61">
        <v>4185188</v>
      </c>
      <c r="F9" s="67"/>
      <c r="G9" s="150" t="s">
        <v>130</v>
      </c>
    </row>
    <row r="10" spans="1:7" x14ac:dyDescent="0.25">
      <c r="A10" s="7" t="s">
        <v>72</v>
      </c>
      <c r="B10" s="61">
        <v>3535945</v>
      </c>
      <c r="C10" s="39">
        <v>3535945</v>
      </c>
      <c r="D10" s="69"/>
      <c r="E10" s="61">
        <v>3535945</v>
      </c>
      <c r="F10" s="68"/>
      <c r="G10" s="156" t="s">
        <v>121</v>
      </c>
    </row>
    <row r="11" spans="1:7" x14ac:dyDescent="0.25">
      <c r="A11" s="7" t="s">
        <v>66</v>
      </c>
      <c r="B11" s="61">
        <v>12000000</v>
      </c>
      <c r="C11" s="39">
        <v>12000000</v>
      </c>
      <c r="D11" s="69"/>
      <c r="E11" s="61">
        <v>12000000</v>
      </c>
      <c r="F11" s="69"/>
      <c r="G11" s="156" t="s">
        <v>121</v>
      </c>
    </row>
    <row r="12" spans="1:7" x14ac:dyDescent="0.25">
      <c r="A12" s="9" t="s">
        <v>22</v>
      </c>
      <c r="B12" s="62">
        <v>4440000</v>
      </c>
      <c r="C12" s="41">
        <v>4440000</v>
      </c>
      <c r="D12" s="69"/>
      <c r="E12" s="62">
        <v>4440000</v>
      </c>
      <c r="F12" s="69"/>
      <c r="G12" s="151" t="s">
        <v>121</v>
      </c>
    </row>
    <row r="13" spans="1:7" x14ac:dyDescent="0.25">
      <c r="G13" s="63"/>
    </row>
    <row r="14" spans="1:7" x14ac:dyDescent="0.25">
      <c r="A14" s="300" t="s">
        <v>117</v>
      </c>
      <c r="B14" s="300"/>
      <c r="C14" s="300"/>
      <c r="D14" s="300"/>
      <c r="E14" s="300"/>
      <c r="F14" s="300"/>
      <c r="G14" s="300"/>
    </row>
    <row r="15" spans="1:7" x14ac:dyDescent="0.25">
      <c r="A15" s="301" t="s">
        <v>120</v>
      </c>
      <c r="B15" s="302" t="s">
        <v>118</v>
      </c>
      <c r="C15" s="303"/>
      <c r="D15" s="303"/>
      <c r="E15" s="303"/>
      <c r="F15" s="304"/>
      <c r="G15" s="307" t="s">
        <v>82</v>
      </c>
    </row>
    <row r="16" spans="1:7" ht="59.45" customHeight="1" x14ac:dyDescent="0.25">
      <c r="A16" s="296"/>
      <c r="B16" s="106" t="s">
        <v>119</v>
      </c>
      <c r="C16" s="305" t="s">
        <v>129</v>
      </c>
      <c r="D16" s="306"/>
      <c r="E16" s="305" t="s">
        <v>126</v>
      </c>
      <c r="F16" s="306"/>
      <c r="G16" s="308"/>
    </row>
    <row r="17" spans="1:7" x14ac:dyDescent="0.25">
      <c r="A17" s="5" t="s">
        <v>62</v>
      </c>
      <c r="B17" s="60">
        <v>7189798.7999999998</v>
      </c>
      <c r="C17" s="37">
        <v>7189798.7999999998</v>
      </c>
      <c r="D17" s="69"/>
      <c r="E17" s="60">
        <v>7189798.7999999998</v>
      </c>
      <c r="F17" s="69"/>
      <c r="G17" s="157" t="s">
        <v>123</v>
      </c>
    </row>
    <row r="18" spans="1:7" x14ac:dyDescent="0.25">
      <c r="A18" s="7" t="s">
        <v>63</v>
      </c>
      <c r="B18" s="61">
        <v>18732522</v>
      </c>
      <c r="C18" s="39">
        <v>18732522</v>
      </c>
      <c r="D18" s="69"/>
      <c r="E18" s="61">
        <v>18732522</v>
      </c>
      <c r="F18" s="69"/>
      <c r="G18" s="156" t="s">
        <v>122</v>
      </c>
    </row>
    <row r="19" spans="1:7" x14ac:dyDescent="0.25">
      <c r="A19" s="7" t="s">
        <v>144</v>
      </c>
      <c r="B19" s="61">
        <v>33364081.600381546</v>
      </c>
      <c r="C19" s="39">
        <v>30257443.563569181</v>
      </c>
      <c r="D19" s="149"/>
      <c r="E19" s="61">
        <v>33364081.850999106</v>
      </c>
      <c r="F19" s="155"/>
      <c r="G19" s="150" t="s">
        <v>181</v>
      </c>
    </row>
    <row r="20" spans="1:7" x14ac:dyDescent="0.25">
      <c r="A20" s="9" t="s">
        <v>26</v>
      </c>
      <c r="B20" s="62">
        <v>6255187.2000000002</v>
      </c>
      <c r="C20" s="41">
        <v>6255187.2000000002</v>
      </c>
      <c r="D20" s="69"/>
      <c r="E20" s="62">
        <v>8600882.4000000004</v>
      </c>
      <c r="F20" s="67"/>
      <c r="G20" s="154" t="s">
        <v>124</v>
      </c>
    </row>
    <row r="21" spans="1:7" x14ac:dyDescent="0.25">
      <c r="A21" s="7" t="s">
        <v>64</v>
      </c>
      <c r="B21" s="61">
        <v>3424244.4</v>
      </c>
      <c r="C21" s="39">
        <v>3424244.4</v>
      </c>
      <c r="D21" s="155"/>
      <c r="E21" s="61">
        <v>4185188</v>
      </c>
      <c r="F21" s="67"/>
      <c r="G21" s="150" t="s">
        <v>124</v>
      </c>
    </row>
    <row r="22" spans="1:7" x14ac:dyDescent="0.25">
      <c r="A22" s="7" t="s">
        <v>72</v>
      </c>
      <c r="B22" s="61">
        <v>3535945</v>
      </c>
      <c r="C22" s="39">
        <v>3535945</v>
      </c>
      <c r="D22" s="69"/>
      <c r="E22" s="61">
        <v>3535945</v>
      </c>
      <c r="F22" s="68"/>
      <c r="G22" s="156" t="s">
        <v>121</v>
      </c>
    </row>
    <row r="23" spans="1:7" x14ac:dyDescent="0.25">
      <c r="A23" s="7" t="s">
        <v>66</v>
      </c>
      <c r="B23" s="61">
        <v>12000000</v>
      </c>
      <c r="C23" s="39">
        <v>12000000</v>
      </c>
      <c r="D23" s="69"/>
      <c r="E23" s="61">
        <v>12000000</v>
      </c>
      <c r="F23" s="69"/>
      <c r="G23" s="156" t="s">
        <v>121</v>
      </c>
    </row>
    <row r="24" spans="1:7" x14ac:dyDescent="0.25">
      <c r="A24" s="9" t="s">
        <v>22</v>
      </c>
      <c r="B24" s="62">
        <v>4440000</v>
      </c>
      <c r="C24" s="41">
        <v>4440000</v>
      </c>
      <c r="D24" s="69"/>
      <c r="E24" s="62">
        <v>4440000</v>
      </c>
      <c r="F24" s="69"/>
      <c r="G24" s="151" t="s">
        <v>121</v>
      </c>
    </row>
  </sheetData>
  <mergeCells count="12">
    <mergeCell ref="A3:A4"/>
    <mergeCell ref="B3:F3"/>
    <mergeCell ref="C4:D4"/>
    <mergeCell ref="E4:F4"/>
    <mergeCell ref="A2:G2"/>
    <mergeCell ref="G3:G4"/>
    <mergeCell ref="A14:G14"/>
    <mergeCell ref="A15:A16"/>
    <mergeCell ref="B15:F15"/>
    <mergeCell ref="C16:D16"/>
    <mergeCell ref="E16:F16"/>
    <mergeCell ref="G15:G16"/>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Expense Cat</vt:lpstr>
      <vt:lpstr>Response Stats</vt:lpstr>
      <vt:lpstr>PRC Methods</vt:lpstr>
      <vt:lpstr>TEMP2</vt:lpstr>
      <vt:lpstr>STD20</vt:lpstr>
      <vt:lpstr>STD30</vt:lpstr>
      <vt:lpstr>Temp</vt:lpstr>
      <vt:lpstr>Custom Case</vt:lpstr>
      <vt:lpstr>Custom - Sensitivity</vt:lpstr>
      <vt:lpstr>Main Cases</vt:lpstr>
      <vt:lpstr>Charts - Idvl</vt:lpstr>
      <vt:lpstr>Charts - Contrib</vt:lpstr>
      <vt:lpstr>Graph</vt:lpstr>
      <vt:lpstr>'Charts - Contrib'!Print_Area</vt:lpstr>
      <vt:lpstr>'Custom Case'!Print_Area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2013-10-14T13:51:04Z</dcterms:modified>
</cp:coreProperties>
</file>