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68" windowWidth="15576" windowHeight="9612"/>
  </bookViews>
  <sheets>
    <sheet name="Model" sheetId="1" r:id="rId1"/>
    <sheet name="PharmaData" sheetId="3" r:id="rId2"/>
    <sheet name="Discs.ProductCost.Royalty"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xlnm._FilterDatabase" localSheetId="1" hidden="1">PharmaData!$B$4:$N$24</definedName>
    <definedName name="Adherence">[1]Adherence!$C$31:$F$51</definedName>
    <definedName name="AdherenceRefill">[1]Adherence!$C$61:$F$82</definedName>
    <definedName name="GenericArray" localSheetId="1">[2]erosion!$A$5:$BI$129</definedName>
    <definedName name="GenericArray">[3]erosion!$A$5:$BI$129</definedName>
    <definedName name="GenericArrayList" localSheetId="1">[2]erosion!$A$5:$A$129</definedName>
    <definedName name="GenericArrayList">[3]erosion!$A$5:$A$129</definedName>
    <definedName name="Johnsojk_LastSheet">"ResultsChart"</definedName>
    <definedName name="Mijamie_LastSheet">"Raw TRXs"</definedName>
    <definedName name="NameChangedArray" localSheetId="1">[4]RawData!$A$5:$BI$147</definedName>
    <definedName name="NameChangedArray">[5]RawData!$A$5:$BI$147</definedName>
    <definedName name="PatientRetention">[1]Adherence!$C$87:$F$106</definedName>
    <definedName name="PharmaFin">PharmaData!$B$5:$M$38</definedName>
    <definedName name="Price" localSheetId="1">PharmaData!$B$5:$E$38</definedName>
    <definedName name="Price">[1]Inflation!#REF!</definedName>
    <definedName name="Price2013">[1]Inflation!$AE$10:$AN$55</definedName>
    <definedName name="_xlnm.Print_Area" localSheetId="1">PharmaData!$A$1:$O$61</definedName>
    <definedName name="Retrieve1" localSheetId="1">#REF!</definedName>
    <definedName name="Retrieve1">#REF!</definedName>
    <definedName name="Shortpro">PharmaData!$B$43:$M$59</definedName>
  </definedNames>
  <calcPr calcId="145621"/>
</workbook>
</file>

<file path=xl/calcChain.xml><?xml version="1.0" encoding="utf-8"?>
<calcChain xmlns="http://schemas.openxmlformats.org/spreadsheetml/2006/main">
  <c r="H12" i="1" l="1"/>
  <c r="Y42" i="1" l="1"/>
  <c r="AK42" i="1"/>
  <c r="AL42" i="1" s="1"/>
  <c r="AJ42" i="1"/>
  <c r="I42" i="1"/>
  <c r="AK37" i="1"/>
  <c r="AI37" i="1"/>
  <c r="AK50" i="1" l="1"/>
  <c r="AK49" i="1"/>
  <c r="AI50" i="1"/>
  <c r="AI49" i="1"/>
  <c r="H50" i="1"/>
  <c r="H49" i="1"/>
  <c r="AY7" i="1" l="1"/>
  <c r="AY8" i="1"/>
  <c r="AY9" i="1"/>
  <c r="AY10" i="1"/>
  <c r="AY11" i="1"/>
  <c r="AY18" i="1"/>
  <c r="AY19" i="1"/>
  <c r="AY20" i="1"/>
  <c r="AY29" i="1"/>
  <c r="AY30" i="1"/>
  <c r="AY34" i="1"/>
  <c r="AY41" i="1"/>
  <c r="AY43" i="1"/>
  <c r="AY44" i="1"/>
  <c r="AY45" i="1"/>
  <c r="AY48" i="1"/>
  <c r="AY54" i="1"/>
  <c r="AY55" i="1"/>
  <c r="AY56" i="1"/>
  <c r="AY57" i="1"/>
  <c r="AY60" i="1"/>
  <c r="AY61" i="1"/>
  <c r="AY62" i="1"/>
  <c r="AY63" i="1"/>
  <c r="AY66" i="1"/>
  <c r="AY67" i="1"/>
  <c r="AY68" i="1"/>
  <c r="AY69" i="1"/>
  <c r="AY70" i="1"/>
  <c r="AY73" i="1"/>
  <c r="AY76" i="1"/>
  <c r="AY79" i="1"/>
  <c r="AY6" i="1"/>
  <c r="AL12" i="1" l="1"/>
  <c r="AJ12" i="1"/>
  <c r="AD12" i="1" l="1"/>
  <c r="AE12" i="1" s="1"/>
  <c r="AK56" i="1" l="1"/>
  <c r="AL56" i="1" s="1"/>
  <c r="AI56" i="1"/>
  <c r="AJ56" i="1" s="1"/>
  <c r="M5" i="3"/>
  <c r="AK55" i="1"/>
  <c r="AI55" i="1"/>
  <c r="AX7" i="1"/>
  <c r="AX8" i="1"/>
  <c r="AX9" i="1"/>
  <c r="AX10" i="1"/>
  <c r="AX11" i="1"/>
  <c r="AX12" i="1"/>
  <c r="AX18" i="1"/>
  <c r="AX19" i="1"/>
  <c r="AX20" i="1"/>
  <c r="AX29" i="1"/>
  <c r="AX30" i="1"/>
  <c r="AX34" i="1"/>
  <c r="AX37" i="1"/>
  <c r="AX41" i="1"/>
  <c r="AX42" i="1"/>
  <c r="AX43" i="1"/>
  <c r="AX44" i="1"/>
  <c r="AX45" i="1"/>
  <c r="AX48" i="1"/>
  <c r="AX54" i="1"/>
  <c r="AX55" i="1"/>
  <c r="AX56" i="1"/>
  <c r="AX57" i="1"/>
  <c r="AX60" i="1"/>
  <c r="AX61" i="1"/>
  <c r="AX62" i="1"/>
  <c r="AX63" i="1"/>
  <c r="AX66" i="1"/>
  <c r="AX67" i="1"/>
  <c r="AX68" i="1"/>
  <c r="AX69" i="1"/>
  <c r="AX70" i="1"/>
  <c r="AX73" i="1"/>
  <c r="AX76" i="1"/>
  <c r="AX79" i="1"/>
  <c r="AX6" i="1"/>
  <c r="AL80" i="1"/>
  <c r="AJ80" i="1"/>
  <c r="AL55" i="1"/>
  <c r="AJ55" i="1"/>
  <c r="AL37" i="1"/>
  <c r="AJ37" i="1"/>
  <c r="AJ32" i="1"/>
  <c r="AL29" i="1"/>
  <c r="AL32" i="1"/>
  <c r="AJ29" i="1"/>
  <c r="C12" i="2"/>
  <c r="L12" i="2"/>
  <c r="W12" i="2"/>
  <c r="AC18" i="1" l="1"/>
  <c r="AB18" i="1"/>
  <c r="AE29" i="1" l="1"/>
  <c r="AE30" i="1"/>
  <c r="AD31" i="1"/>
  <c r="AD30" i="1"/>
  <c r="AD29" i="1"/>
  <c r="AU7" i="1" l="1"/>
  <c r="AU8" i="1"/>
  <c r="AU9" i="1"/>
  <c r="AU10" i="1"/>
  <c r="AU11" i="1"/>
  <c r="AU12" i="1"/>
  <c r="AU18" i="1"/>
  <c r="AU19" i="1"/>
  <c r="AU20" i="1"/>
  <c r="AU21" i="1"/>
  <c r="AU22" i="1"/>
  <c r="AU23" i="1"/>
  <c r="AU24" i="1"/>
  <c r="AU25" i="1"/>
  <c r="AU26" i="1"/>
  <c r="AU29" i="1"/>
  <c r="AU30" i="1"/>
  <c r="AU31" i="1"/>
  <c r="AU32" i="1"/>
  <c r="AU34" i="1"/>
  <c r="AU37" i="1"/>
  <c r="AU41" i="1"/>
  <c r="AU42" i="1"/>
  <c r="AU43" i="1"/>
  <c r="AU44" i="1"/>
  <c r="AU45" i="1"/>
  <c r="AU48" i="1"/>
  <c r="AU49" i="1"/>
  <c r="AU50" i="1"/>
  <c r="AU54" i="1"/>
  <c r="AU55" i="1"/>
  <c r="AU56" i="1"/>
  <c r="AU57" i="1"/>
  <c r="AU60" i="1"/>
  <c r="AU61" i="1"/>
  <c r="AU62" i="1"/>
  <c r="AU63" i="1"/>
  <c r="AU66" i="1"/>
  <c r="AU67" i="1"/>
  <c r="AU68" i="1"/>
  <c r="AU69" i="1"/>
  <c r="AU70" i="1"/>
  <c r="AU73" i="1"/>
  <c r="AU74" i="1"/>
  <c r="AU75" i="1"/>
  <c r="AU76" i="1"/>
  <c r="AU79" i="1"/>
  <c r="AU80" i="1"/>
  <c r="AU83" i="1"/>
  <c r="AU6" i="1"/>
  <c r="AP12" i="1"/>
  <c r="AT12" i="1" s="1"/>
  <c r="AP30" i="1"/>
  <c r="AP32" i="1"/>
  <c r="AP34" i="1"/>
  <c r="AT34" i="1" s="1"/>
  <c r="AV34" i="1" s="1"/>
  <c r="AP41" i="1"/>
  <c r="AP42" i="1"/>
  <c r="AP43" i="1"/>
  <c r="AP44" i="1"/>
  <c r="AP45" i="1"/>
  <c r="AP48" i="1"/>
  <c r="AP54" i="1"/>
  <c r="AP55" i="1"/>
  <c r="AP56" i="1"/>
  <c r="AP57" i="1"/>
  <c r="AP61" i="1"/>
  <c r="AP62" i="1"/>
  <c r="AP63" i="1"/>
  <c r="AP67" i="1"/>
  <c r="AP68" i="1"/>
  <c r="AP69" i="1"/>
  <c r="AP70" i="1"/>
  <c r="AP73" i="1"/>
  <c r="AP76" i="1"/>
  <c r="AP79" i="1"/>
  <c r="AP83" i="1"/>
  <c r="AD22" i="1"/>
  <c r="AE22" i="1" s="1"/>
  <c r="AD23" i="1"/>
  <c r="AE23" i="1" s="1"/>
  <c r="AD24" i="1"/>
  <c r="AE24" i="1" s="1"/>
  <c r="AD25" i="1"/>
  <c r="AE25" i="1" s="1"/>
  <c r="AD26" i="1"/>
  <c r="AE26" i="1" s="1"/>
  <c r="AE31" i="1"/>
  <c r="AD32" i="1"/>
  <c r="AE32" i="1" s="1"/>
  <c r="AD34" i="1"/>
  <c r="AE34" i="1" s="1"/>
  <c r="AD37" i="1"/>
  <c r="AE37" i="1" s="1"/>
  <c r="AD41" i="1"/>
  <c r="AE41" i="1" s="1"/>
  <c r="AD42" i="1"/>
  <c r="AE42" i="1" s="1"/>
  <c r="AD43" i="1"/>
  <c r="AE43" i="1" s="1"/>
  <c r="AD44" i="1"/>
  <c r="AE44" i="1" s="1"/>
  <c r="AD45" i="1"/>
  <c r="AE45" i="1" s="1"/>
  <c r="AD48" i="1"/>
  <c r="AE48" i="1" s="1"/>
  <c r="AD49" i="1"/>
  <c r="AE49" i="1" s="1"/>
  <c r="AD50" i="1"/>
  <c r="AE50" i="1" s="1"/>
  <c r="AD54" i="1"/>
  <c r="AE54" i="1" s="1"/>
  <c r="AD55" i="1"/>
  <c r="AE55" i="1" s="1"/>
  <c r="AD56" i="1"/>
  <c r="AE56" i="1" s="1"/>
  <c r="AD57" i="1"/>
  <c r="AE57" i="1" s="1"/>
  <c r="AD60" i="1"/>
  <c r="AE60" i="1" s="1"/>
  <c r="AD61" i="1"/>
  <c r="AE61" i="1" s="1"/>
  <c r="AD62" i="1"/>
  <c r="AE62" i="1" s="1"/>
  <c r="AD63" i="1"/>
  <c r="AE63" i="1" s="1"/>
  <c r="AD66" i="1"/>
  <c r="AE66" i="1" s="1"/>
  <c r="AD67" i="1"/>
  <c r="AE67" i="1" s="1"/>
  <c r="AD68" i="1"/>
  <c r="AE68" i="1" s="1"/>
  <c r="AD69" i="1"/>
  <c r="AE69" i="1" s="1"/>
  <c r="AD70" i="1"/>
  <c r="AE70" i="1" s="1"/>
  <c r="AD73" i="1"/>
  <c r="AE73" i="1" s="1"/>
  <c r="AD74" i="1"/>
  <c r="AE74" i="1" s="1"/>
  <c r="AD75" i="1"/>
  <c r="AE75" i="1" s="1"/>
  <c r="AD76" i="1"/>
  <c r="AE76" i="1" s="1"/>
  <c r="AD79" i="1"/>
  <c r="AE79" i="1" s="1"/>
  <c r="AD80" i="1"/>
  <c r="AE80" i="1" s="1"/>
  <c r="AD81" i="1"/>
  <c r="AE81" i="1" s="1"/>
  <c r="AD83" i="1"/>
  <c r="AE83" i="1" s="1"/>
  <c r="AE7" i="1"/>
  <c r="AD7" i="1"/>
  <c r="AD8" i="1"/>
  <c r="AE8" i="1" s="1"/>
  <c r="AD9" i="1"/>
  <c r="AE9" i="1" s="1"/>
  <c r="AD10" i="1"/>
  <c r="AE10" i="1" s="1"/>
  <c r="AD11" i="1"/>
  <c r="AE11" i="1" s="1"/>
  <c r="AD18" i="1"/>
  <c r="AE18" i="1" s="1"/>
  <c r="AD19" i="1"/>
  <c r="AE19" i="1" s="1"/>
  <c r="AD20" i="1"/>
  <c r="AE20" i="1" s="1"/>
  <c r="AD6" i="1"/>
  <c r="AE6" i="1" s="1"/>
  <c r="AD21" i="1"/>
  <c r="AT73" i="1" l="1"/>
  <c r="AV73" i="1" s="1"/>
  <c r="AT70" i="1"/>
  <c r="AV70" i="1" s="1"/>
  <c r="AT68" i="1"/>
  <c r="AV68" i="1" s="1"/>
  <c r="AT63" i="1"/>
  <c r="AV63" i="1" s="1"/>
  <c r="AT61" i="1"/>
  <c r="AV61" i="1" s="1"/>
  <c r="AT56" i="1"/>
  <c r="AV56" i="1" s="1"/>
  <c r="AT54" i="1"/>
  <c r="AT48" i="1"/>
  <c r="AV48" i="1" s="1"/>
  <c r="AT45" i="1"/>
  <c r="AV45" i="1" s="1"/>
  <c r="AT43" i="1"/>
  <c r="AV43" i="1" s="1"/>
  <c r="AT41" i="1"/>
  <c r="AT83" i="1"/>
  <c r="AV83" i="1" s="1"/>
  <c r="AT79" i="1"/>
  <c r="AV79" i="1" s="1"/>
  <c r="AT76" i="1"/>
  <c r="AT69" i="1"/>
  <c r="AT67" i="1"/>
  <c r="AT62" i="1"/>
  <c r="AV62" i="1" s="1"/>
  <c r="AT57" i="1"/>
  <c r="AT55" i="1"/>
  <c r="AV55" i="1" s="1"/>
  <c r="AT44" i="1"/>
  <c r="AV44" i="1" s="1"/>
  <c r="AT42" i="1"/>
  <c r="AT32" i="1"/>
  <c r="AV32" i="1" s="1"/>
  <c r="AT30" i="1"/>
  <c r="AV30" i="1" s="1"/>
  <c r="AV69" i="1"/>
  <c r="AV57" i="1"/>
  <c r="AV76" i="1"/>
  <c r="AV67" i="1"/>
  <c r="AV54" i="1"/>
  <c r="AV42" i="1"/>
  <c r="AY42" i="1" s="1"/>
  <c r="AV41" i="1"/>
  <c r="AV12" i="1"/>
  <c r="AY12" i="1" s="1"/>
  <c r="AN25" i="1" l="1"/>
  <c r="AN23" i="1" l="1"/>
  <c r="AI31" i="1" l="1"/>
  <c r="AK31" i="1" l="1"/>
  <c r="AL31" i="1" s="1"/>
  <c r="AJ31" i="1"/>
  <c r="AI21" i="1"/>
  <c r="C59" i="3"/>
  <c r="C58" i="3"/>
  <c r="C57" i="3"/>
  <c r="C56" i="3"/>
  <c r="C55" i="3"/>
  <c r="C54" i="3"/>
  <c r="C53" i="3"/>
  <c r="C52" i="3"/>
  <c r="C51" i="3"/>
  <c r="C50" i="3"/>
  <c r="C49" i="3"/>
  <c r="C48" i="3"/>
  <c r="C47" i="3"/>
  <c r="C46" i="3"/>
  <c r="C45" i="3"/>
  <c r="D38" i="3"/>
  <c r="D37" i="3"/>
  <c r="C36" i="3"/>
  <c r="C35" i="3"/>
  <c r="D34" i="3"/>
  <c r="D33" i="3"/>
  <c r="D32" i="3"/>
  <c r="D31" i="3"/>
  <c r="E30" i="3"/>
  <c r="D30" i="3" s="1"/>
  <c r="C30" i="3"/>
  <c r="D29" i="3"/>
  <c r="D28" i="3"/>
  <c r="C24" i="3"/>
  <c r="M23" i="3"/>
  <c r="F23" i="3"/>
  <c r="E23" i="3"/>
  <c r="M22" i="3"/>
  <c r="E22" i="3"/>
  <c r="M21" i="3"/>
  <c r="E21" i="3"/>
  <c r="C20" i="3"/>
  <c r="M20" i="3" s="1"/>
  <c r="C19" i="3"/>
  <c r="M18" i="3"/>
  <c r="C18" i="3"/>
  <c r="C17" i="3"/>
  <c r="E16" i="3"/>
  <c r="E15" i="3"/>
  <c r="E14" i="3"/>
  <c r="E13" i="3"/>
  <c r="M12" i="3"/>
  <c r="E12" i="3"/>
  <c r="C11" i="3"/>
  <c r="C10" i="3"/>
  <c r="C9" i="3"/>
  <c r="M8" i="3"/>
  <c r="E8" i="3"/>
  <c r="M7" i="3"/>
  <c r="E7" i="3"/>
  <c r="E6" i="3"/>
  <c r="E5" i="3"/>
  <c r="AB50" i="2"/>
  <c r="AA50" i="2"/>
  <c r="Z50" i="2"/>
  <c r="Y50" i="2"/>
  <c r="X50" i="2"/>
  <c r="W50" i="2"/>
  <c r="Q50" i="2"/>
  <c r="P50" i="2"/>
  <c r="O50" i="2"/>
  <c r="N50" i="2"/>
  <c r="M50" i="2"/>
  <c r="L50" i="2"/>
  <c r="H50" i="2"/>
  <c r="G50" i="2"/>
  <c r="F50" i="2"/>
  <c r="E50" i="2"/>
  <c r="D50" i="2"/>
  <c r="C50" i="2"/>
  <c r="AB49" i="2"/>
  <c r="AA49" i="2"/>
  <c r="Z49" i="2"/>
  <c r="Y49" i="2"/>
  <c r="X49" i="2"/>
  <c r="W49" i="2"/>
  <c r="Q49" i="2"/>
  <c r="P49" i="2"/>
  <c r="O49" i="2"/>
  <c r="N49" i="2"/>
  <c r="M49" i="2"/>
  <c r="L49" i="2"/>
  <c r="H49" i="2"/>
  <c r="G49" i="2"/>
  <c r="F49" i="2"/>
  <c r="E49" i="2"/>
  <c r="D49" i="2"/>
  <c r="C49" i="2"/>
  <c r="AB48" i="2"/>
  <c r="AA48" i="2"/>
  <c r="Z48" i="2"/>
  <c r="Y48" i="2"/>
  <c r="X48" i="2"/>
  <c r="W48" i="2"/>
  <c r="Q48" i="2"/>
  <c r="P48" i="2"/>
  <c r="O48" i="2"/>
  <c r="N48" i="2"/>
  <c r="M48" i="2"/>
  <c r="L48" i="2"/>
  <c r="H48" i="2"/>
  <c r="G48" i="2"/>
  <c r="F48" i="2"/>
  <c r="E48" i="2"/>
  <c r="D48" i="2"/>
  <c r="C48" i="2"/>
  <c r="AB47" i="2"/>
  <c r="AA47" i="2"/>
  <c r="Z47" i="2"/>
  <c r="Y47" i="2"/>
  <c r="X47" i="2"/>
  <c r="W47" i="2"/>
  <c r="Q47" i="2"/>
  <c r="P47" i="2"/>
  <c r="O47" i="2"/>
  <c r="N47" i="2"/>
  <c r="M47" i="2"/>
  <c r="L47" i="2"/>
  <c r="H47" i="2"/>
  <c r="G47" i="2"/>
  <c r="F47" i="2"/>
  <c r="E47" i="2"/>
  <c r="D47" i="2"/>
  <c r="C47" i="2"/>
  <c r="AB46" i="2"/>
  <c r="AA46" i="2"/>
  <c r="Z46" i="2"/>
  <c r="Y46" i="2"/>
  <c r="X46" i="2"/>
  <c r="W46" i="2"/>
  <c r="Q46" i="2"/>
  <c r="P46" i="2"/>
  <c r="O46" i="2"/>
  <c r="N46" i="2"/>
  <c r="M46" i="2"/>
  <c r="L46" i="2"/>
  <c r="H46" i="2"/>
  <c r="G46" i="2"/>
  <c r="F46" i="2"/>
  <c r="E46" i="2"/>
  <c r="D46" i="2"/>
  <c r="C46" i="2"/>
  <c r="AB45" i="2"/>
  <c r="AA45" i="2"/>
  <c r="Z45" i="2"/>
  <c r="Y45" i="2"/>
  <c r="X45" i="2"/>
  <c r="W45" i="2"/>
  <c r="Q45" i="2"/>
  <c r="P45" i="2"/>
  <c r="O45" i="2"/>
  <c r="N45" i="2"/>
  <c r="M45" i="2"/>
  <c r="L45" i="2"/>
  <c r="H45" i="2"/>
  <c r="G45" i="2"/>
  <c r="F45" i="2"/>
  <c r="E45" i="2"/>
  <c r="D45" i="2"/>
  <c r="C45" i="2"/>
  <c r="AB44" i="2"/>
  <c r="AA44" i="2"/>
  <c r="Z44" i="2"/>
  <c r="Y44" i="2"/>
  <c r="X44" i="2"/>
  <c r="W44" i="2"/>
  <c r="Q44" i="2"/>
  <c r="P44" i="2"/>
  <c r="O44" i="2"/>
  <c r="N44" i="2"/>
  <c r="M44" i="2"/>
  <c r="L44" i="2"/>
  <c r="H44" i="2"/>
  <c r="G44" i="2"/>
  <c r="F44" i="2"/>
  <c r="E44" i="2"/>
  <c r="D44" i="2"/>
  <c r="C44" i="2"/>
  <c r="AB43" i="2"/>
  <c r="AA43" i="2"/>
  <c r="Z43" i="2"/>
  <c r="Y43" i="2"/>
  <c r="X43" i="2"/>
  <c r="W43" i="2"/>
  <c r="Q43" i="2"/>
  <c r="P43" i="2"/>
  <c r="O43" i="2"/>
  <c r="N43" i="2"/>
  <c r="M43" i="2"/>
  <c r="L43" i="2"/>
  <c r="H43" i="2"/>
  <c r="G43" i="2"/>
  <c r="F43" i="2"/>
  <c r="E43" i="2"/>
  <c r="D43" i="2"/>
  <c r="C43" i="2"/>
  <c r="AB42" i="2"/>
  <c r="AA42" i="2"/>
  <c r="Z42" i="2"/>
  <c r="Y42" i="2"/>
  <c r="X42" i="2"/>
  <c r="W42" i="2"/>
  <c r="Q42" i="2"/>
  <c r="P42" i="2"/>
  <c r="O42" i="2"/>
  <c r="N42" i="2"/>
  <c r="M42" i="2"/>
  <c r="L42" i="2"/>
  <c r="H42" i="2"/>
  <c r="G42" i="2"/>
  <c r="F42" i="2"/>
  <c r="E42" i="2"/>
  <c r="D42" i="2"/>
  <c r="C42" i="2"/>
  <c r="AB41" i="2"/>
  <c r="AA41" i="2"/>
  <c r="Z41" i="2"/>
  <c r="Y41" i="2"/>
  <c r="X41" i="2"/>
  <c r="W41" i="2"/>
  <c r="Q41" i="2"/>
  <c r="P41" i="2"/>
  <c r="O41" i="2"/>
  <c r="N41" i="2"/>
  <c r="M41" i="2"/>
  <c r="L41" i="2"/>
  <c r="H41" i="2"/>
  <c r="G41" i="2"/>
  <c r="F41" i="2"/>
  <c r="E41" i="2"/>
  <c r="D41" i="2"/>
  <c r="C41" i="2"/>
  <c r="AB40" i="2"/>
  <c r="AA40" i="2"/>
  <c r="Z40" i="2"/>
  <c r="Y40" i="2"/>
  <c r="X40" i="2"/>
  <c r="W40" i="2"/>
  <c r="Q40" i="2"/>
  <c r="P40" i="2"/>
  <c r="O40" i="2"/>
  <c r="N40" i="2"/>
  <c r="M40" i="2"/>
  <c r="L40" i="2"/>
  <c r="H40" i="2"/>
  <c r="G40" i="2"/>
  <c r="F40" i="2"/>
  <c r="E40" i="2"/>
  <c r="D40" i="2"/>
  <c r="C40" i="2"/>
  <c r="AB39" i="2"/>
  <c r="AA39" i="2"/>
  <c r="Z39" i="2"/>
  <c r="Y39" i="2"/>
  <c r="X39" i="2"/>
  <c r="W39" i="2"/>
  <c r="Q39" i="2"/>
  <c r="P39" i="2"/>
  <c r="O39" i="2"/>
  <c r="N39" i="2"/>
  <c r="M39" i="2"/>
  <c r="L39" i="2"/>
  <c r="H39" i="2"/>
  <c r="G39" i="2"/>
  <c r="F39" i="2"/>
  <c r="E39" i="2"/>
  <c r="D39" i="2"/>
  <c r="C39" i="2"/>
  <c r="AB38" i="2"/>
  <c r="AA38" i="2"/>
  <c r="Z38" i="2"/>
  <c r="Y38" i="2"/>
  <c r="X38" i="2"/>
  <c r="W38" i="2"/>
  <c r="Q38" i="2"/>
  <c r="P38" i="2"/>
  <c r="O38" i="2"/>
  <c r="N38" i="2"/>
  <c r="M38" i="2"/>
  <c r="L38" i="2"/>
  <c r="H38" i="2"/>
  <c r="G38" i="2"/>
  <c r="F38" i="2"/>
  <c r="E38" i="2"/>
  <c r="D38" i="2"/>
  <c r="C38" i="2"/>
  <c r="AB37" i="2"/>
  <c r="AA37" i="2"/>
  <c r="Z37" i="2"/>
  <c r="Y37" i="2"/>
  <c r="X37" i="2"/>
  <c r="W37" i="2"/>
  <c r="Q37" i="2"/>
  <c r="P37" i="2"/>
  <c r="O37" i="2"/>
  <c r="N37" i="2"/>
  <c r="M37" i="2"/>
  <c r="L37" i="2"/>
  <c r="H37" i="2"/>
  <c r="G37" i="2"/>
  <c r="F37" i="2"/>
  <c r="E37" i="2"/>
  <c r="D37" i="2"/>
  <c r="C37" i="2"/>
  <c r="AB36" i="2"/>
  <c r="AA36" i="2"/>
  <c r="Z36" i="2"/>
  <c r="Y36" i="2"/>
  <c r="X36" i="2"/>
  <c r="W36" i="2"/>
  <c r="Q36" i="2"/>
  <c r="P36" i="2"/>
  <c r="O36" i="2"/>
  <c r="N36" i="2"/>
  <c r="M36" i="2"/>
  <c r="L36" i="2"/>
  <c r="H36" i="2"/>
  <c r="G36" i="2"/>
  <c r="F36" i="2"/>
  <c r="E36" i="2"/>
  <c r="D36" i="2"/>
  <c r="C36" i="2"/>
  <c r="AB35" i="2"/>
  <c r="AA35" i="2"/>
  <c r="Z35" i="2"/>
  <c r="Y35" i="2"/>
  <c r="X35" i="2"/>
  <c r="W35" i="2"/>
  <c r="Q35" i="2"/>
  <c r="P35" i="2"/>
  <c r="O35" i="2"/>
  <c r="N35" i="2"/>
  <c r="M35" i="2"/>
  <c r="L35" i="2"/>
  <c r="H35" i="2"/>
  <c r="G35" i="2"/>
  <c r="F35" i="2"/>
  <c r="E35" i="2"/>
  <c r="D35" i="2"/>
  <c r="C35" i="2"/>
  <c r="AB34" i="2"/>
  <c r="AA34" i="2"/>
  <c r="Z34" i="2"/>
  <c r="Y34" i="2"/>
  <c r="X34" i="2"/>
  <c r="W34" i="2"/>
  <c r="Q34" i="2"/>
  <c r="P34" i="2"/>
  <c r="O34" i="2"/>
  <c r="N34" i="2"/>
  <c r="M34" i="2"/>
  <c r="L34" i="2"/>
  <c r="H34" i="2"/>
  <c r="G34" i="2"/>
  <c r="F34" i="2"/>
  <c r="E34" i="2"/>
  <c r="D34" i="2"/>
  <c r="C34" i="2"/>
  <c r="AB33" i="2"/>
  <c r="AA33" i="2"/>
  <c r="Z33" i="2"/>
  <c r="Y33" i="2"/>
  <c r="X33" i="2"/>
  <c r="W33" i="2"/>
  <c r="Q33" i="2"/>
  <c r="P33" i="2"/>
  <c r="O33" i="2"/>
  <c r="N33" i="2"/>
  <c r="M33" i="2"/>
  <c r="L33" i="2"/>
  <c r="H33" i="2"/>
  <c r="G33" i="2"/>
  <c r="F33" i="2"/>
  <c r="E33" i="2"/>
  <c r="D33" i="2"/>
  <c r="C33" i="2"/>
  <c r="AB32" i="2"/>
  <c r="AA32" i="2"/>
  <c r="Z32" i="2"/>
  <c r="Y32" i="2"/>
  <c r="X32" i="2"/>
  <c r="W32" i="2"/>
  <c r="Q32" i="2"/>
  <c r="P32" i="2"/>
  <c r="O32" i="2"/>
  <c r="N32" i="2"/>
  <c r="M32" i="2"/>
  <c r="L32" i="2"/>
  <c r="H32" i="2"/>
  <c r="G32" i="2"/>
  <c r="F32" i="2"/>
  <c r="E32" i="2"/>
  <c r="D32" i="2"/>
  <c r="C32" i="2"/>
  <c r="AB31" i="2"/>
  <c r="AA31" i="2"/>
  <c r="Z31" i="2"/>
  <c r="Y31" i="2"/>
  <c r="X31" i="2"/>
  <c r="W31" i="2"/>
  <c r="Q31" i="2"/>
  <c r="P31" i="2"/>
  <c r="O31" i="2"/>
  <c r="N31" i="2"/>
  <c r="M31" i="2"/>
  <c r="L31" i="2"/>
  <c r="H31" i="2"/>
  <c r="G31" i="2"/>
  <c r="F31" i="2"/>
  <c r="E31" i="2"/>
  <c r="D31" i="2"/>
  <c r="C31" i="2"/>
  <c r="AB30" i="2"/>
  <c r="AA30" i="2"/>
  <c r="Z30" i="2"/>
  <c r="Y30" i="2"/>
  <c r="X30" i="2"/>
  <c r="W30" i="2"/>
  <c r="Q30" i="2"/>
  <c r="P30" i="2"/>
  <c r="O30" i="2"/>
  <c r="N30" i="2"/>
  <c r="M30" i="2"/>
  <c r="L30" i="2"/>
  <c r="H30" i="2"/>
  <c r="G30" i="2"/>
  <c r="F30" i="2"/>
  <c r="E30" i="2"/>
  <c r="D30" i="2"/>
  <c r="C30" i="2"/>
  <c r="AB29" i="2"/>
  <c r="AA29" i="2"/>
  <c r="Z29" i="2"/>
  <c r="Y29" i="2"/>
  <c r="X29" i="2"/>
  <c r="W29" i="2"/>
  <c r="Q29" i="2"/>
  <c r="P29" i="2"/>
  <c r="O29" i="2"/>
  <c r="N29" i="2"/>
  <c r="M29" i="2"/>
  <c r="L29" i="2"/>
  <c r="H29" i="2"/>
  <c r="G29" i="2"/>
  <c r="F29" i="2"/>
  <c r="E29" i="2"/>
  <c r="D29" i="2"/>
  <c r="C29" i="2"/>
  <c r="AB28" i="2"/>
  <c r="AA28" i="2"/>
  <c r="Z28" i="2"/>
  <c r="Y28" i="2"/>
  <c r="X28" i="2"/>
  <c r="W28" i="2"/>
  <c r="Q28" i="2"/>
  <c r="P28" i="2"/>
  <c r="O28" i="2"/>
  <c r="N28" i="2"/>
  <c r="M28" i="2"/>
  <c r="L28" i="2"/>
  <c r="H28" i="2"/>
  <c r="G28" i="2"/>
  <c r="F28" i="2"/>
  <c r="E28" i="2"/>
  <c r="D28" i="2"/>
  <c r="C28" i="2"/>
  <c r="AB27" i="2"/>
  <c r="AA27" i="2"/>
  <c r="Z27" i="2"/>
  <c r="Y27" i="2"/>
  <c r="X27" i="2"/>
  <c r="W27" i="2"/>
  <c r="Q27" i="2"/>
  <c r="P27" i="2"/>
  <c r="O27" i="2"/>
  <c r="N27" i="2"/>
  <c r="M27" i="2"/>
  <c r="L27" i="2"/>
  <c r="H27" i="2"/>
  <c r="G27" i="2"/>
  <c r="F27" i="2"/>
  <c r="E27" i="2"/>
  <c r="D27" i="2"/>
  <c r="C27" i="2"/>
  <c r="AB26" i="2"/>
  <c r="AA26" i="2"/>
  <c r="Z26" i="2"/>
  <c r="Y26" i="2"/>
  <c r="X26" i="2"/>
  <c r="W26" i="2"/>
  <c r="Q26" i="2"/>
  <c r="P26" i="2"/>
  <c r="O26" i="2"/>
  <c r="N26" i="2"/>
  <c r="M26" i="2"/>
  <c r="L26" i="2"/>
  <c r="H26" i="2"/>
  <c r="G26" i="2"/>
  <c r="F26" i="2"/>
  <c r="E26" i="2"/>
  <c r="D26" i="2"/>
  <c r="C26" i="2"/>
  <c r="AB25" i="2"/>
  <c r="AA25" i="2"/>
  <c r="Z25" i="2"/>
  <c r="Y25" i="2"/>
  <c r="X25" i="2"/>
  <c r="W25" i="2"/>
  <c r="Q25" i="2"/>
  <c r="P25" i="2"/>
  <c r="O25" i="2"/>
  <c r="N25" i="2"/>
  <c r="M25" i="2"/>
  <c r="L25" i="2"/>
  <c r="H25" i="2"/>
  <c r="G25" i="2"/>
  <c r="F25" i="2"/>
  <c r="E25" i="2"/>
  <c r="D25" i="2"/>
  <c r="C25" i="2"/>
  <c r="AB24" i="2"/>
  <c r="AA24" i="2"/>
  <c r="Z24" i="2"/>
  <c r="Y24" i="2"/>
  <c r="X24" i="2"/>
  <c r="W24" i="2"/>
  <c r="Q24" i="2"/>
  <c r="P24" i="2"/>
  <c r="O24" i="2"/>
  <c r="N24" i="2"/>
  <c r="M24" i="2"/>
  <c r="L24" i="2"/>
  <c r="H24" i="2"/>
  <c r="G24" i="2"/>
  <c r="F24" i="2"/>
  <c r="E24" i="2"/>
  <c r="D24" i="2"/>
  <c r="C24" i="2"/>
  <c r="AB23" i="2"/>
  <c r="AA23" i="2"/>
  <c r="Z23" i="2"/>
  <c r="Y23" i="2"/>
  <c r="X23" i="2"/>
  <c r="W23" i="2"/>
  <c r="Q23" i="2"/>
  <c r="P23" i="2"/>
  <c r="O23" i="2"/>
  <c r="N23" i="2"/>
  <c r="M23" i="2"/>
  <c r="L23" i="2"/>
  <c r="H23" i="2"/>
  <c r="G23" i="2"/>
  <c r="F23" i="2"/>
  <c r="E23" i="2"/>
  <c r="D23" i="2"/>
  <c r="C23" i="2"/>
  <c r="AB22" i="2"/>
  <c r="AA22" i="2"/>
  <c r="Z22" i="2"/>
  <c r="Y22" i="2"/>
  <c r="X22" i="2"/>
  <c r="W22" i="2"/>
  <c r="Q22" i="2"/>
  <c r="P22" i="2"/>
  <c r="O22" i="2"/>
  <c r="N22" i="2"/>
  <c r="M22" i="2"/>
  <c r="L22" i="2"/>
  <c r="H22" i="2"/>
  <c r="G22" i="2"/>
  <c r="F22" i="2"/>
  <c r="E22" i="2"/>
  <c r="D22" i="2"/>
  <c r="C22" i="2"/>
  <c r="AB21" i="2"/>
  <c r="AA21" i="2"/>
  <c r="Z21" i="2"/>
  <c r="Y21" i="2"/>
  <c r="X21" i="2"/>
  <c r="W21" i="2"/>
  <c r="Q21" i="2"/>
  <c r="P21" i="2"/>
  <c r="O21" i="2"/>
  <c r="N21" i="2"/>
  <c r="M21" i="2"/>
  <c r="L21" i="2"/>
  <c r="H21" i="2"/>
  <c r="G21" i="2"/>
  <c r="F21" i="2"/>
  <c r="E21" i="2"/>
  <c r="D21" i="2"/>
  <c r="C21" i="2"/>
  <c r="AB20" i="2"/>
  <c r="AA20" i="2"/>
  <c r="Z20" i="2"/>
  <c r="Y20" i="2"/>
  <c r="X20" i="2"/>
  <c r="W20" i="2"/>
  <c r="Q20" i="2"/>
  <c r="P20" i="2"/>
  <c r="O20" i="2"/>
  <c r="N20" i="2"/>
  <c r="M20" i="2"/>
  <c r="L20" i="2"/>
  <c r="H20" i="2"/>
  <c r="G20" i="2"/>
  <c r="F20" i="2"/>
  <c r="E20" i="2"/>
  <c r="D20" i="2"/>
  <c r="C20" i="2"/>
  <c r="AB19" i="2"/>
  <c r="AA19" i="2"/>
  <c r="Z19" i="2"/>
  <c r="Y19" i="2"/>
  <c r="X19" i="2"/>
  <c r="W19" i="2"/>
  <c r="Q19" i="2"/>
  <c r="P19" i="2"/>
  <c r="O19" i="2"/>
  <c r="N19" i="2"/>
  <c r="M19" i="2"/>
  <c r="L19" i="2"/>
  <c r="H19" i="2"/>
  <c r="G19" i="2"/>
  <c r="F19" i="2"/>
  <c r="E19" i="2"/>
  <c r="D19" i="2"/>
  <c r="C19" i="2"/>
  <c r="AB18" i="2"/>
  <c r="AA18" i="2"/>
  <c r="Z18" i="2"/>
  <c r="Y18" i="2"/>
  <c r="X18" i="2"/>
  <c r="W18" i="2"/>
  <c r="Q18" i="2"/>
  <c r="P18" i="2"/>
  <c r="O18" i="2"/>
  <c r="N18" i="2"/>
  <c r="M18" i="2"/>
  <c r="L18" i="2"/>
  <c r="H18" i="2"/>
  <c r="G18" i="2"/>
  <c r="F18" i="2"/>
  <c r="E18" i="2"/>
  <c r="D18" i="2"/>
  <c r="C18" i="2"/>
  <c r="AB17" i="2"/>
  <c r="AA17" i="2"/>
  <c r="Z17" i="2"/>
  <c r="Y17" i="2"/>
  <c r="X17" i="2"/>
  <c r="W17" i="2"/>
  <c r="Q17" i="2"/>
  <c r="P17" i="2"/>
  <c r="O17" i="2"/>
  <c r="N17" i="2"/>
  <c r="M17" i="2"/>
  <c r="L17" i="2"/>
  <c r="H17" i="2"/>
  <c r="G17" i="2"/>
  <c r="F17" i="2"/>
  <c r="E17" i="2"/>
  <c r="D17" i="2"/>
  <c r="C17" i="2"/>
  <c r="AB16" i="2"/>
  <c r="AA16" i="2"/>
  <c r="Z16" i="2"/>
  <c r="Y16" i="2"/>
  <c r="X16" i="2"/>
  <c r="W16" i="2"/>
  <c r="Q16" i="2"/>
  <c r="P16" i="2"/>
  <c r="O16" i="2"/>
  <c r="N16" i="2"/>
  <c r="M16" i="2"/>
  <c r="L16" i="2"/>
  <c r="H16" i="2"/>
  <c r="G16" i="2"/>
  <c r="F16" i="2"/>
  <c r="E16" i="2"/>
  <c r="D16" i="2"/>
  <c r="C16" i="2"/>
  <c r="AB15" i="2"/>
  <c r="AA15" i="2"/>
  <c r="Z15" i="2"/>
  <c r="Y15" i="2"/>
  <c r="X15" i="2"/>
  <c r="W15" i="2"/>
  <c r="Q15" i="2"/>
  <c r="P15" i="2"/>
  <c r="O15" i="2"/>
  <c r="N15" i="2"/>
  <c r="M15" i="2"/>
  <c r="L15" i="2"/>
  <c r="H15" i="2"/>
  <c r="G15" i="2"/>
  <c r="F15" i="2"/>
  <c r="E15" i="2"/>
  <c r="D15" i="2"/>
  <c r="C15" i="2"/>
  <c r="AB14" i="2"/>
  <c r="AA14" i="2"/>
  <c r="Z14" i="2"/>
  <c r="Y14" i="2"/>
  <c r="X14" i="2"/>
  <c r="W14" i="2"/>
  <c r="Q14" i="2"/>
  <c r="P14" i="2"/>
  <c r="O14" i="2"/>
  <c r="N14" i="2"/>
  <c r="M14" i="2"/>
  <c r="L14" i="2"/>
  <c r="H14" i="2"/>
  <c r="G14" i="2"/>
  <c r="F14" i="2"/>
  <c r="E14" i="2"/>
  <c r="D14" i="2"/>
  <c r="C14" i="2"/>
  <c r="AB13" i="2"/>
  <c r="AA13" i="2"/>
  <c r="Z13" i="2"/>
  <c r="Y13" i="2"/>
  <c r="X13" i="2"/>
  <c r="W13" i="2"/>
  <c r="Q13" i="2"/>
  <c r="P13" i="2"/>
  <c r="O13" i="2"/>
  <c r="N13" i="2"/>
  <c r="M13" i="2"/>
  <c r="L13" i="2"/>
  <c r="H13" i="2"/>
  <c r="G13" i="2"/>
  <c r="F13" i="2"/>
  <c r="E13" i="2"/>
  <c r="D13" i="2"/>
  <c r="C13" i="2"/>
  <c r="AB12" i="2"/>
  <c r="AA12" i="2"/>
  <c r="Z12" i="2"/>
  <c r="Y12" i="2"/>
  <c r="X12" i="2"/>
  <c r="Q12" i="2"/>
  <c r="P12" i="2"/>
  <c r="O12" i="2"/>
  <c r="N12" i="2"/>
  <c r="M12" i="2"/>
  <c r="H12" i="2"/>
  <c r="G12" i="2"/>
  <c r="F12" i="2"/>
  <c r="E12" i="2"/>
  <c r="D12" i="2"/>
  <c r="AB11" i="2"/>
  <c r="AA11" i="2"/>
  <c r="Z11" i="2"/>
  <c r="Y11" i="2"/>
  <c r="X11" i="2"/>
  <c r="W11" i="2"/>
  <c r="Q11" i="2"/>
  <c r="P11" i="2"/>
  <c r="O11" i="2"/>
  <c r="N11" i="2"/>
  <c r="M11" i="2"/>
  <c r="L11" i="2"/>
  <c r="H11" i="2"/>
  <c r="G11" i="2"/>
  <c r="F11" i="2"/>
  <c r="E11" i="2"/>
  <c r="D11" i="2"/>
  <c r="C11" i="2"/>
  <c r="AB10" i="2"/>
  <c r="AA10" i="2"/>
  <c r="Z10" i="2"/>
  <c r="Y10" i="2"/>
  <c r="X10" i="2"/>
  <c r="W10" i="2"/>
  <c r="Q10" i="2"/>
  <c r="P10" i="2"/>
  <c r="O10" i="2"/>
  <c r="N10" i="2"/>
  <c r="M10" i="2"/>
  <c r="L10" i="2"/>
  <c r="H10" i="2"/>
  <c r="G10" i="2"/>
  <c r="F10" i="2"/>
  <c r="E10" i="2"/>
  <c r="D10" i="2"/>
  <c r="C10" i="2"/>
  <c r="AB9" i="2"/>
  <c r="AA9" i="2"/>
  <c r="Z9" i="2"/>
  <c r="Y9" i="2"/>
  <c r="X9" i="2"/>
  <c r="W9" i="2"/>
  <c r="Q9" i="2"/>
  <c r="P9" i="2"/>
  <c r="O9" i="2"/>
  <c r="N9" i="2"/>
  <c r="M9" i="2"/>
  <c r="L9" i="2"/>
  <c r="H9" i="2"/>
  <c r="G9" i="2"/>
  <c r="F9" i="2"/>
  <c r="E9" i="2"/>
  <c r="D9" i="2"/>
  <c r="C9" i="2"/>
  <c r="AB8" i="2"/>
  <c r="AA8" i="2"/>
  <c r="Z8" i="2"/>
  <c r="Y8" i="2"/>
  <c r="X8" i="2"/>
  <c r="W8" i="2"/>
  <c r="Q8" i="2"/>
  <c r="P8" i="2"/>
  <c r="O8" i="2"/>
  <c r="N8" i="2"/>
  <c r="M8" i="2"/>
  <c r="L8" i="2"/>
  <c r="H8" i="2"/>
  <c r="G8" i="2"/>
  <c r="F8" i="2"/>
  <c r="E8" i="2"/>
  <c r="D8" i="2"/>
  <c r="C8" i="2"/>
  <c r="AB7" i="2"/>
  <c r="AA7" i="2"/>
  <c r="Z7" i="2"/>
  <c r="Y7" i="2"/>
  <c r="X7" i="2"/>
  <c r="W7" i="2"/>
  <c r="Q7" i="2"/>
  <c r="P7" i="2"/>
  <c r="O7" i="2"/>
  <c r="N7" i="2"/>
  <c r="M7" i="2"/>
  <c r="L7" i="2"/>
  <c r="H7" i="2"/>
  <c r="G7" i="2"/>
  <c r="F7" i="2"/>
  <c r="E7" i="2"/>
  <c r="D7" i="2"/>
  <c r="C7" i="2"/>
  <c r="AB6" i="2"/>
  <c r="AA6" i="2"/>
  <c r="Z6" i="2"/>
  <c r="Y6" i="2"/>
  <c r="X6" i="2"/>
  <c r="W6" i="2"/>
  <c r="Q6" i="2"/>
  <c r="P6" i="2"/>
  <c r="O6" i="2"/>
  <c r="N6" i="2"/>
  <c r="M6" i="2"/>
  <c r="L6" i="2"/>
  <c r="H6" i="2"/>
  <c r="G6" i="2"/>
  <c r="F6" i="2"/>
  <c r="E6" i="2"/>
  <c r="D6" i="2"/>
  <c r="C6" i="2"/>
  <c r="AB5" i="2"/>
  <c r="AA5" i="2"/>
  <c r="Z5" i="2"/>
  <c r="Y5" i="2"/>
  <c r="X5" i="2"/>
  <c r="W5" i="2"/>
  <c r="Q5" i="2"/>
  <c r="P5" i="2"/>
  <c r="O5" i="2"/>
  <c r="N5" i="2"/>
  <c r="M5" i="2"/>
  <c r="L5" i="2"/>
  <c r="H5" i="2"/>
  <c r="G5" i="2"/>
  <c r="F5" i="2"/>
  <c r="E5" i="2"/>
  <c r="D5" i="2"/>
  <c r="C5" i="2"/>
  <c r="Y4" i="2"/>
  <c r="Z4" i="2" s="1"/>
  <c r="AA4" i="2" s="1"/>
  <c r="AB4" i="2" s="1"/>
  <c r="X4" i="2"/>
  <c r="O4" i="2"/>
  <c r="P4" i="2" s="1"/>
  <c r="Q4" i="2" s="1"/>
  <c r="N4" i="2"/>
  <c r="M4" i="2"/>
  <c r="D4" i="2"/>
  <c r="E4" i="2" s="1"/>
  <c r="F4" i="2" s="1"/>
  <c r="G4" i="2" s="1"/>
  <c r="H4" i="2" s="1"/>
  <c r="AL7" i="1" l="1"/>
  <c r="AL11" i="1"/>
  <c r="AJ8" i="1"/>
  <c r="AP8" i="1" s="1"/>
  <c r="AT8" i="1" s="1"/>
  <c r="AV8" i="1" s="1"/>
  <c r="AL8" i="1"/>
  <c r="AJ7" i="1"/>
  <c r="AP7" i="1" s="1"/>
  <c r="AT7" i="1" s="1"/>
  <c r="AV7" i="1" s="1"/>
  <c r="AJ11" i="1"/>
  <c r="AP11" i="1" s="1"/>
  <c r="AT11" i="1" s="1"/>
  <c r="AV11" i="1" s="1"/>
  <c r="AL74" i="1"/>
  <c r="AJ74" i="1"/>
  <c r="AL75" i="1"/>
  <c r="AJ75" i="1"/>
  <c r="AL60" i="1"/>
  <c r="AJ60" i="1"/>
  <c r="AL19" i="1"/>
  <c r="AL22" i="1"/>
  <c r="AL24" i="1"/>
  <c r="AL26" i="1"/>
  <c r="AJ26" i="1"/>
  <c r="AP26" i="1" s="1"/>
  <c r="AT26" i="1" s="1"/>
  <c r="AV26" i="1" s="1"/>
  <c r="AJ24" i="1"/>
  <c r="AJ22" i="1"/>
  <c r="AP22" i="1" s="1"/>
  <c r="AT22" i="1" s="1"/>
  <c r="AV22" i="1" s="1"/>
  <c r="AJ18" i="1"/>
  <c r="AL18" i="1"/>
  <c r="AJ19" i="1"/>
  <c r="AP19" i="1" s="1"/>
  <c r="AT19" i="1" s="1"/>
  <c r="AV19" i="1" s="1"/>
  <c r="AP29" i="1"/>
  <c r="AT29" i="1" s="1"/>
  <c r="AV29" i="1" s="1"/>
  <c r="AP80" i="1"/>
  <c r="AT80" i="1" s="1"/>
  <c r="AV80" i="1" s="1"/>
  <c r="AP37" i="1"/>
  <c r="AT37" i="1" s="1"/>
  <c r="AV37" i="1" s="1"/>
  <c r="AY37" i="1" s="1"/>
  <c r="AL9" i="1"/>
  <c r="AJ10" i="1"/>
  <c r="AJ6" i="1"/>
  <c r="AL10" i="1"/>
  <c r="AL6" i="1"/>
  <c r="AJ9" i="1"/>
  <c r="AJ49" i="1"/>
  <c r="AL49" i="1"/>
  <c r="AJ50" i="1"/>
  <c r="AL66" i="1"/>
  <c r="AL50" i="1"/>
  <c r="AJ66" i="1"/>
  <c r="AP66" i="1" s="1"/>
  <c r="AT66" i="1" s="1"/>
  <c r="AV66" i="1" s="1"/>
  <c r="AJ20" i="1"/>
  <c r="AL20" i="1"/>
  <c r="AJ21" i="1"/>
  <c r="AI23" i="1"/>
  <c r="AJ23" i="1" s="1"/>
  <c r="AK21" i="1"/>
  <c r="AL21" i="1" s="1"/>
  <c r="AP31" i="1"/>
  <c r="AT31" i="1" s="1"/>
  <c r="AV31" i="1" s="1"/>
  <c r="E20" i="3"/>
  <c r="AP20" i="1" l="1"/>
  <c r="AT20" i="1" s="1"/>
  <c r="AV20" i="1" s="1"/>
  <c r="AP49" i="1"/>
  <c r="AT49" i="1" s="1"/>
  <c r="AV49" i="1" s="1"/>
  <c r="AP9" i="1"/>
  <c r="AT9" i="1" s="1"/>
  <c r="AV9" i="1" s="1"/>
  <c r="AP10" i="1"/>
  <c r="AT10" i="1" s="1"/>
  <c r="AV10" i="1" s="1"/>
  <c r="AP18" i="1"/>
  <c r="AT18" i="1" s="1"/>
  <c r="AV18" i="1" s="1"/>
  <c r="AP24" i="1"/>
  <c r="AT24" i="1" s="1"/>
  <c r="AV24" i="1" s="1"/>
  <c r="AP60" i="1"/>
  <c r="AT60" i="1" s="1"/>
  <c r="AV60" i="1" s="1"/>
  <c r="AP75" i="1"/>
  <c r="AT75" i="1" s="1"/>
  <c r="AV75" i="1" s="1"/>
  <c r="AP74" i="1"/>
  <c r="AT74" i="1" s="1"/>
  <c r="AV74" i="1" s="1"/>
  <c r="AP50" i="1"/>
  <c r="AT50" i="1" s="1"/>
  <c r="AV50" i="1" s="1"/>
  <c r="AP6" i="1"/>
  <c r="AT6" i="1" s="1"/>
  <c r="AV6" i="1" s="1"/>
  <c r="AP21" i="1"/>
  <c r="AT21" i="1" s="1"/>
  <c r="AV21" i="1" s="1"/>
  <c r="AK23" i="1"/>
  <c r="AL23" i="1" s="1"/>
  <c r="AI25" i="1"/>
  <c r="AE21" i="1"/>
  <c r="AK25" i="1" l="1"/>
  <c r="AL25" i="1" s="1"/>
  <c r="AJ25" i="1"/>
  <c r="AP23" i="1"/>
  <c r="AT23" i="1" s="1"/>
  <c r="AV23" i="1" s="1"/>
  <c r="AP25" i="1" l="1"/>
  <c r="AT25" i="1" s="1"/>
  <c r="AV25" i="1" s="1"/>
  <c r="I80" i="1"/>
  <c r="H80" i="1"/>
  <c r="AX80" i="1" s="1"/>
  <c r="AY80" i="1" s="1"/>
  <c r="G80" i="1"/>
  <c r="F80" i="1"/>
  <c r="E80" i="1"/>
  <c r="D80" i="1"/>
  <c r="C80" i="1"/>
  <c r="J83" i="1" l="1"/>
  <c r="J80" i="1"/>
  <c r="J79" i="1"/>
  <c r="J76" i="1"/>
  <c r="J75" i="1"/>
  <c r="J74" i="1"/>
  <c r="J73" i="1"/>
  <c r="J70" i="1"/>
  <c r="J69" i="1"/>
  <c r="J68" i="1"/>
  <c r="J67" i="1"/>
  <c r="J66" i="1"/>
  <c r="J63" i="1"/>
  <c r="J62" i="1"/>
  <c r="J61" i="1"/>
  <c r="J60" i="1"/>
  <c r="J57" i="1"/>
  <c r="J56" i="1"/>
  <c r="J55" i="1"/>
  <c r="J54" i="1"/>
  <c r="J49" i="1"/>
  <c r="J48" i="1"/>
  <c r="J44" i="1"/>
  <c r="J43" i="1"/>
  <c r="J42" i="1"/>
  <c r="J41" i="1"/>
  <c r="J37" i="1"/>
  <c r="J32" i="1"/>
  <c r="J31" i="1"/>
  <c r="J30" i="1"/>
  <c r="J29" i="1"/>
  <c r="J25" i="1"/>
  <c r="J23" i="1"/>
  <c r="J22" i="1"/>
  <c r="J21" i="1"/>
  <c r="J20" i="1"/>
  <c r="J19" i="1"/>
  <c r="J18" i="1"/>
  <c r="J15" i="1"/>
  <c r="J14" i="1"/>
  <c r="J13" i="1"/>
  <c r="J12" i="1"/>
  <c r="J11" i="1"/>
  <c r="J10" i="1"/>
  <c r="J9" i="1"/>
  <c r="J8" i="1"/>
  <c r="J7" i="1"/>
  <c r="J6" i="1"/>
  <c r="I75" i="1" l="1"/>
  <c r="H75" i="1"/>
  <c r="AX75" i="1" s="1"/>
  <c r="AY75" i="1" s="1"/>
  <c r="G75" i="1"/>
  <c r="F75" i="1"/>
  <c r="E75" i="1"/>
  <c r="D75" i="1"/>
  <c r="C75" i="1"/>
  <c r="I26" i="1" l="1"/>
  <c r="H26" i="1"/>
  <c r="AX26" i="1" s="1"/>
  <c r="AY26" i="1" s="1"/>
  <c r="G26" i="1"/>
  <c r="F26" i="1"/>
  <c r="E26" i="1"/>
  <c r="D26" i="1"/>
  <c r="C26" i="1"/>
  <c r="I25" i="1" l="1"/>
  <c r="H25" i="1"/>
  <c r="AX25" i="1" s="1"/>
  <c r="AY25" i="1" s="1"/>
  <c r="G25" i="1"/>
  <c r="F25" i="1"/>
  <c r="E25" i="1"/>
  <c r="D25" i="1"/>
  <c r="C25" i="1"/>
  <c r="I32" i="1" l="1"/>
  <c r="H32" i="1"/>
  <c r="AX32" i="1" s="1"/>
  <c r="AY32" i="1" s="1"/>
  <c r="G32" i="1"/>
  <c r="F32" i="1"/>
  <c r="E32" i="1"/>
  <c r="D32" i="1"/>
  <c r="C32" i="1"/>
  <c r="I24" i="1" l="1"/>
  <c r="H24" i="1"/>
  <c r="AX24" i="1" s="1"/>
  <c r="AY24" i="1" s="1"/>
  <c r="G24" i="1"/>
  <c r="F24" i="1"/>
  <c r="E24" i="1"/>
  <c r="D24" i="1"/>
  <c r="C24" i="1"/>
  <c r="I31" i="1" l="1"/>
  <c r="H31" i="1"/>
  <c r="AX31" i="1" s="1"/>
  <c r="AY31" i="1" s="1"/>
  <c r="G31" i="1"/>
  <c r="F31" i="1"/>
  <c r="E31" i="1"/>
  <c r="D31" i="1"/>
  <c r="C31" i="1"/>
  <c r="I74" i="1" l="1"/>
  <c r="H74" i="1"/>
  <c r="AX74" i="1" s="1"/>
  <c r="AY74" i="1" s="1"/>
  <c r="G74" i="1"/>
  <c r="F74" i="1"/>
  <c r="E74" i="1"/>
  <c r="D74" i="1"/>
  <c r="C74" i="1"/>
  <c r="I50" i="1" l="1"/>
  <c r="AX50" i="1"/>
  <c r="AY50" i="1" s="1"/>
  <c r="G50" i="1"/>
  <c r="F50" i="1"/>
  <c r="E50" i="1"/>
  <c r="D50" i="1"/>
  <c r="C50" i="1"/>
  <c r="I49" i="1" l="1"/>
  <c r="AX49" i="1"/>
  <c r="AY49" i="1" s="1"/>
  <c r="G49" i="1"/>
  <c r="F49" i="1"/>
  <c r="E49" i="1"/>
  <c r="D49" i="1"/>
  <c r="C49" i="1"/>
  <c r="I22" i="1" l="1"/>
  <c r="H22" i="1"/>
  <c r="AX22" i="1" s="1"/>
  <c r="AY22" i="1" s="1"/>
  <c r="G22" i="1"/>
  <c r="F22" i="1"/>
  <c r="E22" i="1"/>
  <c r="D22" i="1"/>
  <c r="C22" i="1"/>
  <c r="I21" i="1" l="1"/>
  <c r="H21" i="1"/>
  <c r="AX21" i="1" s="1"/>
  <c r="AY21" i="1" s="1"/>
  <c r="G21" i="1"/>
  <c r="F21" i="1"/>
  <c r="E21" i="1"/>
  <c r="D21" i="1"/>
  <c r="C21" i="1"/>
  <c r="I23" i="1" l="1"/>
  <c r="G23" i="1"/>
  <c r="D23" i="1"/>
  <c r="C23" i="1"/>
  <c r="F23" i="1" l="1"/>
  <c r="J85" i="1" l="1"/>
  <c r="N53" i="1" l="1"/>
  <c r="N47" i="1"/>
  <c r="N45" i="1"/>
  <c r="N40" i="1"/>
  <c r="N36" i="1"/>
  <c r="N34" i="1"/>
  <c r="N28" i="1"/>
  <c r="N17" i="1"/>
  <c r="N5" i="1"/>
  <c r="G12" i="1" l="1"/>
  <c r="F12" i="1"/>
  <c r="E12" i="1"/>
  <c r="D12" i="1"/>
  <c r="C12" i="1"/>
  <c r="I56" i="1" l="1"/>
  <c r="H56" i="1"/>
  <c r="G56" i="1"/>
  <c r="F56" i="1"/>
  <c r="E56" i="1"/>
  <c r="D56" i="1"/>
  <c r="C56" i="1"/>
  <c r="I37" i="1" l="1"/>
  <c r="H37" i="1"/>
  <c r="G37" i="1"/>
  <c r="F37" i="1"/>
  <c r="E37" i="1"/>
  <c r="D37" i="1"/>
  <c r="C37" i="1"/>
  <c r="I60" i="1"/>
  <c r="H60" i="1"/>
  <c r="G60" i="1"/>
  <c r="F60" i="1"/>
  <c r="E60" i="1"/>
  <c r="D60" i="1"/>
  <c r="C60" i="1"/>
  <c r="I11" i="1"/>
  <c r="H11" i="1"/>
  <c r="G11" i="1"/>
  <c r="F11" i="1"/>
  <c r="E11" i="1"/>
  <c r="D11" i="1"/>
  <c r="C11" i="1"/>
  <c r="I10" i="1"/>
  <c r="H10" i="1"/>
  <c r="G10" i="1"/>
  <c r="F10" i="1"/>
  <c r="E10" i="1"/>
  <c r="D10" i="1"/>
  <c r="C10" i="1"/>
  <c r="I66" i="1" l="1"/>
  <c r="H66" i="1"/>
  <c r="G66" i="1"/>
  <c r="F66" i="1"/>
  <c r="E66" i="1"/>
  <c r="D66" i="1"/>
  <c r="C66" i="1"/>
  <c r="I20" i="1"/>
  <c r="H20" i="1"/>
  <c r="G20" i="1"/>
  <c r="F20" i="1"/>
  <c r="E20" i="1"/>
  <c r="D20" i="1"/>
  <c r="C20" i="1"/>
  <c r="I19" i="1"/>
  <c r="H19" i="1"/>
  <c r="G19" i="1"/>
  <c r="F19" i="1"/>
  <c r="E19" i="1"/>
  <c r="D19" i="1"/>
  <c r="C19" i="1"/>
  <c r="I9" i="1"/>
  <c r="H9" i="1"/>
  <c r="G9" i="1"/>
  <c r="F9" i="1"/>
  <c r="E9" i="1"/>
  <c r="D9" i="1"/>
  <c r="C9" i="1"/>
  <c r="I29" i="1" l="1"/>
  <c r="H29" i="1"/>
  <c r="G29" i="1"/>
  <c r="F29" i="1"/>
  <c r="E29" i="1"/>
  <c r="D29" i="1"/>
  <c r="C29" i="1"/>
  <c r="I55" i="1"/>
  <c r="H55" i="1"/>
  <c r="G55" i="1"/>
  <c r="F55" i="1"/>
  <c r="E55" i="1"/>
  <c r="D55" i="1"/>
  <c r="C55" i="1"/>
  <c r="I8" i="1"/>
  <c r="H8" i="1"/>
  <c r="G8" i="1"/>
  <c r="F8" i="1"/>
  <c r="E8" i="1"/>
  <c r="D8" i="1"/>
  <c r="C8" i="1"/>
  <c r="I7" i="1"/>
  <c r="H7" i="1"/>
  <c r="G7" i="1"/>
  <c r="F7" i="1"/>
  <c r="E7" i="1"/>
  <c r="D7" i="1"/>
  <c r="C7" i="1"/>
  <c r="I6" i="1" l="1"/>
  <c r="H6" i="1"/>
  <c r="G6" i="1"/>
  <c r="F6" i="1"/>
  <c r="E6" i="1"/>
  <c r="D6" i="1"/>
  <c r="C6" i="1"/>
  <c r="I54" i="1" l="1"/>
  <c r="H54" i="1"/>
  <c r="G54" i="1"/>
  <c r="F54" i="1"/>
  <c r="E54" i="1"/>
  <c r="D54" i="1"/>
  <c r="C54" i="1"/>
  <c r="I18" i="1"/>
  <c r="H18" i="1"/>
  <c r="G18" i="1"/>
  <c r="F18" i="1"/>
  <c r="E18" i="1"/>
  <c r="D18" i="1"/>
  <c r="C18" i="1"/>
  <c r="I48" i="1"/>
  <c r="H48" i="1"/>
  <c r="G48" i="1"/>
  <c r="F48" i="1"/>
  <c r="E48" i="1"/>
  <c r="D48" i="1"/>
  <c r="C48" i="1"/>
  <c r="N93" i="1" l="1"/>
  <c r="N85" i="1"/>
  <c r="N86" i="1" l="1"/>
  <c r="N87" i="1" s="1"/>
  <c r="H23" i="1" l="1"/>
  <c r="AX23" i="1" s="1"/>
  <c r="AY23" i="1" s="1"/>
  <c r="E23" i="1"/>
</calcChain>
</file>

<file path=xl/comments1.xml><?xml version="1.0" encoding="utf-8"?>
<comments xmlns="http://schemas.openxmlformats.org/spreadsheetml/2006/main">
  <authors>
    <author>Heather Freeman</author>
  </authors>
  <commentList>
    <comment ref="H3" authorId="0">
      <text>
        <r>
          <rPr>
            <b/>
            <sz val="9"/>
            <color indexed="81"/>
            <rFont val="Tahoma"/>
            <family val="2"/>
          </rPr>
          <t>Heather Freeman:</t>
        </r>
        <r>
          <rPr>
            <sz val="9"/>
            <color indexed="81"/>
            <rFont val="Tahoma"/>
            <family val="2"/>
          </rPr>
          <t xml:space="preserve">
Consistency of methodology vs. that used for other promotional ROIs to be confirmed with Jane Folske</t>
        </r>
      </text>
    </comment>
    <comment ref="K3" authorId="0">
      <text>
        <r>
          <rPr>
            <b/>
            <sz val="9"/>
            <color indexed="81"/>
            <rFont val="Tahoma"/>
            <family val="2"/>
          </rPr>
          <t>Heather Freeman:</t>
        </r>
        <r>
          <rPr>
            <sz val="9"/>
            <color indexed="81"/>
            <rFont val="Tahoma"/>
            <family val="2"/>
          </rPr>
          <t xml:space="preserve">
Either # of Patients/HCCS and Cost per Patient/HCC, or # of interventions/messages and cost per intervention/message - whichever makes more sense to you, Jim.  Let me know if you'd like to discuss.  Same for 2013 and 2014</t>
        </r>
      </text>
    </comment>
    <comment ref="AX3" authorId="0">
      <text>
        <r>
          <rPr>
            <b/>
            <sz val="9"/>
            <color indexed="81"/>
            <rFont val="Tahoma"/>
            <family val="2"/>
          </rPr>
          <t>Heather Freeman:</t>
        </r>
        <r>
          <rPr>
            <sz val="9"/>
            <color indexed="81"/>
            <rFont val="Tahoma"/>
            <family val="2"/>
          </rPr>
          <t xml:space="preserve">
Consistency of methodology vs. that used for other promotional ROIs to be confirmed with Jane Folske</t>
        </r>
      </text>
    </comment>
    <comment ref="N93" authorId="0">
      <text>
        <r>
          <rPr>
            <b/>
            <sz val="9"/>
            <color indexed="81"/>
            <rFont val="Tahoma"/>
            <family val="2"/>
          </rPr>
          <t>Heather Freeman:</t>
        </r>
        <r>
          <rPr>
            <sz val="9"/>
            <color indexed="81"/>
            <rFont val="Tahoma"/>
            <family val="2"/>
          </rPr>
          <t xml:space="preserve">
5/31/13 e-mail from Jim Woodward</t>
        </r>
      </text>
    </comment>
  </commentList>
</comments>
</file>

<file path=xl/comments2.xml><?xml version="1.0" encoding="utf-8"?>
<comments xmlns="http://schemas.openxmlformats.org/spreadsheetml/2006/main">
  <authors>
    <author>Brad MacQueen</author>
    <author>Merck &amp; Co., Inc.</author>
  </authors>
  <commentList>
    <comment ref="Q7" authorId="0">
      <text>
        <r>
          <rPr>
            <b/>
            <sz val="9"/>
            <color indexed="8"/>
            <rFont val="Tahoma"/>
            <family val="2"/>
          </rPr>
          <t>Brad MacQueen:</t>
        </r>
        <r>
          <rPr>
            <sz val="9"/>
            <color indexed="8"/>
            <rFont val="Tahoma"/>
            <family val="2"/>
          </rPr>
          <t xml:space="preserve">
2012 5YP assumption, Launch shifted to 2015</t>
        </r>
      </text>
    </comment>
    <comment ref="C45" authorId="1">
      <text>
        <r>
          <rPr>
            <b/>
            <sz val="9"/>
            <color indexed="81"/>
            <rFont val="Tahoma"/>
            <family val="2"/>
          </rPr>
          <t>Merck &amp; Co., Inc.:</t>
        </r>
        <r>
          <rPr>
            <sz val="9"/>
            <color indexed="81"/>
            <rFont val="Tahoma"/>
            <family val="2"/>
          </rPr>
          <t xml:space="preserve">
I got the value for 2014 but I adjusted the value to 12/31/12</t>
        </r>
      </text>
    </comment>
  </commentList>
</comments>
</file>

<file path=xl/comments3.xml><?xml version="1.0" encoding="utf-8"?>
<comments xmlns="http://schemas.openxmlformats.org/spreadsheetml/2006/main">
  <authors>
    <author>Merck &amp; Co., Inc.</author>
  </authors>
  <commentList>
    <comment ref="A3" authorId="0">
      <text>
        <r>
          <rPr>
            <b/>
            <sz val="9"/>
            <color indexed="81"/>
            <rFont val="Tahoma"/>
            <family val="2"/>
          </rPr>
          <t>Merck &amp; Co., Inc.:</t>
        </r>
        <r>
          <rPr>
            <sz val="9"/>
            <color indexed="81"/>
            <rFont val="Tahoma"/>
            <family val="2"/>
          </rPr>
          <t xml:space="preserve">
We originally had D&amp;R for Retail only, but because this information is not available by customer any more, we are using D&amp;R for all customers (See email from Managed Care Finance below).
Oscar,
Attached are the discount rates for the products requested. Please note I have included the overall effective rate for 2012 – LROP. This includes all segment- level discounts as well as other discounts (i.e. PDP Fees, returns, coupons, vouchers, etc). 
I saw a comment in your file that says “based on retail customers only” however this data is NOT available for the LROP as COBRA does not include segment level data so there is no way to pull out the retail vs. non-retail discounts in the 5YP. 
Product NPV 2014_DiscountsRebates  (02_13).xlsx
Please let me know if you had any questions.
Rachael Caldwell
</t>
        </r>
      </text>
    </comment>
  </commentList>
</comments>
</file>

<file path=xl/sharedStrings.xml><?xml version="1.0" encoding="utf-8"?>
<sst xmlns="http://schemas.openxmlformats.org/spreadsheetml/2006/main" count="579" uniqueCount="209">
  <si>
    <t>Adherence 2012 Program Results</t>
  </si>
  <si>
    <t>JANUVIA/JANUMET</t>
  </si>
  <si>
    <t>ZETIA/VYTORIN/LIPTRUZET</t>
  </si>
  <si>
    <t>DULERA</t>
  </si>
  <si>
    <t>NUVARING</t>
  </si>
  <si>
    <t>ISENTRESS</t>
  </si>
  <si>
    <t>2013 Budget ($M)</t>
  </si>
  <si>
    <t>NASONEX</t>
  </si>
  <si>
    <t>ZIOPTAN</t>
  </si>
  <si>
    <t>SAPHRIS</t>
  </si>
  <si>
    <t>ASMANEX</t>
  </si>
  <si>
    <t>Non-Branded</t>
  </si>
  <si>
    <t>Total</t>
  </si>
  <si>
    <t>Check</t>
  </si>
  <si>
    <t>Diabetes</t>
  </si>
  <si>
    <t>Cholesterol</t>
  </si>
  <si>
    <t>Respiratory</t>
  </si>
  <si>
    <t>Others</t>
  </si>
  <si>
    <t># Test Patients</t>
  </si>
  <si>
    <t>Increm Daily Doses / Patient</t>
  </si>
  <si>
    <t>Vol. Lift</t>
  </si>
  <si>
    <t>ROI (Merck calc)</t>
  </si>
  <si>
    <t>ROI (Vendor calc)</t>
  </si>
  <si>
    <t>Program Cost/Patient (pre-tax)</t>
  </si>
  <si>
    <t>2012 Est. Revenue ($M)</t>
  </si>
  <si>
    <t>2013 Est. Revenue ($M)</t>
  </si>
  <si>
    <t>Franchise/Vendor</t>
  </si>
  <si>
    <t>Program</t>
  </si>
  <si>
    <t>Adheris</t>
  </si>
  <si>
    <t>DirectAdhere</t>
  </si>
  <si>
    <t>Test Period Duration</t>
  </si>
  <si>
    <t>Adheris: Vytorin</t>
  </si>
  <si>
    <t>Catalina: Januvia</t>
  </si>
  <si>
    <t>Dynamic Adherence</t>
  </si>
  <si>
    <t>Catalina</t>
  </si>
  <si>
    <t>Catalina: Janumet</t>
  </si>
  <si>
    <t>Catalina: Janumet XR</t>
  </si>
  <si>
    <t>SINGULAIR</t>
  </si>
  <si>
    <t>CVS Caremark: Vytorin</t>
  </si>
  <si>
    <t>CVS Caremark: Zetia</t>
  </si>
  <si>
    <t>CVS Caremark: Januvia</t>
  </si>
  <si>
    <t>CVS Caremark</t>
  </si>
  <si>
    <t>Rx C&amp;P</t>
  </si>
  <si>
    <t>PROPECIA</t>
  </si>
  <si>
    <t>LDM: Januvia</t>
  </si>
  <si>
    <t>LDM: Janumet</t>
  </si>
  <si>
    <t>LDM</t>
  </si>
  <si>
    <t>CarePoints</t>
  </si>
  <si>
    <t>ScriptGuide</t>
  </si>
  <si>
    <t>Pleio: Januvia family</t>
  </si>
  <si>
    <t>GoodStart</t>
  </si>
  <si>
    <t>TIER 1</t>
  </si>
  <si>
    <t>TIER 2</t>
  </si>
  <si>
    <t>TIER 3</t>
  </si>
  <si>
    <t>2012 Total Investment ($M)</t>
  </si>
  <si>
    <t>2012 Total # Patients Messaged</t>
  </si>
  <si>
    <t>2012 Avg. Cost per Patient ($)</t>
  </si>
  <si>
    <t>August Forecast ====&gt;</t>
  </si>
  <si>
    <t>2013 Total Investment ($M)</t>
  </si>
  <si>
    <t>2013 Total # Patients Messaged</t>
  </si>
  <si>
    <t>2013 Avg. Cost per Patient ($)</t>
  </si>
  <si>
    <t>2014 Total Investment ($M)</t>
  </si>
  <si>
    <t>2014 Total # Patients Messaged</t>
  </si>
  <si>
    <t>2014 Avg. Cost per Patient ($)</t>
  </si>
  <si>
    <t>2014 Est. Revenue ($M)</t>
  </si>
  <si>
    <t>12 months</t>
  </si>
  <si>
    <t>`</t>
  </si>
  <si>
    <t>MAXALT</t>
  </si>
  <si>
    <t>Rx.com</t>
  </si>
  <si>
    <t>CarePoint</t>
  </si>
  <si>
    <t>CLARINEX</t>
  </si>
  <si>
    <t>PROVENTIL</t>
  </si>
  <si>
    <t>PhysicianCare</t>
  </si>
  <si>
    <t>Catalina: Zetia</t>
  </si>
  <si>
    <t>Catalina: Vytorin</t>
  </si>
  <si>
    <t>LDM: Zetia</t>
  </si>
  <si>
    <t>LDM: Vytorin</t>
  </si>
  <si>
    <t>ROI Calculator</t>
  </si>
  <si>
    <t>Test</t>
  </si>
  <si>
    <t>Control</t>
  </si>
  <si>
    <t>Effective Tax Rate</t>
  </si>
  <si>
    <t>NPV</t>
  </si>
  <si>
    <t>Program Period/Patient</t>
  </si>
  <si>
    <t>ROI</t>
  </si>
  <si>
    <t>Unit of Measure</t>
  </si>
  <si>
    <t>Tablet Per Patient</t>
  </si>
  <si>
    <t>Tax Rate: Expenses</t>
  </si>
  <si>
    <t>Incremental NPV</t>
  </si>
  <si>
    <t>Discount Rate</t>
  </si>
  <si>
    <t>% Lift</t>
  </si>
  <si>
    <t>Incremental Cost</t>
  </si>
  <si>
    <t>Patients</t>
  </si>
  <si>
    <t>Unit of Measure (Patients or Messages)</t>
  </si>
  <si>
    <t>Volume</t>
  </si>
  <si>
    <t>Rebate / Discount Rates: (as a % of INFLATED Catalog Sales)</t>
  </si>
  <si>
    <t>Product Cost Rates (as a % of INFLATED Product Sales) - Includes Std Cost, Pharmacy Markup, Other (royalties excluded)</t>
  </si>
  <si>
    <t>Royalty Rates: (as a % of INFLATED Net Sales): Data from 2011 LROP</t>
  </si>
  <si>
    <t>BASED ON ALL CUSTOMERS</t>
  </si>
  <si>
    <t>Source: Jessica Smith (Retail only=0); Rachel Caldwell (All Segments=1)</t>
  </si>
  <si>
    <r>
      <t xml:space="preserve">BASED ON </t>
    </r>
    <r>
      <rPr>
        <i/>
        <u/>
        <sz val="8"/>
        <color indexed="10"/>
        <rFont val="Book Antiqua"/>
        <family val="1"/>
      </rPr>
      <t>TOTAL</t>
    </r>
    <r>
      <rPr>
        <i/>
        <sz val="8"/>
        <color indexed="10"/>
        <rFont val="Book Antiqua"/>
        <family val="1"/>
      </rPr>
      <t xml:space="preserve"> CUSTOMER BASE</t>
    </r>
  </si>
  <si>
    <t xml:space="preserve">Provided by: Jessica Smith, Managed Care Finance. 6/5/13. Rachael Caldwell, Managed Care Finance. 2/20/13. </t>
  </si>
  <si>
    <t>COGS (%Gross Sales). Provided by: David Cole, FP&amp;A Finance. 3/1/2013</t>
  </si>
  <si>
    <t>Royalty (% Net Sales). Provided by: David Cole, FP&amp;A Finance. 3/1/2013</t>
  </si>
  <si>
    <t>Atozet</t>
  </si>
  <si>
    <t>Bridion</t>
  </si>
  <si>
    <t>Elonva</t>
  </si>
  <si>
    <t>Grazax</t>
  </si>
  <si>
    <t>Odanacatib</t>
  </si>
  <si>
    <t>Suvorexant</t>
  </si>
  <si>
    <t>Asmanex</t>
  </si>
  <si>
    <t>Dulera</t>
  </si>
  <si>
    <t>Foradil</t>
  </si>
  <si>
    <t>Isentress</t>
  </si>
  <si>
    <t>Janumet/Janumet XR</t>
  </si>
  <si>
    <t>Januvia</t>
  </si>
  <si>
    <t>Januvia+Janumet+Janumet XR+Juvisync</t>
  </si>
  <si>
    <t>Juvisync</t>
  </si>
  <si>
    <t>Maxalt</t>
  </si>
  <si>
    <t>Nasonex</t>
  </si>
  <si>
    <t>Nuvaring</t>
  </si>
  <si>
    <t>Proventil</t>
  </si>
  <si>
    <t>Saphris</t>
  </si>
  <si>
    <t>Vytorin</t>
  </si>
  <si>
    <t>Zetia</t>
  </si>
  <si>
    <t>Zetia/Vytorin</t>
  </si>
  <si>
    <t>Zioptan</t>
  </si>
  <si>
    <t>Avelox oral</t>
  </si>
  <si>
    <t>Azasite</t>
  </si>
  <si>
    <t>Sylatron</t>
  </si>
  <si>
    <t>Emend IV</t>
  </si>
  <si>
    <t>Emend Oral</t>
  </si>
  <si>
    <t>Emend Total</t>
  </si>
  <si>
    <t>Follistim</t>
  </si>
  <si>
    <t>Ganirelix</t>
  </si>
  <si>
    <t>Implanon/Nexplanon</t>
  </si>
  <si>
    <t>Intron A</t>
  </si>
  <si>
    <t>Pegintron</t>
  </si>
  <si>
    <t>Temodar</t>
  </si>
  <si>
    <t>Victrelis</t>
  </si>
  <si>
    <t>Zolinza - CTCL</t>
  </si>
  <si>
    <t>Clarinex</t>
  </si>
  <si>
    <t>Cozaar</t>
  </si>
  <si>
    <t>Cozaar+Hyzaar</t>
  </si>
  <si>
    <t>Hyzaar</t>
  </si>
  <si>
    <t>Fosamax</t>
  </si>
  <si>
    <t>Fosamax plus D</t>
  </si>
  <si>
    <t>Propecia</t>
  </si>
  <si>
    <t>Singulair</t>
  </si>
  <si>
    <t>Zocor</t>
  </si>
  <si>
    <t xml:space="preserve">Retail rates include some aspects of the Health Care Reform: Managed Medicaid and Donut Hole, </t>
  </si>
  <si>
    <t>but exclude the HCR fee (the fee is treated as an expense since it is a tax and is therefore excluded from the gross to net space)</t>
  </si>
  <si>
    <t xml:space="preserve">For most of the D&amp;Rs provided by Jessica Smith (Source: F1), she only had a forecast for 2013, so we assumed a flat D&amp;R overtime </t>
  </si>
  <si>
    <t>(same assumption used in the 2012 analysis)</t>
  </si>
  <si>
    <t>*Rates reflect all discounting items before net sales</t>
  </si>
  <si>
    <t>*Specialty products - Excluded Non-Contracted and Specialty Pharmacy - MC Gross Sales</t>
  </si>
  <si>
    <t xml:space="preserve">Data source: US Pharma revenue forecasting group </t>
  </si>
  <si>
    <t>Catalog Price/day as of 12/31/2012</t>
  </si>
  <si>
    <t># of days on therapy/month</t>
  </si>
  <si>
    <t>Average Catalog Price/ Month (4Q 2012)</t>
  </si>
  <si>
    <t xml:space="preserve">US Patent Expiration Month-Year </t>
  </si>
  <si>
    <t>Price/RX</t>
  </si>
  <si>
    <t>Forecastor</t>
  </si>
  <si>
    <t>Note</t>
  </si>
  <si>
    <t>Launch Date</t>
  </si>
  <si>
    <t>Tabs/Rx</t>
  </si>
  <si>
    <t>Dave Cole</t>
  </si>
  <si>
    <t>Brad MacQueen</t>
  </si>
  <si>
    <t>Price per 75 IU</t>
  </si>
  <si>
    <t>Nicole Hynes</t>
  </si>
  <si>
    <t>n/a</t>
  </si>
  <si>
    <t>Nicole Hynes/ Mike Schwartz</t>
  </si>
  <si>
    <t>Ron Yang</t>
  </si>
  <si>
    <t>Mike Rathgeb</t>
  </si>
  <si>
    <t>Diabetes Franchise</t>
  </si>
  <si>
    <t>Phil Hodes</t>
  </si>
  <si>
    <t>Frank Stone</t>
  </si>
  <si>
    <t>Mature Brands</t>
  </si>
  <si>
    <t>John Bergmann</t>
  </si>
  <si>
    <t xml:space="preserve">   </t>
  </si>
  <si>
    <t>Short-term products</t>
  </si>
  <si>
    <t>Note: Although the sales per patient are initially obtained for the following year (2014), given that the model applies inflation to these values, we need to recalculate this values in 12/31/12 terms.</t>
  </si>
  <si>
    <t xml:space="preserve"> </t>
  </si>
  <si>
    <t>Gross Sales/Patient</t>
  </si>
  <si>
    <t>Year 2</t>
  </si>
  <si>
    <t>Year 3</t>
  </si>
  <si>
    <t>x</t>
  </si>
  <si>
    <t>1H15</t>
  </si>
  <si>
    <t>John Bergmann/Phil Hodes</t>
  </si>
  <si>
    <t>Gross Price Per Unit</t>
  </si>
  <si>
    <t>PGM Per Unit</t>
  </si>
  <si>
    <t>At End of Program</t>
  </si>
  <si>
    <t>At Start of Program</t>
  </si>
  <si>
    <t>Inhalers Per Patient</t>
  </si>
  <si>
    <t>DOES INC NPV MATCH INC COST - IS ITMING OF ENTRY OF PATIENTS TREATED CONSISTENTLY IN NUMERATOR AND DENOMINATOR? IS the patient cost all at time zero (current model does not PV the patient cost)</t>
  </si>
  <si>
    <t>Variable Cost Per Unit</t>
  </si>
  <si>
    <t>Incremental Per Unit (Test vs. Control)</t>
  </si>
  <si>
    <t>NEED TO CHANGE TO VLOOKUPS</t>
  </si>
  <si>
    <t>Program Start</t>
  </si>
  <si>
    <t>Program End</t>
  </si>
  <si>
    <t>Fills Per Patient</t>
  </si>
  <si>
    <t>Pills</t>
  </si>
  <si>
    <t>Pills Per Patient</t>
  </si>
  <si>
    <t>Scripts Per Patient</t>
  </si>
  <si>
    <t>Tablets Per Patient</t>
  </si>
  <si>
    <t>VYTORIN</t>
  </si>
  <si>
    <t>ZETIA</t>
  </si>
  <si>
    <t>JANUVIA</t>
  </si>
  <si>
    <t>JANUMET/JANUMET XR</t>
  </si>
  <si>
    <t>12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</si>
</sst>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0.0"/>
    <numFmt numFmtId="166" formatCode="0.0%"/>
    <numFmt numFmtId="167" formatCode="&quot;$&quot;#,##0.00"/>
    <numFmt numFmtId="168" formatCode="&quot;$&quot;#,##0.0"/>
    <numFmt numFmtId="169" formatCode="_(* #,##0_);_(* \(#,##0\);_(* &quot;-&quot;??_);_(@_)"/>
    <numFmt numFmtId="170" formatCode="_(* #,##0,_);_(* \(#,##0,\);_(* &quot;-&quot;_);_(@_)"/>
    <numFmt numFmtId="171" formatCode="_(&quot;$&quot;* #,##0_);_(&quot;$&quot;* \(#,##0\);_(&quot;$&quot;* &quot;-&quot;??_);_(@_)"/>
  </numFmts>
  <fonts count="3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0"/>
      <name val="Arial"/>
      <family val="2"/>
    </font>
    <font>
      <b/>
      <sz val="8"/>
      <color indexed="10"/>
      <name val="Book Antiqua"/>
      <family val="1"/>
    </font>
    <font>
      <i/>
      <sz val="8"/>
      <color indexed="10"/>
      <name val="Book Antiqua"/>
      <family val="1"/>
    </font>
    <font>
      <b/>
      <i/>
      <sz val="8"/>
      <color indexed="10"/>
      <name val="Book Antiqua"/>
      <family val="1"/>
    </font>
    <font>
      <i/>
      <sz val="8"/>
      <name val="Book Antiqua"/>
      <family val="1"/>
    </font>
    <font>
      <b/>
      <sz val="10"/>
      <name val="Arial"/>
      <family val="2"/>
    </font>
    <font>
      <i/>
      <u/>
      <sz val="8"/>
      <color indexed="10"/>
      <name val="Book Antiqua"/>
      <family val="1"/>
    </font>
    <font>
      <sz val="8"/>
      <name val="Book Antiqua"/>
      <family val="1"/>
    </font>
    <font>
      <i/>
      <sz val="9"/>
      <name val="Arial"/>
      <family val="2"/>
    </font>
    <font>
      <i/>
      <sz val="8"/>
      <color indexed="17"/>
      <name val="Book Antiqua"/>
      <family val="1"/>
    </font>
    <font>
      <i/>
      <sz val="10"/>
      <name val="Book Antiqua"/>
      <family val="1"/>
    </font>
    <font>
      <i/>
      <u/>
      <sz val="8"/>
      <name val="Book Antiqua"/>
      <family val="1"/>
    </font>
    <font>
      <sz val="8"/>
      <color indexed="17"/>
      <name val="Book Antiqua"/>
      <family val="1"/>
    </font>
    <font>
      <i/>
      <sz val="8"/>
      <color indexed="16"/>
      <name val="Book Antiqua"/>
      <family val="1"/>
    </font>
    <font>
      <sz val="10"/>
      <color indexed="14"/>
      <name val="Arial"/>
      <family val="2"/>
    </font>
    <font>
      <sz val="8"/>
      <color rgb="FFFF0000"/>
      <name val="Arial"/>
      <family val="2"/>
    </font>
    <font>
      <sz val="9"/>
      <name val="Arial"/>
      <family val="2"/>
    </font>
    <font>
      <i/>
      <sz val="8"/>
      <color indexed="14"/>
      <name val="Book Antiqua"/>
      <family val="1"/>
    </font>
    <font>
      <sz val="10"/>
      <name val="Times New Roman"/>
      <family val="1"/>
    </font>
    <font>
      <b/>
      <sz val="11"/>
      <name val="Times New Roman"/>
      <family val="1"/>
    </font>
    <font>
      <b/>
      <sz val="9"/>
      <name val="Arial"/>
      <family val="2"/>
    </font>
    <font>
      <sz val="8"/>
      <name val="Arial"/>
      <family val="2"/>
    </font>
    <font>
      <sz val="6"/>
      <name val="Arial"/>
      <family val="2"/>
    </font>
    <font>
      <b/>
      <sz val="6"/>
      <name val="Arial"/>
      <family val="2"/>
    </font>
    <font>
      <b/>
      <sz val="10"/>
      <color theme="0" tint="-0.34998626667073579"/>
      <name val="Arial"/>
      <family val="2"/>
    </font>
    <font>
      <sz val="10"/>
      <color theme="1"/>
      <name val="Arial"/>
      <family val="2"/>
    </font>
    <font>
      <sz val="10"/>
      <color theme="0" tint="-0.34998626667073579"/>
      <name val="Arial"/>
      <family val="2"/>
    </font>
    <font>
      <sz val="10"/>
      <color rgb="FFFF0000"/>
      <name val="Arial"/>
      <family val="2"/>
    </font>
    <font>
      <b/>
      <sz val="9"/>
      <color indexed="8"/>
      <name val="Tahoma"/>
      <family val="2"/>
    </font>
    <font>
      <sz val="9"/>
      <color indexed="8"/>
      <name val="Tahoma"/>
      <family val="2"/>
    </font>
    <font>
      <b/>
      <sz val="11"/>
      <color rgb="FFFF0000"/>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rgb="FF99CC00"/>
        <bgColor rgb="FF000000"/>
      </patternFill>
    </fill>
  </fills>
  <borders count="43">
    <border>
      <left/>
      <right/>
      <top/>
      <bottom/>
      <diagonal/>
    </border>
    <border>
      <left/>
      <right/>
      <top/>
      <bottom style="double">
        <color auto="1"/>
      </bottom>
      <diagonal/>
    </border>
    <border>
      <left/>
      <right/>
      <top/>
      <bottom style="thin">
        <color auto="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s>
  <cellStyleXfs count="11">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5" fillId="0" borderId="0"/>
    <xf numFmtId="9" fontId="5" fillId="0" borderId="0" applyFont="0" applyFill="0" applyBorder="0" applyAlignment="0" applyProtection="0"/>
    <xf numFmtId="0" fontId="5" fillId="0" borderId="0" applyNumberFormat="0" applyFill="0" applyBorder="0" applyAlignment="0" applyProtection="0"/>
    <xf numFmtId="170" fontId="5" fillId="0" borderId="0" applyFont="0" applyFill="0" applyBorder="0" applyProtection="0">
      <alignment horizontal="right"/>
    </xf>
    <xf numFmtId="0" fontId="23" fillId="0" borderId="0"/>
    <xf numFmtId="0" fontId="24" fillId="0" borderId="0"/>
    <xf numFmtId="44" fontId="5" fillId="0" borderId="0" applyFont="0" applyFill="0" applyBorder="0" applyAlignment="0" applyProtection="0"/>
  </cellStyleXfs>
  <cellXfs count="311">
    <xf numFmtId="0" fontId="0" fillId="0" borderId="0" xfId="0"/>
    <xf numFmtId="0" fontId="0" fillId="0" borderId="0" xfId="0" applyAlignment="1">
      <alignment horizontal="center"/>
    </xf>
    <xf numFmtId="0" fontId="0" fillId="0" borderId="0" xfId="0" applyAlignment="1">
      <alignment horizontal="center" wrapText="1"/>
    </xf>
    <xf numFmtId="164" fontId="0" fillId="0" borderId="0" xfId="0" applyNumberFormat="1"/>
    <xf numFmtId="41" fontId="0" fillId="0" borderId="0" xfId="0" applyNumberFormat="1"/>
    <xf numFmtId="0" fontId="1" fillId="0" borderId="0" xfId="0" applyFont="1"/>
    <xf numFmtId="0" fontId="0" fillId="0" borderId="0" xfId="0" applyAlignment="1">
      <alignment wrapText="1"/>
    </xf>
    <xf numFmtId="0" fontId="0" fillId="0" borderId="0" xfId="0" applyAlignment="1">
      <alignment horizontal="left" indent="1"/>
    </xf>
    <xf numFmtId="0" fontId="1" fillId="0" borderId="0" xfId="0" applyFont="1" applyAlignment="1">
      <alignment horizontal="center"/>
    </xf>
    <xf numFmtId="37" fontId="0" fillId="0" borderId="0" xfId="0" applyNumberFormat="1"/>
    <xf numFmtId="165" fontId="0" fillId="0" borderId="0" xfId="0" applyNumberFormat="1"/>
    <xf numFmtId="166" fontId="0" fillId="0" borderId="0" xfId="0" applyNumberFormat="1"/>
    <xf numFmtId="167" fontId="0" fillId="0" borderId="0" xfId="0" applyNumberFormat="1"/>
    <xf numFmtId="0" fontId="1" fillId="0" borderId="0" xfId="0" applyFont="1" applyAlignment="1"/>
    <xf numFmtId="0" fontId="0" fillId="0" borderId="0" xfId="0" applyAlignment="1"/>
    <xf numFmtId="0" fontId="0" fillId="0" borderId="0" xfId="0" applyAlignment="1">
      <alignment horizontal="left"/>
    </xf>
    <xf numFmtId="37" fontId="0" fillId="0" borderId="0" xfId="0" applyNumberFormat="1" applyAlignment="1">
      <alignment horizontal="center"/>
    </xf>
    <xf numFmtId="0" fontId="0" fillId="0" borderId="1" xfId="0" applyBorder="1"/>
    <xf numFmtId="0" fontId="0" fillId="0" borderId="1" xfId="0" applyBorder="1" applyAlignment="1">
      <alignment horizontal="center"/>
    </xf>
    <xf numFmtId="165" fontId="0" fillId="0" borderId="1" xfId="0" applyNumberFormat="1" applyBorder="1"/>
    <xf numFmtId="166" fontId="0" fillId="0" borderId="1" xfId="0" applyNumberFormat="1" applyBorder="1"/>
    <xf numFmtId="167" fontId="0" fillId="0" borderId="1" xfId="0" applyNumberFormat="1" applyBorder="1"/>
    <xf numFmtId="0" fontId="0" fillId="0" borderId="2" xfId="0" applyBorder="1"/>
    <xf numFmtId="0" fontId="0" fillId="0" borderId="2" xfId="0" applyBorder="1" applyAlignment="1"/>
    <xf numFmtId="0" fontId="0" fillId="0" borderId="2" xfId="0" applyBorder="1" applyAlignment="1">
      <alignment horizontal="center"/>
    </xf>
    <xf numFmtId="0" fontId="0" fillId="2" borderId="0" xfId="0" applyFill="1" applyAlignment="1">
      <alignment horizontal="center" wrapText="1"/>
    </xf>
    <xf numFmtId="0" fontId="0" fillId="0" borderId="0" xfId="0" applyBorder="1" applyAlignment="1">
      <alignment wrapText="1"/>
    </xf>
    <xf numFmtId="0" fontId="0" fillId="0" borderId="0" xfId="0" applyBorder="1"/>
    <xf numFmtId="0" fontId="0" fillId="0" borderId="0" xfId="0" applyFill="1" applyAlignment="1">
      <alignment horizontal="center" wrapText="1"/>
    </xf>
    <xf numFmtId="168" fontId="0" fillId="2" borderId="0" xfId="0" applyNumberFormat="1" applyFill="1" applyAlignment="1">
      <alignment horizontal="center" wrapText="1"/>
    </xf>
    <xf numFmtId="168" fontId="0" fillId="2" borderId="0" xfId="0" applyNumberFormat="1" applyFill="1"/>
    <xf numFmtId="168" fontId="0" fillId="2" borderId="1" xfId="0" applyNumberFormat="1" applyFill="1" applyBorder="1"/>
    <xf numFmtId="3" fontId="0" fillId="2" borderId="0" xfId="0" applyNumberFormat="1" applyFill="1" applyAlignment="1">
      <alignment horizontal="center" wrapText="1"/>
    </xf>
    <xf numFmtId="3" fontId="0" fillId="2" borderId="0" xfId="0" applyNumberFormat="1" applyFill="1"/>
    <xf numFmtId="3" fontId="0" fillId="2" borderId="1" xfId="0" applyNumberFormat="1" applyFill="1" applyBorder="1"/>
    <xf numFmtId="167" fontId="0" fillId="2" borderId="0" xfId="0" applyNumberFormat="1" applyFill="1" applyAlignment="1">
      <alignment horizontal="center" wrapText="1"/>
    </xf>
    <xf numFmtId="167" fontId="0" fillId="2" borderId="0" xfId="0" applyNumberFormat="1" applyFill="1"/>
    <xf numFmtId="167" fontId="0" fillId="2" borderId="1" xfId="0" applyNumberFormat="1" applyFill="1" applyBorder="1"/>
    <xf numFmtId="168" fontId="0" fillId="0" borderId="0" xfId="0" applyNumberFormat="1" applyAlignment="1">
      <alignment horizontal="center" wrapText="1"/>
    </xf>
    <xf numFmtId="168" fontId="0" fillId="0" borderId="0" xfId="0" applyNumberFormat="1"/>
    <xf numFmtId="168" fontId="0" fillId="0" borderId="1" xfId="0" applyNumberFormat="1" applyBorder="1"/>
    <xf numFmtId="168" fontId="0" fillId="0" borderId="0" xfId="0" applyNumberFormat="1" applyAlignment="1">
      <alignment wrapText="1"/>
    </xf>
    <xf numFmtId="168" fontId="0" fillId="0" borderId="1" xfId="0" applyNumberFormat="1" applyBorder="1" applyAlignment="1">
      <alignment wrapText="1"/>
    </xf>
    <xf numFmtId="0" fontId="0" fillId="0" borderId="3" xfId="0" applyBorder="1" applyAlignment="1"/>
    <xf numFmtId="0" fontId="0" fillId="3" borderId="0" xfId="0" applyFill="1" applyAlignment="1">
      <alignment horizontal="left" indent="1"/>
    </xf>
    <xf numFmtId="0" fontId="0" fillId="3" borderId="0" xfId="0" applyFill="1" applyAlignment="1"/>
    <xf numFmtId="0" fontId="0" fillId="3" borderId="0" xfId="0" applyFill="1" applyAlignment="1">
      <alignment horizontal="center"/>
    </xf>
    <xf numFmtId="37" fontId="0" fillId="3" borderId="0" xfId="0" applyNumberFormat="1" applyFill="1"/>
    <xf numFmtId="165" fontId="0" fillId="3" borderId="0" xfId="0" applyNumberFormat="1" applyFill="1"/>
    <xf numFmtId="166" fontId="0" fillId="3" borderId="0" xfId="0" applyNumberFormat="1" applyFill="1"/>
    <xf numFmtId="167" fontId="0" fillId="3" borderId="0" xfId="0" applyNumberFormat="1" applyFill="1"/>
    <xf numFmtId="0" fontId="0" fillId="3" borderId="0" xfId="0" applyFill="1" applyBorder="1" applyAlignment="1"/>
    <xf numFmtId="0" fontId="0" fillId="0" borderId="5" xfId="0" applyBorder="1" applyAlignment="1">
      <alignment horizontal="centerContinuous"/>
    </xf>
    <xf numFmtId="0" fontId="0" fillId="0" borderId="6" xfId="0" applyBorder="1" applyAlignment="1">
      <alignment horizontal="centerContinuous"/>
    </xf>
    <xf numFmtId="0" fontId="0" fillId="0" borderId="9" xfId="0" applyBorder="1"/>
    <xf numFmtId="0" fontId="0" fillId="0" borderId="6" xfId="0" applyBorder="1"/>
    <xf numFmtId="0" fontId="0" fillId="0" borderId="11" xfId="0" applyBorder="1" applyAlignment="1">
      <alignment horizontal="centerContinuous"/>
    </xf>
    <xf numFmtId="0" fontId="0" fillId="0" borderId="5" xfId="0" applyBorder="1"/>
    <xf numFmtId="0" fontId="0" fillId="0" borderId="11" xfId="0" applyBorder="1"/>
    <xf numFmtId="169" fontId="0" fillId="0" borderId="0" xfId="1" applyNumberFormat="1" applyFont="1"/>
    <xf numFmtId="44" fontId="0" fillId="0" borderId="0" xfId="2" applyFont="1"/>
    <xf numFmtId="0" fontId="6" fillId="0" borderId="0" xfId="4" applyFont="1" applyFill="1"/>
    <xf numFmtId="0" fontId="5" fillId="0" borderId="0" xfId="4"/>
    <xf numFmtId="0" fontId="7" fillId="0" borderId="0" xfId="4" applyFont="1" applyBorder="1"/>
    <xf numFmtId="0" fontId="5" fillId="0" borderId="0" xfId="4" applyFont="1"/>
    <xf numFmtId="0" fontId="8" fillId="0" borderId="0" xfId="4" applyFont="1" applyBorder="1"/>
    <xf numFmtId="0" fontId="5" fillId="0" borderId="12" xfId="4" applyBorder="1"/>
    <xf numFmtId="0" fontId="5" fillId="0" borderId="13" xfId="4" applyBorder="1"/>
    <xf numFmtId="0" fontId="9" fillId="0" borderId="13" xfId="4" applyFont="1" applyBorder="1"/>
    <xf numFmtId="0" fontId="10" fillId="0" borderId="14" xfId="4" applyFont="1" applyBorder="1"/>
    <xf numFmtId="0" fontId="12" fillId="0" borderId="0" xfId="4" applyFont="1"/>
    <xf numFmtId="0" fontId="9" fillId="0" borderId="0" xfId="4" applyFont="1"/>
    <xf numFmtId="0" fontId="13" fillId="0" borderId="0" xfId="4" applyFont="1"/>
    <xf numFmtId="0" fontId="14" fillId="0" borderId="0" xfId="4" applyFont="1" applyBorder="1"/>
    <xf numFmtId="0" fontId="14" fillId="0" borderId="0" xfId="4" applyFont="1"/>
    <xf numFmtId="0" fontId="9" fillId="0" borderId="0" xfId="4" applyFont="1" applyBorder="1"/>
    <xf numFmtId="0" fontId="12" fillId="0" borderId="0" xfId="4" applyFont="1" applyBorder="1"/>
    <xf numFmtId="0" fontId="15" fillId="0" borderId="15" xfId="4" applyFont="1" applyFill="1" applyBorder="1"/>
    <xf numFmtId="0" fontId="16" fillId="0" borderId="16" xfId="4" applyFont="1" applyBorder="1"/>
    <xf numFmtId="0" fontId="16" fillId="0" borderId="17" xfId="4" applyFont="1" applyBorder="1"/>
    <xf numFmtId="0" fontId="15" fillId="0" borderId="18" xfId="4" applyFont="1" applyFill="1" applyBorder="1"/>
    <xf numFmtId="0" fontId="16" fillId="0" borderId="19" xfId="4" applyFont="1" applyBorder="1"/>
    <xf numFmtId="0" fontId="5" fillId="0" borderId="20" xfId="4" applyFont="1" applyFill="1" applyBorder="1"/>
    <xf numFmtId="166" fontId="9" fillId="4" borderId="21" xfId="5" applyNumberFormat="1" applyFont="1" applyFill="1" applyBorder="1"/>
    <xf numFmtId="166" fontId="9" fillId="4" borderId="22" xfId="5" applyNumberFormat="1" applyFont="1" applyFill="1" applyBorder="1"/>
    <xf numFmtId="9" fontId="5" fillId="0" borderId="0" xfId="5"/>
    <xf numFmtId="0" fontId="17" fillId="0" borderId="0" xfId="4" applyFont="1"/>
    <xf numFmtId="0" fontId="5" fillId="0" borderId="23" xfId="4" applyFont="1" applyBorder="1"/>
    <xf numFmtId="9" fontId="9" fillId="4" borderId="24" xfId="5" applyNumberFormat="1" applyFont="1" applyFill="1" applyBorder="1"/>
    <xf numFmtId="9" fontId="9" fillId="4" borderId="21" xfId="5" applyNumberFormat="1" applyFont="1" applyFill="1" applyBorder="1"/>
    <xf numFmtId="9" fontId="9" fillId="4" borderId="22" xfId="5" applyNumberFormat="1" applyFont="1" applyFill="1" applyBorder="1"/>
    <xf numFmtId="0" fontId="5" fillId="0" borderId="15" xfId="4" applyFont="1" applyBorder="1"/>
    <xf numFmtId="9" fontId="9" fillId="4" borderId="25" xfId="5" applyNumberFormat="1" applyFont="1" applyFill="1" applyBorder="1"/>
    <xf numFmtId="10" fontId="9" fillId="4" borderId="21" xfId="5" applyNumberFormat="1" applyFont="1" applyFill="1" applyBorder="1"/>
    <xf numFmtId="9" fontId="12" fillId="4" borderId="22" xfId="4" applyNumberFormat="1" applyFont="1" applyFill="1" applyBorder="1"/>
    <xf numFmtId="9" fontId="17" fillId="0" borderId="0" xfId="4" applyNumberFormat="1" applyFont="1"/>
    <xf numFmtId="0" fontId="5" fillId="0" borderId="26" xfId="4" applyFont="1" applyFill="1" applyBorder="1"/>
    <xf numFmtId="166" fontId="9" fillId="4" borderId="4" xfId="5" applyNumberFormat="1" applyFont="1" applyFill="1" applyBorder="1"/>
    <xf numFmtId="166" fontId="9" fillId="4" borderId="27" xfId="5" applyNumberFormat="1" applyFont="1" applyFill="1" applyBorder="1"/>
    <xf numFmtId="0" fontId="5" fillId="0" borderId="28" xfId="4" applyFont="1" applyBorder="1"/>
    <xf numFmtId="9" fontId="9" fillId="4" borderId="29" xfId="5" applyNumberFormat="1" applyFont="1" applyFill="1" applyBorder="1"/>
    <xf numFmtId="9" fontId="9" fillId="4" borderId="10" xfId="5" applyNumberFormat="1" applyFont="1" applyFill="1" applyBorder="1"/>
    <xf numFmtId="9" fontId="9" fillId="4" borderId="30" xfId="5" applyNumberFormat="1" applyFont="1" applyFill="1" applyBorder="1"/>
    <xf numFmtId="0" fontId="5" fillId="0" borderId="31" xfId="4" applyFont="1" applyBorder="1"/>
    <xf numFmtId="9" fontId="9" fillId="4" borderId="8" xfId="5" applyNumberFormat="1" applyFont="1" applyFill="1" applyBorder="1"/>
    <xf numFmtId="10" fontId="9" fillId="4" borderId="10" xfId="5" applyNumberFormat="1" applyFont="1" applyFill="1" applyBorder="1"/>
    <xf numFmtId="9" fontId="12" fillId="4" borderId="30" xfId="4" applyNumberFormat="1" applyFont="1" applyFill="1" applyBorder="1"/>
    <xf numFmtId="0" fontId="5" fillId="0" borderId="32" xfId="4" applyFont="1" applyFill="1" applyBorder="1"/>
    <xf numFmtId="166" fontId="18" fillId="0" borderId="0" xfId="5" applyNumberFormat="1" applyFont="1" applyFill="1" applyBorder="1"/>
    <xf numFmtId="9" fontId="9" fillId="4" borderId="33" xfId="5" applyNumberFormat="1" applyFont="1" applyFill="1" applyBorder="1"/>
    <xf numFmtId="9" fontId="9" fillId="4" borderId="4" xfId="5" applyNumberFormat="1" applyFont="1" applyFill="1" applyBorder="1"/>
    <xf numFmtId="9" fontId="9" fillId="4" borderId="27" xfId="5" applyNumberFormat="1" applyFont="1" applyFill="1" applyBorder="1"/>
    <xf numFmtId="9" fontId="9" fillId="4" borderId="14" xfId="5" applyNumberFormat="1" applyFont="1" applyFill="1" applyBorder="1"/>
    <xf numFmtId="0" fontId="6" fillId="0" borderId="0" xfId="4" applyFont="1"/>
    <xf numFmtId="10" fontId="18" fillId="0" borderId="0" xfId="5" applyNumberFormat="1" applyFont="1" applyBorder="1"/>
    <xf numFmtId="9" fontId="18" fillId="0" borderId="0" xfId="5" applyNumberFormat="1" applyFont="1" applyFill="1" applyBorder="1"/>
    <xf numFmtId="166" fontId="9" fillId="4" borderId="14" xfId="5" applyNumberFormat="1" applyFont="1" applyFill="1" applyBorder="1"/>
    <xf numFmtId="0" fontId="5" fillId="0" borderId="28" xfId="4" applyFont="1" applyFill="1" applyBorder="1"/>
    <xf numFmtId="9" fontId="5" fillId="0" borderId="0" xfId="5" applyFont="1"/>
    <xf numFmtId="0" fontId="5" fillId="0" borderId="0" xfId="4" applyFill="1"/>
    <xf numFmtId="0" fontId="5" fillId="0" borderId="32" xfId="4" quotePrefix="1" applyFont="1" applyFill="1" applyBorder="1"/>
    <xf numFmtId="0" fontId="5" fillId="0" borderId="31" xfId="4" quotePrefix="1" applyFont="1" applyBorder="1"/>
    <xf numFmtId="0" fontId="5" fillId="0" borderId="28" xfId="4" quotePrefix="1" applyFont="1" applyBorder="1"/>
    <xf numFmtId="0" fontId="19" fillId="0" borderId="0" xfId="4" applyFont="1"/>
    <xf numFmtId="0" fontId="5" fillId="0" borderId="34" xfId="4" applyFont="1" applyFill="1" applyBorder="1"/>
    <xf numFmtId="166" fontId="9" fillId="4" borderId="35" xfId="5" applyNumberFormat="1" applyFont="1" applyFill="1" applyBorder="1"/>
    <xf numFmtId="166" fontId="9" fillId="4" borderId="36" xfId="5" applyNumberFormat="1" applyFont="1" applyFill="1" applyBorder="1"/>
    <xf numFmtId="0" fontId="5" fillId="0" borderId="37" xfId="4" applyFont="1" applyBorder="1"/>
    <xf numFmtId="9" fontId="9" fillId="4" borderId="38" xfId="5" applyNumberFormat="1" applyFont="1" applyFill="1" applyBorder="1"/>
    <xf numFmtId="9" fontId="9" fillId="4" borderId="35" xfId="5" applyNumberFormat="1" applyFont="1" applyFill="1" applyBorder="1"/>
    <xf numFmtId="9" fontId="9" fillId="4" borderId="36" xfId="5" applyNumberFormat="1" applyFont="1" applyFill="1" applyBorder="1"/>
    <xf numFmtId="0" fontId="5" fillId="0" borderId="39" xfId="4" applyFont="1" applyBorder="1"/>
    <xf numFmtId="9" fontId="9" fillId="4" borderId="40" xfId="5" applyNumberFormat="1" applyFont="1" applyFill="1" applyBorder="1"/>
    <xf numFmtId="0" fontId="20" fillId="0" borderId="0" xfId="4" applyFont="1"/>
    <xf numFmtId="9" fontId="18" fillId="0" borderId="29" xfId="5" applyNumberFormat="1" applyFont="1" applyFill="1" applyBorder="1"/>
    <xf numFmtId="9" fontId="18" fillId="0" borderId="10" xfId="5" applyNumberFormat="1" applyFont="1" applyFill="1" applyBorder="1"/>
    <xf numFmtId="9" fontId="18" fillId="0" borderId="30" xfId="5" applyNumberFormat="1" applyFont="1" applyFill="1" applyBorder="1"/>
    <xf numFmtId="0" fontId="19" fillId="0" borderId="31" xfId="4" applyFont="1" applyBorder="1"/>
    <xf numFmtId="9" fontId="18" fillId="0" borderId="8" xfId="5" applyNumberFormat="1" applyFont="1" applyFill="1" applyBorder="1"/>
    <xf numFmtId="9" fontId="18" fillId="0" borderId="33" xfId="5" applyNumberFormat="1" applyFont="1" applyFill="1" applyBorder="1"/>
    <xf numFmtId="9" fontId="18" fillId="0" borderId="4" xfId="5" applyNumberFormat="1" applyFont="1" applyFill="1" applyBorder="1"/>
    <xf numFmtId="9" fontId="18" fillId="0" borderId="27" xfId="5" applyNumberFormat="1" applyFont="1" applyFill="1" applyBorder="1"/>
    <xf numFmtId="9" fontId="18" fillId="0" borderId="14" xfId="5" applyNumberFormat="1" applyFont="1" applyFill="1" applyBorder="1"/>
    <xf numFmtId="0" fontId="21" fillId="0" borderId="0" xfId="4" applyFont="1"/>
    <xf numFmtId="9" fontId="22" fillId="0" borderId="0" xfId="5" applyNumberFormat="1" applyFont="1" applyFill="1" applyBorder="1"/>
    <xf numFmtId="0" fontId="21" fillId="0" borderId="0" xfId="4" applyFont="1" applyFill="1"/>
    <xf numFmtId="166" fontId="22" fillId="0" borderId="0" xfId="5" applyNumberFormat="1" applyFont="1" applyFill="1" applyBorder="1"/>
    <xf numFmtId="9" fontId="18" fillId="0" borderId="38" xfId="5" applyNumberFormat="1" applyFont="1" applyFill="1" applyBorder="1"/>
    <xf numFmtId="9" fontId="18" fillId="0" borderId="35" xfId="5" applyNumberFormat="1" applyFont="1" applyFill="1" applyBorder="1"/>
    <xf numFmtId="9" fontId="18" fillId="0" borderId="36" xfId="5" applyNumberFormat="1" applyFont="1" applyFill="1" applyBorder="1"/>
    <xf numFmtId="9" fontId="18" fillId="0" borderId="40" xfId="5" applyNumberFormat="1" applyFont="1" applyFill="1" applyBorder="1"/>
    <xf numFmtId="0" fontId="25" fillId="0" borderId="0" xfId="4" applyFont="1" applyFill="1"/>
    <xf numFmtId="0" fontId="10" fillId="0" borderId="0" xfId="4" applyFont="1" applyFill="1"/>
    <xf numFmtId="0" fontId="5" fillId="0" borderId="0" xfId="4" applyFont="1" applyFill="1"/>
    <xf numFmtId="44" fontId="5" fillId="0" borderId="0" xfId="4" applyNumberFormat="1" applyFont="1" applyFill="1"/>
    <xf numFmtId="0" fontId="5" fillId="0" borderId="0" xfId="4" applyFill="1" applyAlignment="1">
      <alignment horizontal="right"/>
    </xf>
    <xf numFmtId="9" fontId="5" fillId="0" borderId="0" xfId="4" applyNumberFormat="1" applyFill="1"/>
    <xf numFmtId="0" fontId="5" fillId="0" borderId="0" xfId="4" applyFill="1" applyAlignment="1">
      <alignment horizontal="center"/>
    </xf>
    <xf numFmtId="170" fontId="5" fillId="0" borderId="0" xfId="7" applyNumberFormat="1" applyFont="1" applyFill="1" applyBorder="1" applyAlignment="1">
      <alignment horizontal="left" vertical="center"/>
    </xf>
    <xf numFmtId="0" fontId="5" fillId="0" borderId="0" xfId="4" applyFill="1" applyAlignment="1">
      <alignment wrapText="1"/>
    </xf>
    <xf numFmtId="0" fontId="26" fillId="0" borderId="0" xfId="4" applyFont="1" applyFill="1"/>
    <xf numFmtId="0" fontId="27" fillId="0" borderId="0" xfId="4" applyFont="1" applyFill="1"/>
    <xf numFmtId="9" fontId="5" fillId="0" borderId="0" xfId="5" applyFont="1" applyFill="1"/>
    <xf numFmtId="0" fontId="26" fillId="0" borderId="0" xfId="4" applyFont="1" applyFill="1" applyAlignment="1">
      <alignment horizontal="right"/>
    </xf>
    <xf numFmtId="0" fontId="26" fillId="0" borderId="0" xfId="4" applyFont="1" applyFill="1" applyAlignment="1">
      <alignment horizontal="center"/>
    </xf>
    <xf numFmtId="0" fontId="26" fillId="0" borderId="0" xfId="4" applyFont="1" applyFill="1" applyAlignment="1">
      <alignment wrapText="1"/>
    </xf>
    <xf numFmtId="0" fontId="27" fillId="5" borderId="5" xfId="4" applyFont="1" applyFill="1" applyBorder="1"/>
    <xf numFmtId="0" fontId="5" fillId="5" borderId="11" xfId="4" applyFont="1" applyFill="1" applyBorder="1"/>
    <xf numFmtId="44" fontId="5" fillId="5" borderId="11" xfId="4" applyNumberFormat="1" applyFont="1" applyFill="1" applyBorder="1"/>
    <xf numFmtId="0" fontId="10" fillId="5" borderId="11" xfId="4" applyFont="1" applyFill="1" applyBorder="1" applyAlignment="1">
      <alignment horizontal="right" wrapText="1"/>
    </xf>
    <xf numFmtId="0" fontId="10" fillId="5" borderId="11" xfId="4" applyFont="1" applyFill="1" applyBorder="1" applyAlignment="1">
      <alignment horizontal="centerContinuous" wrapText="1"/>
    </xf>
    <xf numFmtId="0" fontId="10" fillId="5" borderId="11" xfId="4" applyFont="1" applyFill="1" applyBorder="1" applyAlignment="1">
      <alignment horizontal="center" wrapText="1"/>
    </xf>
    <xf numFmtId="170" fontId="5" fillId="5" borderId="11" xfId="7" applyNumberFormat="1" applyFont="1" applyFill="1" applyBorder="1" applyAlignment="1">
      <alignment horizontal="left" vertical="center"/>
    </xf>
    <xf numFmtId="0" fontId="26" fillId="5" borderId="6" xfId="4" applyFont="1" applyFill="1" applyBorder="1" applyAlignment="1">
      <alignment wrapText="1"/>
    </xf>
    <xf numFmtId="0" fontId="10" fillId="0" borderId="0" xfId="4" applyFont="1" applyFill="1" applyBorder="1" applyAlignment="1">
      <alignment horizontal="center"/>
    </xf>
    <xf numFmtId="0" fontId="28" fillId="5" borderId="41" xfId="4" applyFont="1" applyFill="1" applyBorder="1" applyAlignment="1">
      <alignment horizontal="center"/>
    </xf>
    <xf numFmtId="0" fontId="10" fillId="5" borderId="0" xfId="4" applyFont="1" applyFill="1" applyBorder="1" applyAlignment="1">
      <alignment horizontal="center" wrapText="1"/>
    </xf>
    <xf numFmtId="44" fontId="10" fillId="5" borderId="0" xfId="4" applyNumberFormat="1" applyFont="1" applyFill="1" applyBorder="1" applyAlignment="1">
      <alignment horizontal="center" wrapText="1"/>
    </xf>
    <xf numFmtId="0" fontId="10" fillId="5" borderId="0" xfId="4" applyFont="1" applyFill="1" applyBorder="1" applyAlignment="1">
      <alignment horizontal="center"/>
    </xf>
    <xf numFmtId="170" fontId="10" fillId="5" borderId="0" xfId="7" applyNumberFormat="1" applyFont="1" applyFill="1" applyBorder="1" applyAlignment="1">
      <alignment horizontal="center" vertical="center"/>
    </xf>
    <xf numFmtId="170" fontId="10" fillId="5" borderId="42" xfId="7" applyNumberFormat="1" applyFont="1" applyFill="1" applyBorder="1" applyAlignment="1">
      <alignment horizontal="center" vertical="center"/>
    </xf>
    <xf numFmtId="0" fontId="10" fillId="0" borderId="0" xfId="4" applyFont="1" applyFill="1" applyAlignment="1">
      <alignment horizontal="center"/>
    </xf>
    <xf numFmtId="44" fontId="29" fillId="6" borderId="5" xfId="4" applyNumberFormat="1" applyFont="1" applyFill="1" applyBorder="1" applyAlignment="1">
      <alignment horizontal="center" wrapText="1"/>
    </xf>
    <xf numFmtId="0" fontId="5" fillId="0" borderId="5" xfId="4" applyFont="1" applyFill="1" applyBorder="1"/>
    <xf numFmtId="8" fontId="30" fillId="0" borderId="41" xfId="4" applyNumberFormat="1" applyFont="1" applyFill="1" applyBorder="1"/>
    <xf numFmtId="0" fontId="30" fillId="0" borderId="0" xfId="4" applyFont="1" applyFill="1" applyBorder="1"/>
    <xf numFmtId="8" fontId="30" fillId="0" borderId="0" xfId="4" applyNumberFormat="1" applyFont="1" applyFill="1" applyBorder="1"/>
    <xf numFmtId="17" fontId="30" fillId="0" borderId="0" xfId="4" applyNumberFormat="1" applyFont="1" applyFill="1" applyBorder="1"/>
    <xf numFmtId="9" fontId="30" fillId="0" borderId="41" xfId="4" applyNumberFormat="1" applyFont="1" applyFill="1" applyBorder="1"/>
    <xf numFmtId="9" fontId="30" fillId="0" borderId="0" xfId="4" applyNumberFormat="1" applyFont="1" applyFill="1" applyBorder="1"/>
    <xf numFmtId="9" fontId="30" fillId="0" borderId="42" xfId="4" applyNumberFormat="1" applyFont="1" applyFill="1" applyBorder="1"/>
    <xf numFmtId="170" fontId="5" fillId="0" borderId="11" xfId="7" applyNumberFormat="1" applyFont="1" applyFill="1" applyBorder="1" applyAlignment="1">
      <alignment horizontal="left" vertical="center"/>
    </xf>
    <xf numFmtId="0" fontId="5" fillId="0" borderId="6" xfId="4" applyFill="1" applyBorder="1" applyAlignment="1">
      <alignment horizontal="left" vertical="center"/>
    </xf>
    <xf numFmtId="17" fontId="31" fillId="0" borderId="41" xfId="4" applyNumberFormat="1" applyFont="1" applyFill="1" applyBorder="1"/>
    <xf numFmtId="0" fontId="31" fillId="0" borderId="42" xfId="4" applyFont="1" applyFill="1" applyBorder="1"/>
    <xf numFmtId="0" fontId="5" fillId="0" borderId="41" xfId="4" applyFont="1" applyFill="1" applyBorder="1"/>
    <xf numFmtId="167" fontId="5" fillId="0" borderId="41" xfId="10" applyNumberFormat="1" applyFont="1" applyFill="1" applyBorder="1"/>
    <xf numFmtId="0" fontId="5" fillId="0" borderId="0" xfId="4" applyFont="1" applyFill="1" applyBorder="1"/>
    <xf numFmtId="44" fontId="5" fillId="0" borderId="0" xfId="4" applyNumberFormat="1" applyFont="1" applyFill="1" applyBorder="1"/>
    <xf numFmtId="17" fontId="5" fillId="0" borderId="0" xfId="4" applyNumberFormat="1" applyFont="1" applyFill="1" applyBorder="1"/>
    <xf numFmtId="9" fontId="5" fillId="0" borderId="41" xfId="5" applyFont="1" applyFill="1" applyBorder="1"/>
    <xf numFmtId="9" fontId="5" fillId="0" borderId="0" xfId="5" applyFont="1" applyFill="1" applyBorder="1"/>
    <xf numFmtId="9" fontId="5" fillId="0" borderId="42" xfId="5" applyFont="1" applyFill="1" applyBorder="1"/>
    <xf numFmtId="167" fontId="30" fillId="0" borderId="0" xfId="4" applyNumberFormat="1" applyFont="1" applyFill="1" applyBorder="1"/>
    <xf numFmtId="170" fontId="5" fillId="0" borderId="42" xfId="7" applyNumberFormat="1" applyFont="1" applyFill="1" applyBorder="1" applyAlignment="1">
      <alignment horizontal="left" vertical="center"/>
    </xf>
    <xf numFmtId="170" fontId="5" fillId="0" borderId="42" xfId="7" quotePrefix="1" applyNumberFormat="1" applyFont="1" applyFill="1" applyBorder="1" applyAlignment="1">
      <alignment horizontal="left" vertical="center" wrapText="1"/>
    </xf>
    <xf numFmtId="167" fontId="5" fillId="0" borderId="0" xfId="10" quotePrefix="1" applyNumberFormat="1" applyFont="1" applyFill="1" applyBorder="1"/>
    <xf numFmtId="0" fontId="5" fillId="0" borderId="0" xfId="4" quotePrefix="1" applyFont="1" applyFill="1" applyBorder="1"/>
    <xf numFmtId="44" fontId="5" fillId="0" borderId="0" xfId="10" quotePrefix="1" applyNumberFormat="1" applyFont="1" applyFill="1" applyBorder="1"/>
    <xf numFmtId="17" fontId="5" fillId="0" borderId="0" xfId="4" applyNumberFormat="1" applyFont="1" applyFill="1" applyBorder="1" applyAlignment="1">
      <alignment horizontal="right"/>
    </xf>
    <xf numFmtId="0" fontId="31" fillId="0" borderId="41" xfId="4" applyFont="1" applyFill="1" applyBorder="1"/>
    <xf numFmtId="167" fontId="5" fillId="0" borderId="41" xfId="4" applyNumberFormat="1" applyFont="1" applyFill="1" applyBorder="1"/>
    <xf numFmtId="44" fontId="5" fillId="0" borderId="0" xfId="10" applyFont="1" applyFill="1" applyBorder="1"/>
    <xf numFmtId="167" fontId="30" fillId="0" borderId="0" xfId="10" applyNumberFormat="1" applyFont="1" applyFill="1" applyBorder="1"/>
    <xf numFmtId="44" fontId="5" fillId="0" borderId="41" xfId="4" applyNumberFormat="1" applyFont="1" applyFill="1" applyBorder="1"/>
    <xf numFmtId="8" fontId="5" fillId="0" borderId="0" xfId="4" applyNumberFormat="1" applyFont="1" applyFill="1" applyBorder="1"/>
    <xf numFmtId="9" fontId="5" fillId="0" borderId="41" xfId="4" applyNumberFormat="1" applyFont="1" applyFill="1" applyBorder="1"/>
    <xf numFmtId="9" fontId="5" fillId="0" borderId="0" xfId="4" applyNumberFormat="1" applyFont="1" applyFill="1" applyBorder="1"/>
    <xf numFmtId="9" fontId="5" fillId="0" borderId="42" xfId="4" applyNumberFormat="1" applyFont="1" applyFill="1" applyBorder="1"/>
    <xf numFmtId="8" fontId="5" fillId="0" borderId="41" xfId="4" applyNumberFormat="1" applyFont="1" applyFill="1" applyBorder="1"/>
    <xf numFmtId="0" fontId="5" fillId="0" borderId="7" xfId="4" applyFont="1" applyFill="1" applyBorder="1"/>
    <xf numFmtId="8" fontId="5" fillId="0" borderId="7" xfId="4" applyNumberFormat="1" applyFont="1" applyFill="1" applyBorder="1"/>
    <xf numFmtId="0" fontId="5" fillId="0" borderId="2" xfId="4" applyFont="1" applyFill="1" applyBorder="1"/>
    <xf numFmtId="8" fontId="5" fillId="0" borderId="2" xfId="4" applyNumberFormat="1" applyFont="1" applyFill="1" applyBorder="1"/>
    <xf numFmtId="17" fontId="5" fillId="0" borderId="2" xfId="4" applyNumberFormat="1" applyFont="1" applyFill="1" applyBorder="1"/>
    <xf numFmtId="9" fontId="5" fillId="0" borderId="7" xfId="4" applyNumberFormat="1" applyFont="1" applyFill="1" applyBorder="1"/>
    <xf numFmtId="9" fontId="5" fillId="0" borderId="2" xfId="4" applyNumberFormat="1" applyFont="1" applyFill="1" applyBorder="1"/>
    <xf numFmtId="9" fontId="5" fillId="0" borderId="8" xfId="4" applyNumberFormat="1" applyFont="1" applyFill="1" applyBorder="1"/>
    <xf numFmtId="8" fontId="30" fillId="0" borderId="2" xfId="4" applyNumberFormat="1" applyFont="1" applyFill="1" applyBorder="1"/>
    <xf numFmtId="170" fontId="5" fillId="0" borderId="2" xfId="7" applyNumberFormat="1" applyFont="1" applyFill="1" applyBorder="1" applyAlignment="1">
      <alignment horizontal="left" vertical="center"/>
    </xf>
    <xf numFmtId="170" fontId="5" fillId="0" borderId="8" xfId="7" quotePrefix="1" applyNumberFormat="1" applyFont="1" applyFill="1" applyBorder="1" applyAlignment="1">
      <alignment horizontal="left" vertical="center" wrapText="1"/>
    </xf>
    <xf numFmtId="0" fontId="5" fillId="0" borderId="0" xfId="4" applyFill="1" applyBorder="1"/>
    <xf numFmtId="0" fontId="27" fillId="0" borderId="0" xfId="4" applyFont="1" applyFill="1" applyBorder="1"/>
    <xf numFmtId="0" fontId="5" fillId="0" borderId="0" xfId="4" applyFill="1" applyBorder="1" applyAlignment="1">
      <alignment horizontal="right"/>
    </xf>
    <xf numFmtId="0" fontId="5" fillId="0" borderId="0" xfId="4" applyFill="1" applyBorder="1" applyAlignment="1">
      <alignment horizontal="center"/>
    </xf>
    <xf numFmtId="0" fontId="5" fillId="0" borderId="0" xfId="4" applyFill="1" applyBorder="1" applyAlignment="1">
      <alignment horizontal="left" wrapText="1"/>
    </xf>
    <xf numFmtId="0" fontId="10" fillId="0" borderId="0" xfId="4" applyFont="1" applyBorder="1"/>
    <xf numFmtId="0" fontId="5" fillId="0" borderId="0" xfId="4" applyFill="1" applyAlignment="1">
      <alignment horizontal="left" wrapText="1"/>
    </xf>
    <xf numFmtId="44" fontId="5" fillId="0" borderId="5" xfId="10" quotePrefix="1" applyNumberFormat="1" applyFont="1" applyFill="1" applyBorder="1"/>
    <xf numFmtId="0" fontId="5" fillId="0" borderId="11" xfId="4" quotePrefix="1" applyFont="1" applyFill="1" applyBorder="1"/>
    <xf numFmtId="44" fontId="5" fillId="0" borderId="11" xfId="10" quotePrefix="1" applyNumberFormat="1" applyFont="1" applyFill="1" applyBorder="1"/>
    <xf numFmtId="17" fontId="5" fillId="0" borderId="5" xfId="4" applyNumberFormat="1" applyFill="1" applyBorder="1" applyAlignment="1">
      <alignment horizontal="right"/>
    </xf>
    <xf numFmtId="9" fontId="5" fillId="0" borderId="11" xfId="4" applyNumberFormat="1" applyFont="1" applyFill="1" applyBorder="1"/>
    <xf numFmtId="9" fontId="5" fillId="0" borderId="11" xfId="4" quotePrefix="1" applyNumberFormat="1" applyFont="1" applyFill="1" applyBorder="1"/>
    <xf numFmtId="44" fontId="5" fillId="0" borderId="11" xfId="10" quotePrefix="1" applyFont="1" applyFill="1" applyBorder="1" applyAlignment="1">
      <alignment horizontal="center"/>
    </xf>
    <xf numFmtId="170" fontId="5" fillId="0" borderId="6" xfId="7" applyNumberFormat="1" applyFont="1" applyFill="1" applyBorder="1" applyAlignment="1">
      <alignment horizontal="left" vertical="center"/>
    </xf>
    <xf numFmtId="170" fontId="5" fillId="0" borderId="0" xfId="7" quotePrefix="1" applyNumberFormat="1" applyFont="1" applyFill="1" applyBorder="1" applyAlignment="1">
      <alignment horizontal="left" vertical="center" wrapText="1"/>
    </xf>
    <xf numFmtId="170" fontId="5" fillId="0" borderId="0" xfId="7" applyNumberFormat="1" applyFont="1" applyFill="1" applyBorder="1" applyAlignment="1">
      <alignment horizontal="right" vertical="center"/>
    </xf>
    <xf numFmtId="44" fontId="5" fillId="0" borderId="41" xfId="10" quotePrefix="1" applyNumberFormat="1" applyFont="1" applyFill="1" applyBorder="1"/>
    <xf numFmtId="17" fontId="5" fillId="0" borderId="41" xfId="4" applyNumberFormat="1" applyFill="1" applyBorder="1" applyAlignment="1">
      <alignment horizontal="right"/>
    </xf>
    <xf numFmtId="9" fontId="5" fillId="0" borderId="0" xfId="4" quotePrefix="1" applyNumberFormat="1" applyFont="1" applyFill="1" applyBorder="1"/>
    <xf numFmtId="44" fontId="5" fillId="0" borderId="0" xfId="10" quotePrefix="1" applyFont="1" applyFill="1" applyBorder="1" applyAlignment="1">
      <alignment horizontal="center"/>
    </xf>
    <xf numFmtId="44" fontId="5" fillId="0" borderId="7" xfId="10" quotePrefix="1" applyNumberFormat="1" applyFont="1" applyFill="1" applyBorder="1"/>
    <xf numFmtId="0" fontId="5" fillId="0" borderId="2" xfId="4" quotePrefix="1" applyFont="1" applyFill="1" applyBorder="1"/>
    <xf numFmtId="44" fontId="5" fillId="0" borderId="2" xfId="10" quotePrefix="1" applyNumberFormat="1" applyFont="1" applyFill="1" applyBorder="1"/>
    <xf numFmtId="17" fontId="5" fillId="0" borderId="7" xfId="4" applyNumberFormat="1" applyFill="1" applyBorder="1" applyAlignment="1">
      <alignment horizontal="right"/>
    </xf>
    <xf numFmtId="9" fontId="5" fillId="0" borderId="2" xfId="4" quotePrefix="1" applyNumberFormat="1" applyFont="1" applyFill="1" applyBorder="1"/>
    <xf numFmtId="44" fontId="5" fillId="0" borderId="2" xfId="10" quotePrefix="1" applyFont="1" applyFill="1" applyBorder="1" applyAlignment="1">
      <alignment horizontal="center"/>
    </xf>
    <xf numFmtId="170" fontId="5" fillId="0" borderId="8" xfId="7" applyNumberFormat="1" applyFont="1" applyFill="1" applyBorder="1" applyAlignment="1">
      <alignment horizontal="left" vertical="center"/>
    </xf>
    <xf numFmtId="17" fontId="5" fillId="0" borderId="0" xfId="4" applyNumberFormat="1" applyFill="1" applyBorder="1" applyAlignment="1">
      <alignment horizontal="right"/>
    </xf>
    <xf numFmtId="0" fontId="10" fillId="0" borderId="0" xfId="4" applyFont="1" applyFill="1" applyBorder="1"/>
    <xf numFmtId="0" fontId="28" fillId="5" borderId="41" xfId="4" applyFont="1" applyFill="1" applyBorder="1"/>
    <xf numFmtId="14" fontId="10" fillId="5" borderId="0" xfId="4" applyNumberFormat="1" applyFont="1" applyFill="1" applyBorder="1" applyAlignment="1">
      <alignment wrapText="1"/>
    </xf>
    <xf numFmtId="0" fontId="10" fillId="5" borderId="0" xfId="4" applyFont="1" applyFill="1" applyBorder="1" applyAlignment="1">
      <alignment wrapText="1"/>
    </xf>
    <xf numFmtId="0" fontId="10" fillId="5" borderId="0" xfId="4" applyFont="1" applyFill="1" applyBorder="1"/>
    <xf numFmtId="171" fontId="5" fillId="0" borderId="0" xfId="10" quotePrefix="1" applyNumberFormat="1" applyFont="1" applyFill="1" applyBorder="1"/>
    <xf numFmtId="171" fontId="32" fillId="0" borderId="0" xfId="4" quotePrefix="1" applyNumberFormat="1" applyFont="1" applyFill="1" applyBorder="1"/>
    <xf numFmtId="171" fontId="32" fillId="0" borderId="0" xfId="10" quotePrefix="1" applyNumberFormat="1" applyFont="1" applyFill="1" applyBorder="1"/>
    <xf numFmtId="44" fontId="5" fillId="0" borderId="0" xfId="10" applyNumberFormat="1" applyFont="1" applyFill="1" applyBorder="1"/>
    <xf numFmtId="171" fontId="5" fillId="0" borderId="2" xfId="10" quotePrefix="1" applyNumberFormat="1" applyFont="1" applyFill="1" applyBorder="1"/>
    <xf numFmtId="171" fontId="32" fillId="0" borderId="2" xfId="4" quotePrefix="1" applyNumberFormat="1" applyFont="1" applyFill="1" applyBorder="1"/>
    <xf numFmtId="171" fontId="32" fillId="0" borderId="2" xfId="10" quotePrefix="1" applyNumberFormat="1" applyFont="1" applyFill="1" applyBorder="1"/>
    <xf numFmtId="17" fontId="5" fillId="0" borderId="2" xfId="4" applyNumberFormat="1" applyFill="1" applyBorder="1" applyAlignment="1">
      <alignment horizontal="right"/>
    </xf>
    <xf numFmtId="44" fontId="5" fillId="0" borderId="2" xfId="10" applyNumberFormat="1" applyFont="1" applyFill="1" applyBorder="1"/>
    <xf numFmtId="0" fontId="5" fillId="0" borderId="0" xfId="4" applyFill="1" applyAlignment="1">
      <alignment horizontal="left"/>
    </xf>
    <xf numFmtId="0" fontId="5" fillId="0" borderId="0" xfId="4" applyAlignment="1"/>
    <xf numFmtId="0" fontId="5" fillId="0" borderId="0" xfId="4" applyFont="1" applyAlignment="1">
      <alignment horizontal="center"/>
    </xf>
    <xf numFmtId="0" fontId="5" fillId="0" borderId="0" xfId="4" applyAlignment="1">
      <alignment horizontal="center"/>
    </xf>
    <xf numFmtId="0" fontId="5" fillId="0" borderId="0" xfId="4" applyAlignment="1">
      <alignment horizontal="left"/>
    </xf>
    <xf numFmtId="169" fontId="0" fillId="2" borderId="0" xfId="1" applyNumberFormat="1" applyFont="1" applyFill="1"/>
    <xf numFmtId="44" fontId="0" fillId="2" borderId="0" xfId="2" applyFont="1" applyFill="1"/>
    <xf numFmtId="0" fontId="0" fillId="2" borderId="0" xfId="0" applyFill="1"/>
    <xf numFmtId="0" fontId="0" fillId="0" borderId="7" xfId="0" applyFill="1" applyBorder="1" applyAlignment="1">
      <alignment horizontal="center" wrapText="1"/>
    </xf>
    <xf numFmtId="0" fontId="0" fillId="0" borderId="2" xfId="0" applyFill="1" applyBorder="1" applyAlignment="1">
      <alignment horizontal="center" wrapText="1"/>
    </xf>
    <xf numFmtId="0" fontId="0" fillId="0" borderId="8" xfId="0" applyFill="1" applyBorder="1" applyAlignment="1">
      <alignment horizontal="center" wrapText="1"/>
    </xf>
    <xf numFmtId="0" fontId="0" fillId="0" borderId="10" xfId="0" applyFill="1" applyBorder="1" applyAlignment="1">
      <alignment horizontal="center" wrapText="1"/>
    </xf>
    <xf numFmtId="0" fontId="0" fillId="0" borderId="0" xfId="0" applyFill="1"/>
    <xf numFmtId="0" fontId="0" fillId="0" borderId="5" xfId="0" applyFill="1" applyBorder="1"/>
    <xf numFmtId="169" fontId="1" fillId="0" borderId="5" xfId="1" applyNumberFormat="1" applyFont="1" applyFill="1" applyBorder="1"/>
    <xf numFmtId="44" fontId="1" fillId="0" borderId="9" xfId="2" applyFont="1" applyFill="1" applyBorder="1"/>
    <xf numFmtId="169" fontId="0" fillId="0" borderId="7" xfId="1" applyNumberFormat="1" applyFont="1" applyFill="1" applyBorder="1" applyAlignment="1">
      <alignment horizontal="center" wrapText="1"/>
    </xf>
    <xf numFmtId="44" fontId="0" fillId="0" borderId="10" xfId="2" applyFont="1" applyFill="1" applyBorder="1" applyAlignment="1">
      <alignment horizontal="center" wrapText="1"/>
    </xf>
    <xf numFmtId="0" fontId="35" fillId="0" borderId="0" xfId="0" applyFont="1"/>
    <xf numFmtId="9" fontId="0" fillId="2" borderId="0" xfId="0" applyNumberFormat="1" applyFill="1"/>
    <xf numFmtId="0" fontId="1" fillId="0" borderId="6" xfId="0" applyFont="1" applyBorder="1" applyAlignment="1">
      <alignment horizontal="centerContinuous"/>
    </xf>
    <xf numFmtId="0" fontId="1" fillId="0" borderId="8" xfId="0" applyFont="1" applyFill="1" applyBorder="1" applyAlignment="1">
      <alignment horizontal="center" wrapText="1"/>
    </xf>
    <xf numFmtId="43" fontId="1" fillId="0" borderId="0" xfId="1" applyFont="1"/>
    <xf numFmtId="9" fontId="0" fillId="2" borderId="0" xfId="0" applyNumberFormat="1" applyFill="1" applyBorder="1"/>
    <xf numFmtId="167" fontId="36" fillId="0" borderId="0" xfId="0" applyNumberFormat="1" applyFont="1"/>
    <xf numFmtId="166" fontId="36" fillId="0" borderId="0" xfId="0" applyNumberFormat="1" applyFont="1"/>
    <xf numFmtId="9" fontId="0" fillId="0" borderId="0" xfId="0" applyNumberFormat="1"/>
    <xf numFmtId="9" fontId="0" fillId="0" borderId="0" xfId="3" applyNumberFormat="1" applyFont="1"/>
    <xf numFmtId="9" fontId="0" fillId="2" borderId="0" xfId="3" applyNumberFormat="1" applyFont="1" applyFill="1"/>
    <xf numFmtId="2" fontId="0" fillId="2" borderId="0" xfId="0" applyNumberFormat="1" applyFill="1"/>
    <xf numFmtId="44" fontId="36" fillId="0" borderId="0" xfId="2" applyFont="1"/>
    <xf numFmtId="44" fontId="36" fillId="0" borderId="0" xfId="2" applyFont="1" applyFill="1"/>
    <xf numFmtId="8" fontId="0" fillId="2" borderId="0" xfId="2" applyNumberFormat="1" applyFont="1" applyFill="1"/>
    <xf numFmtId="43" fontId="0" fillId="0" borderId="0" xfId="0" applyNumberFormat="1" applyFill="1"/>
    <xf numFmtId="0" fontId="10" fillId="5" borderId="11" xfId="4" applyFont="1" applyFill="1" applyBorder="1" applyAlignment="1">
      <alignment horizontal="center"/>
    </xf>
    <xf numFmtId="0" fontId="10" fillId="5" borderId="11" xfId="4" applyFont="1" applyFill="1" applyBorder="1" applyAlignment="1">
      <alignment horizontal="center" wrapText="1"/>
    </xf>
    <xf numFmtId="0" fontId="10" fillId="5" borderId="0" xfId="4" applyFont="1" applyFill="1" applyBorder="1" applyAlignment="1">
      <alignment horizontal="center" wrapText="1"/>
    </xf>
  </cellXfs>
  <cellStyles count="11">
    <cellStyle name="0" xfId="6"/>
    <cellStyle name="Comma" xfId="1" builtinId="3"/>
    <cellStyle name="Comma_USHHP&amp;LReporter_06PP" xfId="7"/>
    <cellStyle name="Currency" xfId="2" builtinId="4"/>
    <cellStyle name="Currency 2" xfId="10"/>
    <cellStyle name="Description" xfId="8"/>
    <cellStyle name="Normal" xfId="0" builtinId="0"/>
    <cellStyle name="Normal 2" xfId="4"/>
    <cellStyle name="Percent" xfId="3" builtinId="5"/>
    <cellStyle name="Percent 2" xfId="5"/>
    <cellStyle name="Product Name" xfId="9"/>
  </cellStyles>
  <dxfs count="3">
    <dxf>
      <fill>
        <patternFill>
          <bgColor rgb="FFFF0000"/>
        </patternFill>
      </fill>
    </dxf>
    <dxf>
      <fill>
        <patternFill>
          <bgColor rgb="FF33CC33"/>
        </patternFill>
      </fill>
    </dxf>
    <dxf>
      <fill>
        <patternFill>
          <bgColor rgb="FFFF0000"/>
        </patternFill>
      </fill>
    </dxf>
  </dxfs>
  <tableStyles count="0" defaultTableStyle="TableStyleMedium2" defaultPivotStyle="PivotStyleLight16"/>
  <colors>
    <mruColors>
      <color rgb="FF33CC33"/>
      <color rgb="FFFFFF99"/>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3" Type="http://schemas.openxmlformats.org/officeDocument/2006/relationships/worksheet" Target="worksheets/sheet3.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CO/FE&amp;A/Patient%20NPV/2013/Product%20NPV%202013%20-%206_10_1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CVS%20Caremark/Januvia%20CVS%20Caremark%202012%20result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LDM%20CarePoints/Januvia%20CarePoints%202012%20results%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LDM%20CarePoints/Janumet%20CarePoints%202012%20results%2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Pleio/Januvia%20Pleio%202012%20result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Adheris/Vytorin%20Adheris%202012%20results.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CVS%20Caremark/Vytorin%20CVS%20Caremark%202012%20results.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CVS%20Caremark/Zetia%20CVS%20Caremark%202012%20result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dherence/2013/Program%20Results/Catalina/Zetia%20Catalina%202012%20results.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dherence/2013/Program%20Results/Catalina/Vytorin%20Catalina%202012%20result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dherence/2013/Program%20Results/LDM%20CarePoints/Zetia%20CarePoints%202012%20results%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chenp/Local%20Settings/Temporary%20Internet%20Files/OLK8F/Documents%20and%20Settings/dunlopg/My%20Documents/temp/Inputs/Cozaar_Hyzaar%20Erosion%20(Prinivil_Zestri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dherence/2013/Program%20Results/LDM%20CarePoints/Vytorin%20CarePoints%202012%20results%2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dherence/2013/Program%20Results/LDM%20ScriptGuide/Zetia%20ScriptGuide%202012%20result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Adherence/2013/Program%20Results/LDM%20ScriptGuide/Vytorin%20ScriptGuide%202012%20results.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Catalina/Dulera%20Catalina%202013%20results.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Adherence/2013/Program%20Results/LDM%20CarePoints/Dulera%20CarePoints%202012%20results%2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Adherence/2013/Program%20Results/LDM%20ScriptGuide/Dulera%20ScriptGuide%202012%20results.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LDM%20CarePoints/Isentress%20CarePoints%202012%20results.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Adheris/Saphris%20Adheris%202012%20results.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dherence/2013/Program%20Results/Catalina/Saphris%20Catalina%202012%20results.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Adherence/2013/Program%20Results/LDM%20CarePoints/Saphris%20CarePoints%202012%20results%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dunlopg/My%20Documents/temp/Inputs/Cozaar_Hyzaar%20Erosion%20(Prinivil_Zestril).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Adheris/Asmanex%20Adheris%202012%20result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Catalina/Asmanex%20Catalina%202013%20results.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LDM%20ScriptGuide/Asmanex%20ScriptGuide%202012%20results.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LDM%20CarePoints/Propecia%20CarePoints%202012%20results%2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CVS%20Caremark/Singulair%20CVS%20Caremark%202012%20results.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Adherence/2013/Program%20Results/LDM%20CarePoints/Maxalt%20CarePoints%202012%20results%20.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Adherence/2013/Program%20Results/LDM%20ScriptGuide/Maxalt%20ScriptGuide%202012%20results.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Adherence/2013/Program%20Results/LDM%20CarePoints/Clarinex%20CarePoints%202012%20results%20.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CO/FE&amp;A/Patient%20NPV/2013/Product%20NPV%202014_DiscountsRebates%20%20(02_13).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CO/FE&amp;A/Patient%20NPV/2013/Retail%20Rate%20NPV%20Analysis%206_5_13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chenp/Local%20Settings/Temporary%20Internet%20Files/OLK8F/USHHDATA/EXCEL/Fineval/Product%20Cash%20Flow%20Files/Inputs/GenericErosion%20Model%20Apr%2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HHDATA/EXCEL/Fineval/Product%20Cash%20Flow%20Files/Inputs/GenericErosion%20Model%20Apr%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rea%20Folders/USCO/FE&amp;A/Adherence/2013/Aug%20forecast/US%20Market%20Promo%20Targets,%20August%20fc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Catalina/Januvia%20Catalina%202012%20result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Catalina/Janumet%20Catalina%202012%20result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Woodwarj/AppData/Local/Microsoft/Windows/Temporary%20Internet%20Files/Content.Outlook/TK97JMK2/Catalina/Janumet%20XR%20Catalina%202012%20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 Summary"/>
      <sheetName val="NPV2014"/>
      <sheetName val="NPV 2"/>
      <sheetName val="NPV2012"/>
      <sheetName val="PharmaData"/>
      <sheetName val="ROA&amp;Tax"/>
      <sheetName val="Adherence"/>
      <sheetName val="Inflation"/>
      <sheetName val="Discs.ProductCost.Royalty"/>
      <sheetName val="Notes"/>
      <sheetName val="Sheet1"/>
      <sheetName val="Fosamax"/>
      <sheetName val="Fosamax Plus D"/>
      <sheetName val="Fosamax Total"/>
    </sheetNames>
    <sheetDataSet>
      <sheetData sheetId="0" refreshError="1"/>
      <sheetData sheetId="1" refreshError="1"/>
      <sheetData sheetId="2"/>
      <sheetData sheetId="3" refreshError="1"/>
      <sheetData sheetId="4" refreshError="1"/>
      <sheetData sheetId="5"/>
      <sheetData sheetId="6" refreshError="1"/>
      <sheetData sheetId="7">
        <row r="31">
          <cell r="C31" t="str">
            <v>Product Analyzed</v>
          </cell>
          <cell r="D31" t="str">
            <v>Year 1</v>
          </cell>
          <cell r="E31" t="str">
            <v>Year 2</v>
          </cell>
          <cell r="F31" t="str">
            <v>Year 3</v>
          </cell>
        </row>
        <row r="32">
          <cell r="C32" t="str">
            <v>Atozet</v>
          </cell>
          <cell r="D32">
            <v>0.53375986441338941</v>
          </cell>
          <cell r="E32">
            <v>0.3000679685884261</v>
          </cell>
          <cell r="F32">
            <v>0.22666252185240976</v>
          </cell>
        </row>
        <row r="33">
          <cell r="C33" t="str">
            <v>Grazax</v>
          </cell>
          <cell r="D33">
            <v>0.31179917551054653</v>
          </cell>
          <cell r="E33">
            <v>0.14182513933959737</v>
          </cell>
          <cell r="F33">
            <v>6.6638754235156125E-2</v>
          </cell>
        </row>
        <row r="34">
          <cell r="C34" t="str">
            <v>Odanacatib</v>
          </cell>
          <cell r="D34">
            <v>0.44715479737871</v>
          </cell>
          <cell r="E34">
            <v>0.16678306862377107</v>
          </cell>
          <cell r="F34">
            <v>4.2556231719150184E-2</v>
          </cell>
        </row>
        <row r="35">
          <cell r="C35" t="str">
            <v>Suvorexant</v>
          </cell>
          <cell r="D35">
            <v>0.26285286794971019</v>
          </cell>
          <cell r="E35">
            <v>9.7560143375509473E-2</v>
          </cell>
          <cell r="F35">
            <v>6.1159853354071307E-2</v>
          </cell>
        </row>
        <row r="36">
          <cell r="C36" t="str">
            <v>Asmanex</v>
          </cell>
          <cell r="D36">
            <v>0.24812216738592119</v>
          </cell>
          <cell r="E36">
            <v>9.0498229648831363E-2</v>
          </cell>
          <cell r="F36">
            <v>5.7872326914821887E-2</v>
          </cell>
        </row>
        <row r="37">
          <cell r="C37" t="str">
            <v>Dulera</v>
          </cell>
          <cell r="D37">
            <v>0.23503006656867825</v>
          </cell>
          <cell r="E37">
            <v>9.7132733462202775E-2</v>
          </cell>
          <cell r="F37">
            <v>7.3626061750209734E-2</v>
          </cell>
        </row>
        <row r="38">
          <cell r="C38" t="str">
            <v>Foradil</v>
          </cell>
          <cell r="D38">
            <v>0.30301513256010704</v>
          </cell>
          <cell r="E38">
            <v>0.10331935226657299</v>
          </cell>
          <cell r="F38">
            <v>6.9219365909938352E-2</v>
          </cell>
        </row>
        <row r="39">
          <cell r="C39" t="str">
            <v>Isentress</v>
          </cell>
          <cell r="D39">
            <v>0.67691279233174284</v>
          </cell>
          <cell r="E39">
            <v>0.5026020885537531</v>
          </cell>
          <cell r="F39">
            <v>0.41910387916222197</v>
          </cell>
        </row>
        <row r="40">
          <cell r="C40" t="str">
            <v>Janumet/Janumet XR</v>
          </cell>
          <cell r="D40">
            <v>0.58018126281534599</v>
          </cell>
          <cell r="E40">
            <v>0.35835089918346724</v>
          </cell>
          <cell r="F40">
            <v>0.27896936747957257</v>
          </cell>
        </row>
        <row r="41">
          <cell r="C41" t="str">
            <v>Januvia</v>
          </cell>
          <cell r="D41">
            <v>0.58635469824661113</v>
          </cell>
          <cell r="E41">
            <v>0.33845058142006307</v>
          </cell>
          <cell r="F41">
            <v>0.24971338608194452</v>
          </cell>
        </row>
        <row r="42">
          <cell r="C42" t="str">
            <v>Januvia+Janumet+Janumet XR+Juvisync</v>
          </cell>
          <cell r="D42">
            <v>0.59492178493382297</v>
          </cell>
          <cell r="E42">
            <v>0.36483648539692531</v>
          </cell>
          <cell r="F42">
            <v>0.2821460640006469</v>
          </cell>
        </row>
        <row r="43">
          <cell r="C43" t="str">
            <v>Juvisync</v>
          </cell>
          <cell r="D43">
            <v>0.58635469824661113</v>
          </cell>
          <cell r="E43">
            <v>0.33845058142006307</v>
          </cell>
          <cell r="F43">
            <v>0.24971338608194452</v>
          </cell>
        </row>
        <row r="44">
          <cell r="C44" t="str">
            <v>Nasonex</v>
          </cell>
          <cell r="D44">
            <v>0.15615404480620171</v>
          </cell>
          <cell r="E44">
            <v>3.8497787769445339E-2</v>
          </cell>
          <cell r="F44">
            <v>2.6366798300557204E-2</v>
          </cell>
        </row>
        <row r="45">
          <cell r="C45" t="str">
            <v>Nuvaring</v>
          </cell>
          <cell r="D45">
            <v>0.45231296423528367</v>
          </cell>
          <cell r="E45">
            <v>0.19061206539952064</v>
          </cell>
          <cell r="F45">
            <v>0.12167700164985529</v>
          </cell>
        </row>
        <row r="46">
          <cell r="C46" t="str">
            <v>Proventil</v>
          </cell>
          <cell r="D46">
            <v>0.13744107835604921</v>
          </cell>
          <cell r="E46">
            <v>3.1933192933503524E-2</v>
          </cell>
          <cell r="F46">
            <v>2.3090119806049116E-2</v>
          </cell>
        </row>
        <row r="47">
          <cell r="C47" t="str">
            <v>Saphris</v>
          </cell>
          <cell r="D47">
            <v>0.38851563414462026</v>
          </cell>
          <cell r="E47">
            <v>0.15839638181228613</v>
          </cell>
          <cell r="F47">
            <v>0.10148386286078825</v>
          </cell>
        </row>
        <row r="48">
          <cell r="C48" t="str">
            <v>Vytorin</v>
          </cell>
          <cell r="D48">
            <v>0.50619328847272838</v>
          </cell>
          <cell r="E48">
            <v>0.25910561611514143</v>
          </cell>
          <cell r="F48">
            <v>0.17265340957244354</v>
          </cell>
        </row>
        <row r="49">
          <cell r="C49" t="str">
            <v>Zetia</v>
          </cell>
          <cell r="D49">
            <v>0.53375986441338941</v>
          </cell>
          <cell r="E49">
            <v>0.3000679685884261</v>
          </cell>
          <cell r="F49">
            <v>0.22666252185240976</v>
          </cell>
        </row>
        <row r="50">
          <cell r="C50" t="str">
            <v>Zetia/Vytorin</v>
          </cell>
          <cell r="D50">
            <v>0.5194819272031258</v>
          </cell>
          <cell r="E50">
            <v>0.28461213282453307</v>
          </cell>
          <cell r="F50">
            <v>0.20841089559076711</v>
          </cell>
        </row>
        <row r="51">
          <cell r="C51" t="str">
            <v>Zioptan</v>
          </cell>
          <cell r="D51">
            <v>0.40369504009901713</v>
          </cell>
          <cell r="E51">
            <v>0.20107843970113368</v>
          </cell>
          <cell r="F51">
            <v>0.12946271385427058</v>
          </cell>
        </row>
        <row r="61">
          <cell r="C61" t="str">
            <v>Product Analyzed</v>
          </cell>
          <cell r="D61" t="str">
            <v>Year 1</v>
          </cell>
          <cell r="E61" t="str">
            <v>Year 2</v>
          </cell>
          <cell r="F61" t="str">
            <v>Year 3</v>
          </cell>
        </row>
        <row r="62">
          <cell r="C62" t="str">
            <v>Atozet</v>
          </cell>
          <cell r="D62">
            <v>0</v>
          </cell>
          <cell r="E62">
            <v>0</v>
          </cell>
          <cell r="F62">
            <v>0</v>
          </cell>
        </row>
        <row r="63">
          <cell r="C63" t="str">
            <v>Grazax</v>
          </cell>
          <cell r="D63">
            <v>0</v>
          </cell>
          <cell r="E63">
            <v>0</v>
          </cell>
          <cell r="F63">
            <v>0</v>
          </cell>
        </row>
        <row r="64">
          <cell r="C64" t="str">
            <v>Odanacatib</v>
          </cell>
          <cell r="D64">
            <v>0</v>
          </cell>
          <cell r="E64">
            <v>0</v>
          </cell>
          <cell r="F64">
            <v>0</v>
          </cell>
        </row>
        <row r="65">
          <cell r="C65" t="str">
            <v>Suvorexant</v>
          </cell>
          <cell r="D65">
            <v>0</v>
          </cell>
          <cell r="E65">
            <v>0</v>
          </cell>
          <cell r="F65">
            <v>0</v>
          </cell>
        </row>
        <row r="66">
          <cell r="C66" t="str">
            <v>Asmanex</v>
          </cell>
          <cell r="D66">
            <v>0</v>
          </cell>
          <cell r="E66">
            <v>0</v>
          </cell>
          <cell r="F66">
            <v>0</v>
          </cell>
        </row>
        <row r="67">
          <cell r="C67" t="str">
            <v>Dulera</v>
          </cell>
          <cell r="D67">
            <v>0</v>
          </cell>
          <cell r="E67">
            <v>0</v>
          </cell>
          <cell r="F67">
            <v>0</v>
          </cell>
        </row>
        <row r="68">
          <cell r="C68" t="str">
            <v>Foradil</v>
          </cell>
          <cell r="D68">
            <v>0</v>
          </cell>
          <cell r="E68">
            <v>0</v>
          </cell>
          <cell r="F68">
            <v>0</v>
          </cell>
        </row>
        <row r="69">
          <cell r="C69" t="str">
            <v>Isentress</v>
          </cell>
          <cell r="D69">
            <v>0</v>
          </cell>
          <cell r="E69">
            <v>0</v>
          </cell>
          <cell r="F69">
            <v>0</v>
          </cell>
        </row>
        <row r="70">
          <cell r="C70" t="str">
            <v>Janumet/Janumet XR</v>
          </cell>
          <cell r="D70">
            <v>0</v>
          </cell>
          <cell r="E70">
            <v>0</v>
          </cell>
          <cell r="F70">
            <v>0</v>
          </cell>
        </row>
        <row r="71">
          <cell r="C71" t="str">
            <v>Januvia</v>
          </cell>
          <cell r="D71">
            <v>0</v>
          </cell>
          <cell r="E71">
            <v>0</v>
          </cell>
          <cell r="F71">
            <v>0</v>
          </cell>
        </row>
        <row r="72">
          <cell r="C72" t="str">
            <v>Januvia+Janumet+Janumet XR+Juvisync</v>
          </cell>
          <cell r="D72">
            <v>0</v>
          </cell>
          <cell r="E72">
            <v>0</v>
          </cell>
          <cell r="F72">
            <v>0</v>
          </cell>
        </row>
        <row r="73">
          <cell r="C73" t="str">
            <v>Juvisync</v>
          </cell>
          <cell r="D73">
            <v>0</v>
          </cell>
          <cell r="E73">
            <v>0</v>
          </cell>
          <cell r="F73">
            <v>0</v>
          </cell>
        </row>
        <row r="74">
          <cell r="C74" t="str">
            <v>Nasonex</v>
          </cell>
          <cell r="D74">
            <v>0.29109193292113639</v>
          </cell>
          <cell r="E74">
            <v>9.4834123895294831E-2</v>
          </cell>
          <cell r="F74">
            <v>6.1458834005164435E-2</v>
          </cell>
        </row>
        <row r="75">
          <cell r="C75" t="str">
            <v>Nuvaring</v>
          </cell>
          <cell r="D75">
            <v>0</v>
          </cell>
          <cell r="E75">
            <v>0</v>
          </cell>
          <cell r="F75">
            <v>0</v>
          </cell>
        </row>
        <row r="76">
          <cell r="C76" t="str">
            <v>Proventil</v>
          </cell>
          <cell r="D76">
            <v>0</v>
          </cell>
          <cell r="E76">
            <v>0</v>
          </cell>
          <cell r="F76">
            <v>0</v>
          </cell>
        </row>
        <row r="77">
          <cell r="C77" t="str">
            <v>Saphris</v>
          </cell>
          <cell r="D77">
            <v>0</v>
          </cell>
          <cell r="E77">
            <v>0</v>
          </cell>
          <cell r="F77">
            <v>0</v>
          </cell>
        </row>
        <row r="78">
          <cell r="C78" t="str">
            <v>Vytorin</v>
          </cell>
          <cell r="D78">
            <v>0</v>
          </cell>
          <cell r="E78">
            <v>0</v>
          </cell>
          <cell r="F78">
            <v>0</v>
          </cell>
        </row>
        <row r="79">
          <cell r="C79" t="str">
            <v>Zetia</v>
          </cell>
          <cell r="D79">
            <v>0</v>
          </cell>
          <cell r="E79">
            <v>0</v>
          </cell>
          <cell r="F79">
            <v>0</v>
          </cell>
        </row>
        <row r="80">
          <cell r="C80" t="str">
            <v>Zetia/Vytorin</v>
          </cell>
          <cell r="D80">
            <v>0</v>
          </cell>
          <cell r="E80">
            <v>0</v>
          </cell>
          <cell r="F80">
            <v>0</v>
          </cell>
        </row>
        <row r="81">
          <cell r="C81" t="str">
            <v>Zioptan</v>
          </cell>
          <cell r="D81">
            <v>0</v>
          </cell>
          <cell r="E81">
            <v>0</v>
          </cell>
          <cell r="F81">
            <v>0</v>
          </cell>
        </row>
        <row r="87">
          <cell r="C87" t="str">
            <v>Atozet</v>
          </cell>
          <cell r="D87">
            <v>0</v>
          </cell>
          <cell r="E87">
            <v>0</v>
          </cell>
          <cell r="F87">
            <v>0</v>
          </cell>
        </row>
        <row r="88">
          <cell r="C88" t="str">
            <v>Grazax</v>
          </cell>
          <cell r="D88">
            <v>0</v>
          </cell>
          <cell r="E88">
            <v>0</v>
          </cell>
          <cell r="F88">
            <v>0</v>
          </cell>
        </row>
        <row r="89">
          <cell r="C89" t="str">
            <v>Odanacatib</v>
          </cell>
          <cell r="D89">
            <v>0</v>
          </cell>
          <cell r="E89">
            <v>0</v>
          </cell>
          <cell r="F89">
            <v>0</v>
          </cell>
        </row>
        <row r="90">
          <cell r="C90" t="str">
            <v>Suvorexant</v>
          </cell>
          <cell r="D90">
            <v>0</v>
          </cell>
          <cell r="E90">
            <v>0</v>
          </cell>
          <cell r="F90">
            <v>0</v>
          </cell>
        </row>
        <row r="91">
          <cell r="C91" t="str">
            <v>Asmanex</v>
          </cell>
          <cell r="D91">
            <v>0</v>
          </cell>
          <cell r="E91">
            <v>0</v>
          </cell>
          <cell r="F91">
            <v>0</v>
          </cell>
        </row>
        <row r="92">
          <cell r="C92" t="str">
            <v>Dulera</v>
          </cell>
          <cell r="D92">
            <v>0</v>
          </cell>
          <cell r="E92">
            <v>0</v>
          </cell>
          <cell r="F92">
            <v>0</v>
          </cell>
        </row>
        <row r="93">
          <cell r="C93" t="str">
            <v>Foradil</v>
          </cell>
          <cell r="D93">
            <v>0</v>
          </cell>
          <cell r="E93">
            <v>0</v>
          </cell>
          <cell r="F93">
            <v>0</v>
          </cell>
        </row>
        <row r="94">
          <cell r="C94" t="str">
            <v>Isentress</v>
          </cell>
          <cell r="D94">
            <v>0</v>
          </cell>
          <cell r="E94">
            <v>0</v>
          </cell>
          <cell r="F94">
            <v>0</v>
          </cell>
        </row>
        <row r="95">
          <cell r="C95" t="str">
            <v>Janumet/Janumet XR</v>
          </cell>
          <cell r="D95">
            <v>0</v>
          </cell>
          <cell r="E95">
            <v>0</v>
          </cell>
          <cell r="F95">
            <v>0</v>
          </cell>
        </row>
        <row r="96">
          <cell r="C96" t="str">
            <v>Januvia</v>
          </cell>
          <cell r="D96">
            <v>0</v>
          </cell>
          <cell r="E96">
            <v>0</v>
          </cell>
          <cell r="F96">
            <v>0</v>
          </cell>
        </row>
        <row r="97">
          <cell r="C97" t="str">
            <v>Januvia+Janumet+Janumet XR+Juvisync</v>
          </cell>
          <cell r="D97">
            <v>0</v>
          </cell>
          <cell r="E97">
            <v>0</v>
          </cell>
          <cell r="F97">
            <v>0</v>
          </cell>
        </row>
        <row r="98">
          <cell r="C98" t="str">
            <v>Juvisync</v>
          </cell>
          <cell r="D98">
            <v>0</v>
          </cell>
          <cell r="E98">
            <v>0</v>
          </cell>
          <cell r="F98">
            <v>0</v>
          </cell>
        </row>
        <row r="99">
          <cell r="C99" t="str">
            <v>Nasonex</v>
          </cell>
          <cell r="D99">
            <v>0.13493788811493468</v>
          </cell>
          <cell r="E99">
            <v>5.6336336125849491E-2</v>
          </cell>
          <cell r="F99">
            <v>3.5092035704607227E-2</v>
          </cell>
        </row>
        <row r="100">
          <cell r="C100" t="str">
            <v>Nuvaring</v>
          </cell>
          <cell r="D100">
            <v>0</v>
          </cell>
          <cell r="E100">
            <v>0</v>
          </cell>
          <cell r="F100">
            <v>0</v>
          </cell>
        </row>
        <row r="101">
          <cell r="C101" t="str">
            <v>Proventil</v>
          </cell>
          <cell r="D101">
            <v>0</v>
          </cell>
          <cell r="E101">
            <v>0</v>
          </cell>
          <cell r="F101">
            <v>0</v>
          </cell>
        </row>
        <row r="102">
          <cell r="C102" t="str">
            <v>Saphris</v>
          </cell>
          <cell r="D102">
            <v>0</v>
          </cell>
          <cell r="E102">
            <v>0</v>
          </cell>
          <cell r="F102">
            <v>0</v>
          </cell>
        </row>
        <row r="103">
          <cell r="C103" t="str">
            <v>Vytorin</v>
          </cell>
          <cell r="D103">
            <v>0</v>
          </cell>
          <cell r="E103">
            <v>0</v>
          </cell>
          <cell r="F103">
            <v>0</v>
          </cell>
        </row>
        <row r="104">
          <cell r="C104" t="str">
            <v>Zetia</v>
          </cell>
          <cell r="D104">
            <v>0</v>
          </cell>
          <cell r="E104">
            <v>0</v>
          </cell>
          <cell r="F104">
            <v>0</v>
          </cell>
        </row>
        <row r="105">
          <cell r="C105" t="str">
            <v>Zetia/Vytorin</v>
          </cell>
          <cell r="D105">
            <v>0</v>
          </cell>
          <cell r="E105">
            <v>0</v>
          </cell>
          <cell r="F105">
            <v>0</v>
          </cell>
        </row>
        <row r="106">
          <cell r="C106" t="str">
            <v>Zioptan</v>
          </cell>
          <cell r="D106">
            <v>0</v>
          </cell>
          <cell r="E106">
            <v>0</v>
          </cell>
          <cell r="F106">
            <v>0</v>
          </cell>
        </row>
      </sheetData>
      <sheetData sheetId="8">
        <row r="10">
          <cell r="AE10" t="str">
            <v>Atozet</v>
          </cell>
          <cell r="AF10" t="str">
            <v>Atozet - Merck</v>
          </cell>
          <cell r="AH10" t="str">
            <v>Atozet - Merck</v>
          </cell>
          <cell r="AJ10">
            <v>8.0000000000000071E-2</v>
          </cell>
          <cell r="AK10">
            <v>0.16639999999999988</v>
          </cell>
          <cell r="AL10">
            <v>0.25971199999999972</v>
          </cell>
          <cell r="AM10">
            <v>0.33529472000000027</v>
          </cell>
          <cell r="AN10">
            <v>0.41541240319999972</v>
          </cell>
          <cell r="AO10" t="e">
            <v>#DIV/0!</v>
          </cell>
          <cell r="AP10">
            <v>7.7777777777777793E-2</v>
          </cell>
          <cell r="AQ10">
            <v>6.058270235257826E-2</v>
          </cell>
          <cell r="AR10">
            <v>3.9691612051008497E-2</v>
          </cell>
          <cell r="AS10">
            <v>3.7444917029253288E-2</v>
          </cell>
          <cell r="AT10">
            <v>3.5325393423823861E-2</v>
          </cell>
          <cell r="AU10" t="e">
            <v>#DIV/0!</v>
          </cell>
          <cell r="AV10">
            <v>3.0200142371282528E-2</v>
          </cell>
          <cell r="AW10">
            <v>3.0000000000000002E-2</v>
          </cell>
          <cell r="AX10">
            <v>3.0000000000000009E-2</v>
          </cell>
          <cell r="AY10">
            <v>3.3812658395136211E-2</v>
          </cell>
          <cell r="AZ10">
            <v>2.8832929174161765E-2</v>
          </cell>
        </row>
        <row r="11">
          <cell r="AE11" t="str">
            <v>Bridion</v>
          </cell>
          <cell r="AF11" t="str">
            <v>Sugammadex</v>
          </cell>
          <cell r="AH11" t="str">
            <v>Sugammadex</v>
          </cell>
          <cell r="AJ11">
            <v>0</v>
          </cell>
          <cell r="AK11">
            <v>0</v>
          </cell>
          <cell r="AL11">
            <v>5.8999999999999941E-2</v>
          </cell>
          <cell r="AM11">
            <v>0.1638409999999999</v>
          </cell>
          <cell r="AN11">
            <v>0.27906125900000012</v>
          </cell>
          <cell r="AO11" t="e">
            <v>#DIV/0!</v>
          </cell>
          <cell r="AP11">
            <v>0.02</v>
          </cell>
          <cell r="AQ11">
            <v>2.0000000000000004E-2</v>
          </cell>
          <cell r="AR11">
            <v>1.8885741265344664E-2</v>
          </cell>
          <cell r="AS11">
            <v>1.7184477948448289E-2</v>
          </cell>
          <cell r="AT11">
            <v>1.5636467650999349E-2</v>
          </cell>
          <cell r="AU11" t="e">
            <v>#DIV/0!</v>
          </cell>
          <cell r="AV11">
            <v>0</v>
          </cell>
          <cell r="AW11">
            <v>0</v>
          </cell>
          <cell r="AX11">
            <v>0</v>
          </cell>
          <cell r="AY11">
            <v>0</v>
          </cell>
          <cell r="AZ11">
            <v>0</v>
          </cell>
        </row>
        <row r="12">
          <cell r="AE12" t="str">
            <v>Elonva</v>
          </cell>
          <cell r="AF12" t="str">
            <v>ELONVA</v>
          </cell>
          <cell r="AH12" t="str">
            <v>ELONVA</v>
          </cell>
          <cell r="AJ12">
            <v>0</v>
          </cell>
          <cell r="AK12">
            <v>0</v>
          </cell>
          <cell r="AL12">
            <v>0</v>
          </cell>
          <cell r="AM12">
            <v>5.9999999999999609E-2</v>
          </cell>
          <cell r="AN12">
            <v>0.12359999999999971</v>
          </cell>
          <cell r="AO12" t="e">
            <v>#DIV/0!</v>
          </cell>
          <cell r="AP12" t="e">
            <v>#DIV/0!</v>
          </cell>
          <cell r="AQ12">
            <v>5.1499999999999997E-2</v>
          </cell>
          <cell r="AR12">
            <v>5.1500000000000004E-2</v>
          </cell>
          <cell r="AS12">
            <v>4.8584905660377355E-2</v>
          </cell>
          <cell r="AT12">
            <v>4.5834816660733357E-2</v>
          </cell>
          <cell r="AU12" t="e">
            <v>#DIV/0!</v>
          </cell>
          <cell r="AV12" t="e">
            <v>#DIV/0!</v>
          </cell>
          <cell r="AW12">
            <v>0</v>
          </cell>
          <cell r="AX12">
            <v>0</v>
          </cell>
          <cell r="AY12">
            <v>0</v>
          </cell>
          <cell r="AZ12">
            <v>0</v>
          </cell>
        </row>
        <row r="13">
          <cell r="AE13" t="str">
            <v>Grazax</v>
          </cell>
          <cell r="AF13" t="str">
            <v>Grastek</v>
          </cell>
          <cell r="AH13" t="str">
            <v>Grastek</v>
          </cell>
          <cell r="AJ13">
            <v>0</v>
          </cell>
          <cell r="AK13">
            <v>0</v>
          </cell>
          <cell r="AL13">
            <v>6.0000000000000053E-2</v>
          </cell>
          <cell r="AM13">
            <v>0.12359999999999993</v>
          </cell>
          <cell r="AN13">
            <v>0.19101599999999985</v>
          </cell>
          <cell r="AO13" t="e">
            <v>#DIV/0!</v>
          </cell>
          <cell r="AP13" t="e">
            <v>#DIV/0!</v>
          </cell>
          <cell r="AQ13">
            <v>0.13000000000000003</v>
          </cell>
          <cell r="AR13">
            <v>0.12264150943396229</v>
          </cell>
          <cell r="AS13">
            <v>0.11569953720185119</v>
          </cell>
          <cell r="AT13">
            <v>0.10915050679419924</v>
          </cell>
          <cell r="AU13" t="e">
            <v>#DIV/0!</v>
          </cell>
          <cell r="AV13" t="e">
            <v>#DIV/0!</v>
          </cell>
          <cell r="AW13">
            <v>0.27499999999999997</v>
          </cell>
          <cell r="AX13">
            <v>0.27500000000000008</v>
          </cell>
          <cell r="AY13">
            <v>0.27500000000000002</v>
          </cell>
          <cell r="AZ13">
            <v>0.27500000000000008</v>
          </cell>
        </row>
        <row r="14">
          <cell r="AE14" t="str">
            <v>Odanacatib</v>
          </cell>
          <cell r="AF14" t="str">
            <v>Odanacatib</v>
          </cell>
          <cell r="AH14" t="str">
            <v>Odanacatib</v>
          </cell>
          <cell r="AJ14">
            <v>0</v>
          </cell>
          <cell r="AK14">
            <v>0</v>
          </cell>
          <cell r="AL14">
            <v>5.0000000000000044E-2</v>
          </cell>
          <cell r="AM14">
            <v>0.10249999999999959</v>
          </cell>
          <cell r="AN14">
            <v>0.16864999999999997</v>
          </cell>
          <cell r="AO14" t="e">
            <v>#DIV/0!</v>
          </cell>
          <cell r="AP14" t="e">
            <v>#DIV/0!</v>
          </cell>
          <cell r="AQ14">
            <v>7.3999999999999996E-2</v>
          </cell>
          <cell r="AR14">
            <v>7.047619047619047E-2</v>
          </cell>
          <cell r="AS14">
            <v>6.7120181405895693E-2</v>
          </cell>
          <cell r="AT14">
            <v>6.3320925854618598E-2</v>
          </cell>
          <cell r="AU14" t="e">
            <v>#DIV/0!</v>
          </cell>
          <cell r="AV14" t="e">
            <v>#DIV/0!</v>
          </cell>
          <cell r="AW14">
            <v>6.5000000000000016E-2</v>
          </cell>
          <cell r="AX14">
            <v>6.5000000000000002E-2</v>
          </cell>
          <cell r="AY14">
            <v>6.5000000000000016E-2</v>
          </cell>
          <cell r="AZ14">
            <v>6.3716824255216964E-2</v>
          </cell>
        </row>
        <row r="15">
          <cell r="AE15" t="str">
            <v>Suvorexant</v>
          </cell>
          <cell r="AF15" t="str">
            <v>SUVOREXANT</v>
          </cell>
          <cell r="AH15" t="str">
            <v>SUVOREXANT</v>
          </cell>
          <cell r="AJ15">
            <v>0</v>
          </cell>
          <cell r="AK15">
            <v>0</v>
          </cell>
          <cell r="AL15">
            <v>7.0000000000000062E-2</v>
          </cell>
          <cell r="AM15">
            <v>0.14490000000000003</v>
          </cell>
          <cell r="AN15">
            <v>0.22504299999999988</v>
          </cell>
          <cell r="AO15" t="e">
            <v>#DIV/0!</v>
          </cell>
          <cell r="AP15" t="e">
            <v>#DIV/0!</v>
          </cell>
          <cell r="AQ15">
            <v>3.500000000000001E-2</v>
          </cell>
          <cell r="AR15">
            <v>3.2710280373831772E-2</v>
          </cell>
          <cell r="AS15">
            <v>3.0570355489562415E-2</v>
          </cell>
          <cell r="AT15">
            <v>2.8570425691179822E-2</v>
          </cell>
          <cell r="AU15" t="e">
            <v>#DIV/0!</v>
          </cell>
          <cell r="AV15" t="e">
            <v>#DIV/0!</v>
          </cell>
          <cell r="AW15">
            <v>0</v>
          </cell>
          <cell r="AX15">
            <v>0</v>
          </cell>
          <cell r="AY15">
            <v>0</v>
          </cell>
          <cell r="AZ15">
            <v>0</v>
          </cell>
        </row>
        <row r="16">
          <cell r="AE16" t="str">
            <v>Asmanex</v>
          </cell>
          <cell r="AF16" t="str">
            <v>Asmanex</v>
          </cell>
          <cell r="AH16" t="str">
            <v>Asmanex</v>
          </cell>
          <cell r="AJ16">
            <v>3.5307733005551123E-2</v>
          </cell>
          <cell r="AK16">
            <v>0.11209306700833777</v>
          </cell>
          <cell r="AL16">
            <v>0.20134144977973811</v>
          </cell>
          <cell r="AM16">
            <v>0.28495639552539664</v>
          </cell>
          <cell r="AN16">
            <v>0.36200208078239404</v>
          </cell>
          <cell r="AO16">
            <v>5.7419753946191344E-2</v>
          </cell>
          <cell r="AP16">
            <v>6.3362802604407895E-2</v>
          </cell>
          <cell r="AQ16">
            <v>5.8987868862874764E-2</v>
          </cell>
          <cell r="AR16">
            <v>5.4605624414297518E-2</v>
          </cell>
          <cell r="AS16">
            <v>5.105231603845771E-2</v>
          </cell>
          <cell r="AT16">
            <v>4.8164390440810834E-2</v>
          </cell>
          <cell r="AU16">
            <v>0</v>
          </cell>
          <cell r="AV16">
            <v>0</v>
          </cell>
          <cell r="AW16">
            <v>0</v>
          </cell>
          <cell r="AX16">
            <v>0</v>
          </cell>
          <cell r="AY16">
            <v>0</v>
          </cell>
          <cell r="AZ16">
            <v>0</v>
          </cell>
        </row>
        <row r="17">
          <cell r="AE17" t="str">
            <v>Dulera</v>
          </cell>
          <cell r="AF17" t="str">
            <v>Dulera</v>
          </cell>
          <cell r="AH17" t="str">
            <v>Dulera</v>
          </cell>
          <cell r="AJ17">
            <v>6.9999999999999618E-2</v>
          </cell>
          <cell r="AK17">
            <v>0.15560000000000018</v>
          </cell>
          <cell r="AL17">
            <v>0.2133799999999999</v>
          </cell>
          <cell r="AM17">
            <v>0.27404899999999999</v>
          </cell>
          <cell r="AN17">
            <v>0.33775145000000073</v>
          </cell>
          <cell r="AO17">
            <v>3.9510389329083698E-2</v>
          </cell>
          <cell r="AP17">
            <v>2.6175800418891823E-2</v>
          </cell>
          <cell r="AQ17">
            <v>2.6268218085984753E-2</v>
          </cell>
          <cell r="AR17">
            <v>2.5700973559314787E-2</v>
          </cell>
          <cell r="AS17">
            <v>2.5605561486222922E-2</v>
          </cell>
          <cell r="AT17">
            <v>2.4965420855793685E-2</v>
          </cell>
          <cell r="AU17">
            <v>6.3047052548324156E-2</v>
          </cell>
          <cell r="AV17">
            <v>7.1486824735296342E-2</v>
          </cell>
          <cell r="AW17">
            <v>7.3698425145069399E-2</v>
          </cell>
          <cell r="AX17">
            <v>7.4163573127944124E-2</v>
          </cell>
          <cell r="AY17">
            <v>7.1366049826560307E-2</v>
          </cell>
          <cell r="AZ17">
            <v>7.1708929624764078E-2</v>
          </cell>
        </row>
        <row r="18">
          <cell r="AE18" t="str">
            <v>Foradil</v>
          </cell>
          <cell r="AF18" t="str">
            <v>Foradil</v>
          </cell>
          <cell r="AH18" t="str">
            <v>Foradil</v>
          </cell>
          <cell r="AJ18">
            <v>9.8999999999999977E-2</v>
          </cell>
          <cell r="AK18">
            <v>0.18691999999999998</v>
          </cell>
          <cell r="AL18">
            <v>0.28187359999999995</v>
          </cell>
          <cell r="AM18">
            <v>0.35878601600000004</v>
          </cell>
          <cell r="AN18">
            <v>0.44031317695999972</v>
          </cell>
          <cell r="AO18">
            <v>6.2251544973314143E-2</v>
          </cell>
          <cell r="AP18">
            <v>5.6505915867874325E-2</v>
          </cell>
          <cell r="AQ18">
            <v>5.2320291173794366E-2</v>
          </cell>
          <cell r="AR18">
            <v>4.8444714049809573E-2</v>
          </cell>
          <cell r="AS18">
            <v>4.570256042434867E-2</v>
          </cell>
          <cell r="AT18">
            <v>4.3115623041838358E-2</v>
          </cell>
          <cell r="AU18">
            <v>1.3592550190146557E-2</v>
          </cell>
          <cell r="AV18">
            <v>4.9790531114807801E-3</v>
          </cell>
          <cell r="AW18">
            <v>5.1327297647359629E-3</v>
          </cell>
          <cell r="AX18">
            <v>5.0588151969292701E-3</v>
          </cell>
          <cell r="AY18">
            <v>4.9960047746660848E-3</v>
          </cell>
          <cell r="AZ18">
            <v>4.9504562206795152E-3</v>
          </cell>
        </row>
        <row r="19">
          <cell r="AE19" t="str">
            <v>Isentress</v>
          </cell>
          <cell r="AF19" t="str">
            <v>Isentress®</v>
          </cell>
          <cell r="AG19" t="str">
            <v>Isentress®</v>
          </cell>
          <cell r="AH19" t="str">
            <v>Isentress®</v>
          </cell>
          <cell r="AJ19">
            <v>3.6672805444819989E-2</v>
          </cell>
          <cell r="AK19">
            <v>8.8225675530198888E-2</v>
          </cell>
          <cell r="AL19">
            <v>0.14227674199606155</v>
          </cell>
          <cell r="AM19">
            <v>0.19935454834398558</v>
          </cell>
          <cell r="AN19">
            <v>0.2595351795051013</v>
          </cell>
          <cell r="AO19">
            <v>3.9306708506754821E-2</v>
          </cell>
          <cell r="AP19">
            <v>3.8970830649623332E-2</v>
          </cell>
          <cell r="AQ19">
            <v>3.7124652458063484E-2</v>
          </cell>
          <cell r="AR19">
            <v>3.5367961645969753E-2</v>
          </cell>
          <cell r="AS19">
            <v>3.3684784916839204E-2</v>
          </cell>
          <cell r="AT19">
            <v>3.2075324816154827E-2</v>
          </cell>
          <cell r="AU19">
            <v>0</v>
          </cell>
          <cell r="AV19">
            <v>0</v>
          </cell>
          <cell r="AW19">
            <v>0</v>
          </cell>
          <cell r="AX19">
            <v>0</v>
          </cell>
          <cell r="AY19">
            <v>0</v>
          </cell>
          <cell r="AZ19">
            <v>0</v>
          </cell>
        </row>
        <row r="20">
          <cell r="AE20" t="str">
            <v>Janumet/Janumet XR</v>
          </cell>
          <cell r="AG20" t="str">
            <v>Janumet/Janumet XR</v>
          </cell>
          <cell r="AH20" t="str">
            <v>Janumet/Janumet XR</v>
          </cell>
          <cell r="AJ20">
            <v>9.8999999999999977E-2</v>
          </cell>
          <cell r="AK20">
            <v>0.1869200000000002</v>
          </cell>
          <cell r="AL20">
            <v>0.28187359999999995</v>
          </cell>
          <cell r="AM20">
            <v>0.35878601600000026</v>
          </cell>
          <cell r="AN20">
            <v>0.44031317695999994</v>
          </cell>
          <cell r="AO20">
            <v>5.5343854728136105E-2</v>
          </cell>
          <cell r="AP20">
            <v>5.4823657099960656E-2</v>
          </cell>
          <cell r="AQ20">
            <v>5.6317394280754281E-2</v>
          </cell>
          <cell r="AR20">
            <v>5.7239999941357755E-2</v>
          </cell>
          <cell r="AS20">
            <v>5.7644184089938259E-2</v>
          </cell>
          <cell r="AT20">
            <v>5.6015664535822879E-2</v>
          </cell>
          <cell r="AU20">
            <v>4.5279901213422513E-2</v>
          </cell>
          <cell r="AV20">
            <v>4.6594266794684806E-2</v>
          </cell>
          <cell r="AW20">
            <v>4.6081946144423944E-2</v>
          </cell>
          <cell r="AX20">
            <v>4.5517743075895976E-2</v>
          </cell>
          <cell r="AY20">
            <v>4.504135290713774E-2</v>
          </cell>
          <cell r="AZ20">
            <v>4.591937603093918E-2</v>
          </cell>
        </row>
        <row r="21">
          <cell r="AE21" t="str">
            <v>Januvia</v>
          </cell>
          <cell r="AF21" t="str">
            <v>Januvia®</v>
          </cell>
          <cell r="AG21" t="str">
            <v>Januvia®</v>
          </cell>
          <cell r="AH21" t="str">
            <v>Januvia®</v>
          </cell>
          <cell r="AJ21">
            <v>9.8999999999999755E-2</v>
          </cell>
          <cell r="AK21">
            <v>0.1869200000000002</v>
          </cell>
          <cell r="AL21">
            <v>0.28187360000000039</v>
          </cell>
          <cell r="AM21">
            <v>0.35878601600000026</v>
          </cell>
          <cell r="AN21">
            <v>0.44031317696000016</v>
          </cell>
          <cell r="AO21">
            <v>1.3683246333539911E-2</v>
          </cell>
          <cell r="AP21">
            <v>1.113666852322228E-2</v>
          </cell>
          <cell r="AQ21">
            <v>1.0378484602295786E-2</v>
          </cell>
          <cell r="AR21">
            <v>9.6380660269882942E-3</v>
          </cell>
          <cell r="AS21">
            <v>9.1474288529015766E-3</v>
          </cell>
          <cell r="AT21">
            <v>8.6602439261123532E-3</v>
          </cell>
          <cell r="AU21">
            <v>3.3891201408808622E-2</v>
          </cell>
          <cell r="AV21">
            <v>3.6677889242707519E-2</v>
          </cell>
          <cell r="AW21">
            <v>3.5694421366515267E-2</v>
          </cell>
          <cell r="AX21">
            <v>3.5214240056626885E-2</v>
          </cell>
          <cell r="AY21">
            <v>3.482789195133823E-2</v>
          </cell>
          <cell r="AZ21">
            <v>3.579139063823214E-2</v>
          </cell>
        </row>
        <row r="22">
          <cell r="AE22" t="str">
            <v>Januvia+Janumet+Janumet XR+Juvisync</v>
          </cell>
          <cell r="AF22" t="str">
            <v>Januvia+Janumet+Janumet XR+Juvisync</v>
          </cell>
          <cell r="AH22" t="str">
            <v>Januvia+Janumet+Janumet XR+Juvisync</v>
          </cell>
          <cell r="AJ22">
            <v>9.8999999999999755E-2</v>
          </cell>
          <cell r="AK22">
            <v>0.1869200000000002</v>
          </cell>
          <cell r="AL22">
            <v>0.28187360000000017</v>
          </cell>
          <cell r="AM22">
            <v>0.35878601599999982</v>
          </cell>
          <cell r="AN22">
            <v>0.44031317696000016</v>
          </cell>
          <cell r="AO22">
            <v>2.557329445582163E-2</v>
          </cell>
          <cell r="AP22">
            <v>2.3966261816663302E-2</v>
          </cell>
          <cell r="AQ22">
            <v>2.4028382047685877E-2</v>
          </cell>
          <cell r="AR22">
            <v>2.3840119316865593E-2</v>
          </cell>
          <cell r="AS22">
            <v>2.3600794961645768E-2</v>
          </cell>
          <cell r="AT22">
            <v>2.2420769124692822E-2</v>
          </cell>
          <cell r="AU22">
            <v>3.7228533995061174E-2</v>
          </cell>
          <cell r="AV22">
            <v>3.9466248774966406E-2</v>
          </cell>
          <cell r="AW22">
            <v>3.865610290333938E-2</v>
          </cell>
          <cell r="AX22">
            <v>3.8165570392224415E-2</v>
          </cell>
          <cell r="AY22">
            <v>3.7750762636840185E-2</v>
          </cell>
          <cell r="AZ22">
            <v>3.8598086212723003E-2</v>
          </cell>
        </row>
        <row r="23">
          <cell r="AE23" t="str">
            <v>Juvisync</v>
          </cell>
          <cell r="AF23" t="str">
            <v>MK-0431D (sita + simva)</v>
          </cell>
          <cell r="AG23" t="str">
            <v>MK-0431D (sita + simva)</v>
          </cell>
          <cell r="AH23" t="str">
            <v>MK-0431D (sita + simva)</v>
          </cell>
          <cell r="AI23" t="str">
            <v>????</v>
          </cell>
          <cell r="AJ23">
            <v>9.8999999999999755E-2</v>
          </cell>
          <cell r="AK23">
            <v>0.18691999999999998</v>
          </cell>
          <cell r="AL23">
            <v>0.28187359999999995</v>
          </cell>
          <cell r="AM23">
            <v>0.35878601599999982</v>
          </cell>
          <cell r="AN23">
            <v>0.44031317695999994</v>
          </cell>
          <cell r="AO23">
            <v>-7.890649163336462E-2</v>
          </cell>
          <cell r="AP23">
            <v>3.6396724063789437E-2</v>
          </cell>
          <cell r="AQ23">
            <v>3.3700670643345809E-2</v>
          </cell>
          <cell r="AR23">
            <v>3.1204324669764628E-2</v>
          </cell>
          <cell r="AS23">
            <v>2.9438042141287389E-2</v>
          </cell>
          <cell r="AT23">
            <v>2.777173786913905E-2</v>
          </cell>
          <cell r="AU23">
            <v>-6.1892234794580871E-2</v>
          </cell>
          <cell r="AV23">
            <v>2.4920628040320029E-2</v>
          </cell>
          <cell r="AW23">
            <v>2.4917470182301941E-2</v>
          </cell>
          <cell r="AX23">
            <v>2.4298690153291627E-2</v>
          </cell>
          <cell r="AY23">
            <v>2.3587833747375535E-2</v>
          </cell>
          <cell r="AZ23">
            <v>1.2937080994465623E-2</v>
          </cell>
        </row>
        <row r="24">
          <cell r="AE24" t="str">
            <v>Maxalt</v>
          </cell>
          <cell r="AF24" t="str">
            <v>Maxalt®</v>
          </cell>
          <cell r="AG24" t="str">
            <v>Maxalt®</v>
          </cell>
          <cell r="AH24" t="str">
            <v>Maxalt®</v>
          </cell>
          <cell r="AJ24">
            <v>2.9489750682477389E-2</v>
          </cell>
          <cell r="AK24">
            <v>9.8119233833233066E-2</v>
          </cell>
          <cell r="AL24">
            <v>0.15304607886438548</v>
          </cell>
          <cell r="AM24">
            <v>0.21083360324318989</v>
          </cell>
          <cell r="AN24">
            <v>0.21550625000000001</v>
          </cell>
          <cell r="AO24">
            <v>1.4836217181921291E-2</v>
          </cell>
          <cell r="AP24">
            <v>1.4667460045429497E-2</v>
          </cell>
          <cell r="AQ24">
            <v>1.3750783644222352E-2</v>
          </cell>
          <cell r="AR24">
            <v>1.3095747235766784E-2</v>
          </cell>
          <cell r="AS24">
            <v>1.2470747392172634E-2</v>
          </cell>
          <cell r="AT24">
            <v>1.2422807369357421E-2</v>
          </cell>
          <cell r="AU24">
            <v>7.1330113113255104E-3</v>
          </cell>
          <cell r="AV24">
            <v>9.7279998589358124E-3</v>
          </cell>
          <cell r="AW24">
            <v>8.679527846948561E-3</v>
          </cell>
          <cell r="AX24">
            <v>8.6795278469485627E-3</v>
          </cell>
          <cell r="AY24">
            <v>8.6795278469485645E-3</v>
          </cell>
          <cell r="AZ24">
            <v>8.7170836327552619E-3</v>
          </cell>
        </row>
        <row r="25">
          <cell r="AE25" t="str">
            <v>Nasonex</v>
          </cell>
          <cell r="AF25" t="str">
            <v>Nasonex</v>
          </cell>
          <cell r="AH25" t="str">
            <v>Nasonex</v>
          </cell>
          <cell r="AJ25">
            <v>6.6307825219992234E-2</v>
          </cell>
          <cell r="AK25">
            <v>0.14104737742390339</v>
          </cell>
          <cell r="AL25">
            <v>0.2322013645897707</v>
          </cell>
          <cell r="AM25">
            <v>0.31010344224715114</v>
          </cell>
          <cell r="AN25">
            <v>0.38888226846307994</v>
          </cell>
          <cell r="AO25">
            <v>1.239372200961363E-2</v>
          </cell>
          <cell r="AP25">
            <v>1.2191601619428822E-2</v>
          </cell>
          <cell r="AQ25">
            <v>1.1393041390927668E-2</v>
          </cell>
          <cell r="AR25">
            <v>1.0550223667645431E-2</v>
          </cell>
          <cell r="AS25">
            <v>9.9228805762862395E-3</v>
          </cell>
          <cell r="AT25">
            <v>9.3600446165862852E-3</v>
          </cell>
          <cell r="AU25">
            <v>0</v>
          </cell>
          <cell r="AV25">
            <v>0</v>
          </cell>
          <cell r="AW25">
            <v>0</v>
          </cell>
          <cell r="AX25">
            <v>0</v>
          </cell>
          <cell r="AY25">
            <v>0</v>
          </cell>
          <cell r="AZ25">
            <v>0</v>
          </cell>
        </row>
        <row r="26">
          <cell r="AE26" t="str">
            <v>Nuvaring</v>
          </cell>
          <cell r="AF26" t="str">
            <v>NUVARING</v>
          </cell>
          <cell r="AH26" t="str">
            <v>NUVARING</v>
          </cell>
          <cell r="AJ26">
            <v>5.0000000000000266E-2</v>
          </cell>
          <cell r="AK26">
            <v>0.13399999999999945</v>
          </cell>
          <cell r="AL26">
            <v>0.22472000000000003</v>
          </cell>
          <cell r="AM26">
            <v>0.29820320000000033</v>
          </cell>
          <cell r="AN26">
            <v>0.37609539200000119</v>
          </cell>
          <cell r="AO26">
            <v>2.6842414019289083E-2</v>
          </cell>
          <cell r="AP26">
            <v>2.6857143136279994E-2</v>
          </cell>
          <cell r="AQ26">
            <v>2.4867724867724875E-2</v>
          </cell>
          <cell r="AR26">
            <v>2.3025671173819318E-2</v>
          </cell>
          <cell r="AS26">
            <v>2.1722331296055955E-2</v>
          </cell>
          <cell r="AT26">
            <v>2.0492765373637683E-2</v>
          </cell>
          <cell r="AU26">
            <v>0</v>
          </cell>
          <cell r="AV26">
            <v>0</v>
          </cell>
          <cell r="AW26">
            <v>0</v>
          </cell>
          <cell r="AX26">
            <v>0</v>
          </cell>
          <cell r="AY26">
            <v>0</v>
          </cell>
          <cell r="AZ26">
            <v>0</v>
          </cell>
        </row>
        <row r="27">
          <cell r="AE27" t="str">
            <v>Proventil</v>
          </cell>
          <cell r="AF27" t="str">
            <v>PROVENTIL</v>
          </cell>
          <cell r="AH27" t="str">
            <v>PROVENTIL</v>
          </cell>
          <cell r="AJ27">
            <v>9.8999999999999755E-2</v>
          </cell>
          <cell r="AK27">
            <v>0.18691999999999998</v>
          </cell>
          <cell r="AL27">
            <v>0.28187360000000017</v>
          </cell>
          <cell r="AM27">
            <v>0.35878601600000004</v>
          </cell>
          <cell r="AN27">
            <v>0.44031317695999972</v>
          </cell>
          <cell r="AO27">
            <v>8.5559629893565664E-2</v>
          </cell>
          <cell r="AP27">
            <v>7.8070973061636934E-2</v>
          </cell>
          <cell r="AQ27">
            <v>7.2287938529976767E-2</v>
          </cell>
          <cell r="AR27">
            <v>6.6933276416645163E-2</v>
          </cell>
          <cell r="AS27">
            <v>6.3144600393061454E-2</v>
          </cell>
          <cell r="AT27">
            <v>5.9570377729303264E-2</v>
          </cell>
          <cell r="AU27">
            <v>6.3979908305628677E-2</v>
          </cell>
          <cell r="AV27">
            <v>7.662816644401349E-2</v>
          </cell>
          <cell r="AW27">
            <v>7.5697442555980085E-2</v>
          </cell>
          <cell r="AX27">
            <v>7.5270931265828053E-2</v>
          </cell>
          <cell r="AY27">
            <v>7.4764615063110246E-2</v>
          </cell>
          <cell r="AZ27">
            <v>7.4172285802371243E-2</v>
          </cell>
        </row>
        <row r="28">
          <cell r="AE28" t="str">
            <v>Saphris</v>
          </cell>
          <cell r="AF28" t="str">
            <v>Saphris</v>
          </cell>
          <cell r="AH28" t="str">
            <v>Saphris</v>
          </cell>
          <cell r="AJ28">
            <v>7.6360777310594985E-2</v>
          </cell>
          <cell r="AK28">
            <v>0.13404286929019338</v>
          </cell>
          <cell r="AL28">
            <v>0.22465302635530882</v>
          </cell>
          <cell r="AM28">
            <v>0.30921676789392349</v>
          </cell>
          <cell r="AN28">
            <v>0.3874989685041268</v>
          </cell>
          <cell r="AO28">
            <v>2.9537339753950828E-2</v>
          </cell>
          <cell r="AP28">
            <v>2.7871696173153548E-2</v>
          </cell>
          <cell r="AQ28">
            <v>2.645402639741232E-2</v>
          </cell>
          <cell r="AR28">
            <v>2.4496734466319045E-2</v>
          </cell>
          <cell r="AS28">
            <v>2.2914463621069883E-2</v>
          </cell>
          <cell r="AT28">
            <v>2.1621637695589231E-2</v>
          </cell>
          <cell r="AU28">
            <v>7.9379486826694823E-2</v>
          </cell>
          <cell r="AV28">
            <v>8.5955483731892268E-2</v>
          </cell>
          <cell r="AW28">
            <v>8.6268144418970197E-2</v>
          </cell>
          <cell r="AX28">
            <v>8.3254696676006656E-2</v>
          </cell>
          <cell r="AY28">
            <v>8.1376470118794758E-2</v>
          </cell>
          <cell r="AZ28">
            <v>8.1575888818621364E-2</v>
          </cell>
        </row>
        <row r="29">
          <cell r="AE29" t="str">
            <v>Vytorin</v>
          </cell>
          <cell r="AF29" t="str">
            <v>Vytorin® Total</v>
          </cell>
          <cell r="AG29" t="str">
            <v>Vytorin® Total</v>
          </cell>
          <cell r="AH29" t="str">
            <v>Vytorin® Total</v>
          </cell>
          <cell r="AJ29">
            <v>9.8299639711697306E-2</v>
          </cell>
          <cell r="AK29">
            <v>0.23385808425281418</v>
          </cell>
          <cell r="AL29">
            <v>0.33862972409442249</v>
          </cell>
          <cell r="AM29">
            <v>0.42399281461364313</v>
          </cell>
          <cell r="AN29">
            <v>0.48420866863742629</v>
          </cell>
          <cell r="AO29">
            <v>3.0498044432569787E-2</v>
          </cell>
          <cell r="AP29">
            <v>3.0174392110693511E-2</v>
          </cell>
          <cell r="AQ29">
            <v>2.7283407378589447E-2</v>
          </cell>
          <cell r="AR29">
            <v>2.5917622724459279E-2</v>
          </cell>
          <cell r="AS29">
            <v>2.568578115307469E-2</v>
          </cell>
          <cell r="AT29">
            <v>3.7442317185182247E-2</v>
          </cell>
          <cell r="AU29">
            <v>0</v>
          </cell>
          <cell r="AV29">
            <v>0</v>
          </cell>
          <cell r="AW29">
            <v>0</v>
          </cell>
          <cell r="AX29">
            <v>0</v>
          </cell>
          <cell r="AY29">
            <v>0</v>
          </cell>
          <cell r="AZ29">
            <v>0</v>
          </cell>
        </row>
        <row r="30">
          <cell r="AE30" t="str">
            <v>Zetia</v>
          </cell>
          <cell r="AF30" t="str">
            <v>Zetia® Total</v>
          </cell>
          <cell r="AG30" t="str">
            <v>Zetia® Total</v>
          </cell>
          <cell r="AH30" t="str">
            <v>Zetia® Total</v>
          </cell>
          <cell r="AJ30">
            <v>0.10106159874981557</v>
          </cell>
          <cell r="AK30">
            <v>0.23579821201181561</v>
          </cell>
          <cell r="AL30">
            <v>0.34206945232394426</v>
          </cell>
          <cell r="AM30">
            <v>0.4258057603831138</v>
          </cell>
          <cell r="AN30">
            <v>0.48864275806282853</v>
          </cell>
          <cell r="AO30">
            <v>9.7269742338920058E-3</v>
          </cell>
          <cell r="AP30">
            <v>9.9363408769294909E-3</v>
          </cell>
          <cell r="AQ30">
            <v>8.956873505599058E-3</v>
          </cell>
          <cell r="AR30">
            <v>8.2685765694909454E-3</v>
          </cell>
          <cell r="AS30">
            <v>7.8104627397785828E-3</v>
          </cell>
          <cell r="AT30">
            <v>2.5354444941713607E-2</v>
          </cell>
          <cell r="AU30">
            <v>0</v>
          </cell>
          <cell r="AV30">
            <v>0</v>
          </cell>
          <cell r="AW30">
            <v>0</v>
          </cell>
          <cell r="AX30">
            <v>0</v>
          </cell>
          <cell r="AY30">
            <v>0</v>
          </cell>
          <cell r="AZ30">
            <v>0</v>
          </cell>
        </row>
        <row r="31">
          <cell r="AE31" t="str">
            <v>Zetia/Vytorin</v>
          </cell>
          <cell r="AG31" t="str">
            <v>Zetia/Vytorin</v>
          </cell>
          <cell r="AH31" t="str">
            <v>Zetia/Vytorin</v>
          </cell>
          <cell r="AJ31">
            <v>0.10017611053712572</v>
          </cell>
          <cell r="AK31">
            <v>0.23526705223236388</v>
          </cell>
          <cell r="AL31">
            <v>0.34137777259407365</v>
          </cell>
          <cell r="AM31">
            <v>0.42555794308030759</v>
          </cell>
          <cell r="AN31">
            <v>0.48705412875725562</v>
          </cell>
          <cell r="AO31">
            <v>1.7596390700421502E-2</v>
          </cell>
          <cell r="AP31">
            <v>1.641362388445048E-2</v>
          </cell>
          <cell r="AQ31">
            <v>1.3968509726906636E-2</v>
          </cell>
          <cell r="AR31">
            <v>1.1810274481934729E-2</v>
          </cell>
          <cell r="AS31">
            <v>1.0251214003542794E-2</v>
          </cell>
          <cell r="AT31">
            <v>2.9676956568610136E-2</v>
          </cell>
          <cell r="AU31">
            <v>0</v>
          </cell>
          <cell r="AV31">
            <v>0</v>
          </cell>
          <cell r="AW31">
            <v>0</v>
          </cell>
          <cell r="AX31">
            <v>0</v>
          </cell>
          <cell r="AY31">
            <v>0</v>
          </cell>
          <cell r="AZ31">
            <v>0</v>
          </cell>
        </row>
        <row r="32">
          <cell r="AE32" t="str">
            <v>Zioptan</v>
          </cell>
          <cell r="AF32" t="str">
            <v>Zioptan</v>
          </cell>
          <cell r="AH32" t="str">
            <v>Zioptan</v>
          </cell>
          <cell r="AJ32">
            <v>5.0000000000000044E-2</v>
          </cell>
          <cell r="AK32">
            <v>0.10250000000000004</v>
          </cell>
          <cell r="AL32">
            <v>0.15762500000000013</v>
          </cell>
          <cell r="AM32">
            <v>0.21550625000000001</v>
          </cell>
          <cell r="AN32">
            <v>0.27628156249999991</v>
          </cell>
          <cell r="AO32">
            <v>6.4248647415805965E-2</v>
          </cell>
          <cell r="AP32">
            <v>6.7619049077321733E-2</v>
          </cell>
          <cell r="AQ32">
            <v>6.4399092970521515E-2</v>
          </cell>
          <cell r="AR32">
            <v>6.1332469495734787E-2</v>
          </cell>
          <cell r="AS32">
            <v>5.8411875710223611E-2</v>
          </cell>
          <cell r="AT32">
            <v>5.5630357819260588E-2</v>
          </cell>
          <cell r="AU32">
            <v>0.16134696735613727</v>
          </cell>
          <cell r="AV32">
            <v>0.13947642576599581</v>
          </cell>
          <cell r="AW32">
            <v>0.12770621012167757</v>
          </cell>
          <cell r="AX32">
            <v>0.13351587537122081</v>
          </cell>
          <cell r="AY32">
            <v>0.13954880650708132</v>
          </cell>
          <cell r="AZ32">
            <v>0.13839623036728138</v>
          </cell>
        </row>
        <row r="33">
          <cell r="AE33" t="str">
            <v>Avelox oral</v>
          </cell>
          <cell r="AF33" t="str">
            <v>AVELOX Oral</v>
          </cell>
          <cell r="AH33" t="str">
            <v>AVELOX Oral</v>
          </cell>
          <cell r="AJ33">
            <v>9.982718143466518E-2</v>
          </cell>
          <cell r="AK33">
            <v>0.17570918020764648</v>
          </cell>
          <cell r="AL33">
            <v>0.3070651071378534</v>
          </cell>
          <cell r="AM33">
            <v>0.41899517358305172</v>
          </cell>
          <cell r="AN33">
            <v>0.4996238535720221</v>
          </cell>
          <cell r="AO33">
            <v>0.12026502158831422</v>
          </cell>
          <cell r="AP33">
            <v>0.11820038759510305</v>
          </cell>
          <cell r="AQ33">
            <v>0.11057156156341327</v>
          </cell>
          <cell r="AR33">
            <v>9.9459467849055835E-2</v>
          </cell>
          <cell r="AS33">
            <v>9.1614124149373866E-2</v>
          </cell>
          <cell r="AT33">
            <v>8.6688405022597573E-2</v>
          </cell>
          <cell r="AU33">
            <v>0.11450327282937749</v>
          </cell>
          <cell r="AV33">
            <v>0.1216881777460978</v>
          </cell>
          <cell r="AW33">
            <v>0.12487944881266158</v>
          </cell>
          <cell r="AX33">
            <v>0.11057749781698048</v>
          </cell>
          <cell r="AY33">
            <v>0.15960742743674344</v>
          </cell>
          <cell r="AZ33">
            <v>0.17332171813878378</v>
          </cell>
        </row>
        <row r="34">
          <cell r="AE34" t="str">
            <v>Azasite</v>
          </cell>
          <cell r="AF34" t="str">
            <v>Azasite</v>
          </cell>
          <cell r="AH34" t="str">
            <v>Azasite</v>
          </cell>
          <cell r="AJ34">
            <v>6.4983203984710025E-2</v>
          </cell>
          <cell r="AK34">
            <v>0.11823236418394512</v>
          </cell>
          <cell r="AL34">
            <v>0.17414398239314277</v>
          </cell>
          <cell r="AM34">
            <v>0.23285118151280004</v>
          </cell>
          <cell r="AN34">
            <v>0.29449374058844002</v>
          </cell>
          <cell r="AO34">
            <v>1.7688624830448651E-2</v>
          </cell>
          <cell r="AP34">
            <v>3.0892505982162272E-2</v>
          </cell>
          <cell r="AQ34">
            <v>2.9421434268725982E-2</v>
          </cell>
          <cell r="AR34">
            <v>2.8020413589262834E-2</v>
          </cell>
          <cell r="AS34">
            <v>2.6686108180250315E-2</v>
          </cell>
          <cell r="AT34">
            <v>2.5415341124047922E-2</v>
          </cell>
          <cell r="AU34">
            <v>0.57851208135125287</v>
          </cell>
          <cell r="AV34">
            <v>0.58634878602950802</v>
          </cell>
          <cell r="AW34">
            <v>0.27488865894168779</v>
          </cell>
          <cell r="AX34">
            <v>0.27488865894168768</v>
          </cell>
          <cell r="AY34">
            <v>0.27488865894168774</v>
          </cell>
          <cell r="AZ34">
            <v>0.27488865894168774</v>
          </cell>
        </row>
        <row r="35">
          <cell r="AE35" t="str">
            <v>Sylatron</v>
          </cell>
          <cell r="AF35" t="str">
            <v>Sylatron</v>
          </cell>
          <cell r="AH35" t="str">
            <v>Sylatron</v>
          </cell>
          <cell r="AJ35">
            <v>0.14599999999999999</v>
          </cell>
          <cell r="AK35">
            <v>0.29270000000000002</v>
          </cell>
          <cell r="AL35">
            <v>0.41909145240751489</v>
          </cell>
          <cell r="AM35">
            <v>0.50851569697289012</v>
          </cell>
          <cell r="AN35">
            <v>0.5966415226357884</v>
          </cell>
          <cell r="AO35">
            <v>3.280520354450054E-2</v>
          </cell>
          <cell r="AP35">
            <v>3.0893807395919494E-2</v>
          </cell>
          <cell r="AQ35">
            <v>2.7435838036915492E-2</v>
          </cell>
          <cell r="AR35">
            <v>2.5438811528852263E-2</v>
          </cell>
          <cell r="AS35">
            <v>2.3930808325323492E-2</v>
          </cell>
          <cell r="AT35">
            <v>2.2609959398027509E-2</v>
          </cell>
          <cell r="AU35">
            <v>0.14041400373427806</v>
          </cell>
          <cell r="AV35">
            <v>0.14998849081759399</v>
          </cell>
          <cell r="AW35">
            <v>0.14998848937231429</v>
          </cell>
          <cell r="AX35">
            <v>0.14998848937231432</v>
          </cell>
          <cell r="AY35">
            <v>0.14998848937231424</v>
          </cell>
          <cell r="AZ35">
            <v>6.7274248909640941E-2</v>
          </cell>
        </row>
        <row r="36">
          <cell r="AE36" t="str">
            <v>Emend IV</v>
          </cell>
          <cell r="AF36" t="str">
            <v>Emend® - CINV IV</v>
          </cell>
          <cell r="AG36" t="str">
            <v>Emend® - CINV IV</v>
          </cell>
          <cell r="AH36" t="str">
            <v>Emend® - CINV IV</v>
          </cell>
          <cell r="AJ36">
            <v>6.0142168877599378E-3</v>
          </cell>
          <cell r="AK36">
            <v>1.6094812921845669E-2</v>
          </cell>
          <cell r="AL36">
            <v>2.614709172489893E-2</v>
          </cell>
          <cell r="AM36">
            <v>3.6486064528127971E-2</v>
          </cell>
          <cell r="AN36">
            <v>4.0604009999999802E-2</v>
          </cell>
          <cell r="AO36">
            <v>4.7360358117914829E-2</v>
          </cell>
          <cell r="AP36">
            <v>4.7713043378413207E-2</v>
          </cell>
          <cell r="AQ36">
            <v>4.7239686089896399E-2</v>
          </cell>
          <cell r="AR36">
            <v>4.6776919592798859E-2</v>
          </cell>
          <cell r="AS36">
            <v>4.6310318722763102E-2</v>
          </cell>
          <cell r="AT36">
            <v>4.6127056535175195E-2</v>
          </cell>
          <cell r="AU36">
            <v>6.416367808877628E-2</v>
          </cell>
          <cell r="AV36">
            <v>4.9692292425603371E-2</v>
          </cell>
          <cell r="AW36">
            <v>0</v>
          </cell>
          <cell r="AX36">
            <v>0</v>
          </cell>
          <cell r="AY36">
            <v>0</v>
          </cell>
          <cell r="AZ36">
            <v>0</v>
          </cell>
        </row>
        <row r="37">
          <cell r="AE37" t="str">
            <v>Emend Oral</v>
          </cell>
          <cell r="AF37" t="str">
            <v>Emend® - CINV Oral</v>
          </cell>
          <cell r="AG37" t="str">
            <v>Emend® - CINV Oral</v>
          </cell>
          <cell r="AH37" t="str">
            <v>Emend® - CINV Oral</v>
          </cell>
          <cell r="AJ37">
            <v>1.7040675649990122E-2</v>
          </cell>
          <cell r="AK37">
            <v>4.1911923234767778E-2</v>
          </cell>
          <cell r="AL37">
            <v>5.5495753483742138E-2</v>
          </cell>
          <cell r="AM37">
            <v>8.194582542444584E-2</v>
          </cell>
          <cell r="AN37">
            <v>0.10525588563865962</v>
          </cell>
          <cell r="AO37">
            <v>-5.5134464284267624E-2</v>
          </cell>
          <cell r="AP37">
            <v>2.4581121503284942E-2</v>
          </cell>
          <cell r="AQ37">
            <v>2.3994350618796879E-2</v>
          </cell>
          <cell r="AR37">
            <v>2.3685552421680189E-2</v>
          </cell>
          <cell r="AS37">
            <v>2.3106517362080057E-2</v>
          </cell>
          <cell r="AT37">
            <v>2.2619196445675595E-2</v>
          </cell>
          <cell r="AU37">
            <v>6.1584173047838954E-2</v>
          </cell>
          <cell r="AV37">
            <v>5.9759658438832464E-2</v>
          </cell>
          <cell r="AW37">
            <v>2.8771053576695821E-2</v>
          </cell>
          <cell r="AX37">
            <v>2.8368216768988024E-2</v>
          </cell>
          <cell r="AY37">
            <v>0</v>
          </cell>
          <cell r="AZ37">
            <v>0</v>
          </cell>
        </row>
        <row r="38">
          <cell r="AE38" t="str">
            <v>Emend Total</v>
          </cell>
          <cell r="AF38" t="e">
            <v>#N/A</v>
          </cell>
          <cell r="AG38" t="str">
            <v>Emend Total</v>
          </cell>
          <cell r="AH38" t="str">
            <v>Emend Total</v>
          </cell>
          <cell r="AJ38">
            <v>8.2962283045440177E-3</v>
          </cell>
          <cell r="AK38">
            <v>1.9981049519192773E-2</v>
          </cell>
          <cell r="AL38">
            <v>2.7329604332297031E-2</v>
          </cell>
          <cell r="AM38">
            <v>3.6968078323415199E-2</v>
          </cell>
          <cell r="AN38">
            <v>4.1163356460169886E-2</v>
          </cell>
          <cell r="AO38">
            <v>1.7930732796013385E-2</v>
          </cell>
          <cell r="AP38">
            <v>4.1810659780387179E-2</v>
          </cell>
          <cell r="AQ38">
            <v>4.2510112120323663E-2</v>
          </cell>
          <cell r="AR38">
            <v>4.4446778174775506E-2</v>
          </cell>
          <cell r="AS38">
            <v>4.5849354582909632E-2</v>
          </cell>
          <cell r="AT38">
            <v>4.5759377852420381E-2</v>
          </cell>
          <cell r="AU38">
            <v>5.990860503842782E-2</v>
          </cell>
          <cell r="AV38">
            <v>4.9356358878789051E-2</v>
          </cell>
          <cell r="AW38">
            <v>6.1132952721449311E-3</v>
          </cell>
          <cell r="AX38">
            <v>3.1612020813066334E-3</v>
          </cell>
          <cell r="AY38">
            <v>0</v>
          </cell>
          <cell r="AZ38">
            <v>0</v>
          </cell>
        </row>
        <row r="39">
          <cell r="AE39" t="str">
            <v>Follistim</v>
          </cell>
          <cell r="AF39" t="str">
            <v>FOLLISTIM/PUREGON</v>
          </cell>
          <cell r="AG39" t="str">
            <v>FOLLISTIM/PUREGON</v>
          </cell>
          <cell r="AH39" t="str">
            <v>FOLLISTIM/PUREGON</v>
          </cell>
          <cell r="AJ39">
            <v>6.4999999999999725E-2</v>
          </cell>
          <cell r="AK39">
            <v>0.15019999999999989</v>
          </cell>
          <cell r="AL39">
            <v>0.24221599999999999</v>
          </cell>
          <cell r="AM39">
            <v>0.31674896000000019</v>
          </cell>
          <cell r="AN39">
            <v>0.39575389760000035</v>
          </cell>
          <cell r="AO39">
            <v>5.6919418901600405E-2</v>
          </cell>
          <cell r="AP39">
            <v>5.173708763785078E-2</v>
          </cell>
          <cell r="AQ39">
            <v>4.790471222396106E-2</v>
          </cell>
          <cell r="AR39">
            <v>4.4356215022186167E-2</v>
          </cell>
          <cell r="AS39">
            <v>4.1845485869986952E-2</v>
          </cell>
          <cell r="AT39">
            <v>3.9476873462251816E-2</v>
          </cell>
          <cell r="AU39">
            <v>7.9006565969586079E-2</v>
          </cell>
          <cell r="AV39">
            <v>7.0753242673366482E-2</v>
          </cell>
          <cell r="AW39">
            <v>7.0257707296204702E-2</v>
          </cell>
          <cell r="AX39">
            <v>6.9894309776784055E-2</v>
          </cell>
          <cell r="AY39">
            <v>6.9405419664697376E-2</v>
          </cell>
          <cell r="AZ39">
            <v>6.904204050414918E-2</v>
          </cell>
        </row>
        <row r="40">
          <cell r="AE40" t="str">
            <v>Ganirelix</v>
          </cell>
          <cell r="AF40" t="str">
            <v>Ganirelix</v>
          </cell>
          <cell r="AH40" t="str">
            <v>Ganirelix</v>
          </cell>
          <cell r="AJ40">
            <v>7.5000000000000178E-2</v>
          </cell>
          <cell r="AK40">
            <v>0.16100000000000025</v>
          </cell>
          <cell r="AL40">
            <v>0.25388000000000033</v>
          </cell>
          <cell r="AM40">
            <v>0.32911279999999943</v>
          </cell>
          <cell r="AN40">
            <v>0.40885956800000001</v>
          </cell>
          <cell r="AO40">
            <v>9.7935146016394761E-2</v>
          </cell>
          <cell r="AP40">
            <v>0.11358139568606468</v>
          </cell>
          <cell r="AQ40">
            <v>0.1051679586563307</v>
          </cell>
          <cell r="AR40">
            <v>9.7377739496602528E-2</v>
          </cell>
          <cell r="AS40">
            <v>9.1865791977926936E-2</v>
          </cell>
          <cell r="AT40">
            <v>8.6665841488610298E-2</v>
          </cell>
          <cell r="AU40">
            <v>0.10522627838676681</v>
          </cell>
          <cell r="AV40">
            <v>9.9770000296220934E-2</v>
          </cell>
          <cell r="AW40">
            <v>9.9660000000000012E-2</v>
          </cell>
          <cell r="AX40">
            <v>5.8134999999999999E-2</v>
          </cell>
          <cell r="AY40">
            <v>0</v>
          </cell>
          <cell r="AZ40">
            <v>0</v>
          </cell>
        </row>
        <row r="41">
          <cell r="AE41" t="str">
            <v>Implanon/Nexplanon</v>
          </cell>
          <cell r="AF41" t="str">
            <v>IMPLANON</v>
          </cell>
          <cell r="AG41" t="str">
            <v>IMPLANON</v>
          </cell>
          <cell r="AH41" t="str">
            <v>IMPLANON</v>
          </cell>
          <cell r="AJ41">
            <v>0</v>
          </cell>
          <cell r="AK41">
            <v>4.1806525918548942E-2</v>
          </cell>
          <cell r="AL41">
            <v>0.1249554396874526</v>
          </cell>
          <cell r="AM41">
            <v>0.20253061880366863</v>
          </cell>
          <cell r="AN41">
            <v>0.27447724200711354</v>
          </cell>
          <cell r="AO41">
            <v>2.0334140265284323E-2</v>
          </cell>
          <cell r="AP41">
            <v>1.7690029655139598E-2</v>
          </cell>
          <cell r="AQ41">
            <v>1.7453816318137135E-2</v>
          </cell>
          <cell r="AR41">
            <v>1.6326943790358473E-2</v>
          </cell>
          <cell r="AS41">
            <v>1.5568101836436039E-2</v>
          </cell>
          <cell r="AT41">
            <v>1.4891793504743865E-2</v>
          </cell>
          <cell r="AU41">
            <v>0</v>
          </cell>
          <cell r="AV41">
            <v>0</v>
          </cell>
          <cell r="AW41">
            <v>0</v>
          </cell>
          <cell r="AX41">
            <v>0</v>
          </cell>
          <cell r="AY41">
            <v>0</v>
          </cell>
          <cell r="AZ41">
            <v>0</v>
          </cell>
        </row>
        <row r="42">
          <cell r="AE42" t="str">
            <v>Intron A</v>
          </cell>
          <cell r="AF42" t="str">
            <v>INTRON A</v>
          </cell>
          <cell r="AH42" t="str">
            <v>INTRON A</v>
          </cell>
          <cell r="AJ42">
            <v>7.400000000000001E-2</v>
          </cell>
          <cell r="AK42">
            <v>0.12130000000000001</v>
          </cell>
          <cell r="AL42">
            <v>0.39372545336304876</v>
          </cell>
          <cell r="AM42">
            <v>0.47859549931003409</v>
          </cell>
          <cell r="AN42">
            <v>0.5670412099880513</v>
          </cell>
          <cell r="AO42">
            <v>4.5102657869899025E-2</v>
          </cell>
          <cell r="AP42">
            <v>4.2744363284226899E-2</v>
          </cell>
          <cell r="AQ42">
            <v>3.7899855766861945E-2</v>
          </cell>
          <cell r="AR42">
            <v>3.5085819722962423E-2</v>
          </cell>
          <cell r="AS42">
            <v>3.3071925366213069E-2</v>
          </cell>
          <cell r="AT42">
            <v>3.1205305698612011E-2</v>
          </cell>
          <cell r="AU42">
            <v>0.125234426952371</v>
          </cell>
          <cell r="AV42">
            <v>0.13129647748737808</v>
          </cell>
          <cell r="AW42">
            <v>0.1313298775080973</v>
          </cell>
          <cell r="AX42">
            <v>0.13129429975813653</v>
          </cell>
          <cell r="AY42">
            <v>0.13157476182658701</v>
          </cell>
          <cell r="AZ42">
            <v>0.13157476182658703</v>
          </cell>
        </row>
        <row r="43">
          <cell r="AE43" t="str">
            <v>Pegintron</v>
          </cell>
          <cell r="AF43" t="str">
            <v>PEGINTRON</v>
          </cell>
          <cell r="AH43" t="str">
            <v>PEGINTRON</v>
          </cell>
          <cell r="AJ43">
            <v>5.4407730176813551E-2</v>
          </cell>
          <cell r="AK43">
            <v>0.13646968098662793</v>
          </cell>
          <cell r="AL43">
            <v>0.20857695570067669</v>
          </cell>
          <cell r="AM43">
            <v>0.30240670199455533</v>
          </cell>
          <cell r="AN43">
            <v>0.37478087085666378</v>
          </cell>
          <cell r="AO43">
            <v>5.962920612486388E-2</v>
          </cell>
          <cell r="AP43">
            <v>6.1730630475402816E-2</v>
          </cell>
          <cell r="AQ43">
            <v>5.6940015822663725E-2</v>
          </cell>
          <cell r="AR43">
            <v>5.6178578904173673E-2</v>
          </cell>
          <cell r="AS43">
            <v>5.8498252607789826E-2</v>
          </cell>
          <cell r="AT43">
            <v>6.0511735569107432E-2</v>
          </cell>
          <cell r="AU43">
            <v>0.14669523250247499</v>
          </cell>
          <cell r="AV43">
            <v>0.17219897063397011</v>
          </cell>
          <cell r="AW43">
            <v>0.16860899717326105</v>
          </cell>
          <cell r="AX43">
            <v>0.16312321329940194</v>
          </cell>
          <cell r="AY43">
            <v>0.15802423811659844</v>
          </cell>
          <cell r="AZ43">
            <v>6.4812073615036866E-2</v>
          </cell>
        </row>
        <row r="44">
          <cell r="AE44" t="str">
            <v>Temodar</v>
          </cell>
          <cell r="AF44" t="str">
            <v>TEMODAR</v>
          </cell>
          <cell r="AH44" t="str">
            <v>TEMODAR</v>
          </cell>
          <cell r="AJ44">
            <v>8.1640567175258472E-2</v>
          </cell>
          <cell r="AK44">
            <v>0.15958496950572809</v>
          </cell>
          <cell r="AL44">
            <v>0.2601201174275789</v>
          </cell>
          <cell r="AM44">
            <v>0.3422748237292772</v>
          </cell>
          <cell r="AN44">
            <v>0.42344458421198627</v>
          </cell>
          <cell r="AO44">
            <v>2.0673561753620732E-2</v>
          </cell>
          <cell r="AP44">
            <v>2.0339474038995872E-2</v>
          </cell>
          <cell r="AQ44">
            <v>1.8972305245882472E-2</v>
          </cell>
          <cell r="AR44">
            <v>1.745865310436517E-2</v>
          </cell>
          <cell r="AS44">
            <v>1.6390086151565314E-2</v>
          </cell>
          <cell r="AT44">
            <v>1.5455466439657093E-2</v>
          </cell>
          <cell r="AU44">
            <v>4.2746773828520476E-2</v>
          </cell>
          <cell r="AV44">
            <v>4.1873984732721206E-2</v>
          </cell>
          <cell r="AW44">
            <v>8.7168769772582519E-3</v>
          </cell>
          <cell r="AX44">
            <v>0</v>
          </cell>
          <cell r="AY44">
            <v>0</v>
          </cell>
          <cell r="AZ44">
            <v>0</v>
          </cell>
        </row>
        <row r="45">
          <cell r="AE45" t="str">
            <v>Victrelis</v>
          </cell>
          <cell r="AF45" t="str">
            <v>Victrelis</v>
          </cell>
          <cell r="AG45" t="str">
            <v>Victrelis</v>
          </cell>
          <cell r="AH45" t="str">
            <v>Victrelis</v>
          </cell>
          <cell r="AJ45">
            <v>8.594336912883449E-2</v>
          </cell>
          <cell r="AK45">
            <v>0.24202219238451317</v>
          </cell>
          <cell r="AL45">
            <v>0.40878136060808523</v>
          </cell>
          <cell r="AM45">
            <v>0.61510354562461367</v>
          </cell>
          <cell r="AN45">
            <v>0.84151690429427517</v>
          </cell>
          <cell r="AO45">
            <v>7.4446547441497479E-2</v>
          </cell>
          <cell r="AP45">
            <v>6.8143516599179818E-2</v>
          </cell>
          <cell r="AQ45">
            <v>5.9580255855114818E-2</v>
          </cell>
          <cell r="AR45">
            <v>5.2527668287759441E-2</v>
          </cell>
          <cell r="AS45">
            <v>4.5817495850633966E-2</v>
          </cell>
          <cell r="AT45">
            <v>4.0184263216611067E-2</v>
          </cell>
          <cell r="AU45">
            <v>4.7471675275057044E-2</v>
          </cell>
          <cell r="AV45">
            <v>4.4958347687054132E-2</v>
          </cell>
          <cell r="AW45">
            <v>3.9679836318397145E-2</v>
          </cell>
          <cell r="AX45">
            <v>3.7189994274830815E-2</v>
          </cell>
          <cell r="AY45">
            <v>3.607180393547408E-2</v>
          </cell>
          <cell r="AZ45">
            <v>3.5265548032271513E-2</v>
          </cell>
        </row>
        <row r="46">
          <cell r="AE46" t="str">
            <v>Zolinza - CTCL</v>
          </cell>
          <cell r="AF46" t="str">
            <v>Zolinza® - CTCL</v>
          </cell>
          <cell r="AG46" t="str">
            <v>Zolinza® - CTCL</v>
          </cell>
          <cell r="AH46" t="str">
            <v>Zolinza® - CTCL</v>
          </cell>
          <cell r="AJ46">
            <v>0</v>
          </cell>
          <cell r="AK46">
            <v>0</v>
          </cell>
          <cell r="AL46">
            <v>0</v>
          </cell>
          <cell r="AM46">
            <v>0</v>
          </cell>
          <cell r="AN46">
            <v>0</v>
          </cell>
          <cell r="AO46">
            <v>6.0508292854142449E-3</v>
          </cell>
          <cell r="AP46">
            <v>6.3999996266666873E-3</v>
          </cell>
          <cell r="AQ46">
            <v>6.3999999999999994E-3</v>
          </cell>
          <cell r="AR46">
            <v>6.3999999999999994E-3</v>
          </cell>
          <cell r="AS46">
            <v>6.4000000000000012E-3</v>
          </cell>
          <cell r="AT46">
            <v>6.4000000000000012E-3</v>
          </cell>
          <cell r="AU46">
            <v>2.9489328180026631E-2</v>
          </cell>
          <cell r="AV46">
            <v>2.8977153753205968E-2</v>
          </cell>
          <cell r="AW46">
            <v>2.8922061137179447E-2</v>
          </cell>
          <cell r="AX46">
            <v>2.8922061137179447E-2</v>
          </cell>
          <cell r="AY46">
            <v>1.5725854911848552E-2</v>
          </cell>
          <cell r="AZ46">
            <v>1.5725854911848552E-2</v>
          </cell>
        </row>
        <row r="47">
          <cell r="AE47" t="str">
            <v>Clarinex</v>
          </cell>
          <cell r="AF47" t="str">
            <v>Clarinex Tablets</v>
          </cell>
          <cell r="AG47" t="str">
            <v>Clarinex Tablets</v>
          </cell>
          <cell r="AH47" t="str">
            <v>Clarinex Tablets</v>
          </cell>
          <cell r="AJ47">
            <v>0</v>
          </cell>
          <cell r="AK47">
            <v>0</v>
          </cell>
          <cell r="AL47">
            <v>0</v>
          </cell>
          <cell r="AM47">
            <v>0</v>
          </cell>
          <cell r="AN47">
            <v>0</v>
          </cell>
          <cell r="AO47">
            <v>2.1523532401417363E-2</v>
          </cell>
          <cell r="AP47">
            <v>3.6000001561389654E-2</v>
          </cell>
          <cell r="AQ47">
            <v>3.5999999999999997E-2</v>
          </cell>
          <cell r="AR47">
            <v>3.5999999999999997E-2</v>
          </cell>
          <cell r="AS47">
            <v>3.5999999999999997E-2</v>
          </cell>
          <cell r="AT47">
            <v>3.5999999999999997E-2</v>
          </cell>
          <cell r="AU47">
            <v>3.9677247163679791E-2</v>
          </cell>
          <cell r="AV47">
            <v>4.378400189899679E-2</v>
          </cell>
          <cell r="AW47">
            <v>4.3784000000000003E-2</v>
          </cell>
          <cell r="AX47">
            <v>2.9882339325974554E-2</v>
          </cell>
          <cell r="AY47">
            <v>0</v>
          </cell>
          <cell r="AZ47">
            <v>0</v>
          </cell>
        </row>
        <row r="48">
          <cell r="AE48" t="str">
            <v>Cozaar</v>
          </cell>
          <cell r="AF48" t="str">
            <v>Cozaar®</v>
          </cell>
          <cell r="AG48" t="str">
            <v>Cozaar®</v>
          </cell>
          <cell r="AH48" t="str">
            <v>Cozaar®</v>
          </cell>
          <cell r="AJ48">
            <v>0</v>
          </cell>
          <cell r="AK48">
            <v>0</v>
          </cell>
          <cell r="AL48">
            <v>0</v>
          </cell>
          <cell r="AM48">
            <v>0</v>
          </cell>
          <cell r="AN48">
            <v>0</v>
          </cell>
          <cell r="AO48">
            <v>6.1358618395104161E-2</v>
          </cell>
          <cell r="AP48">
            <v>3.0000000250000002E-2</v>
          </cell>
          <cell r="AQ48">
            <v>3.0000000000000006E-2</v>
          </cell>
          <cell r="AR48">
            <v>3.0000000000000006E-2</v>
          </cell>
          <cell r="AS48">
            <v>3.0000000000000006E-2</v>
          </cell>
          <cell r="AT48">
            <v>3.0000000000000006E-2</v>
          </cell>
          <cell r="AU48">
            <v>-3.2483357172591026E-3</v>
          </cell>
          <cell r="AV48">
            <v>6.5113723997077084E-3</v>
          </cell>
          <cell r="AW48">
            <v>0</v>
          </cell>
          <cell r="AX48">
            <v>0</v>
          </cell>
          <cell r="AY48">
            <v>0</v>
          </cell>
          <cell r="AZ48">
            <v>0</v>
          </cell>
        </row>
        <row r="49">
          <cell r="AE49" t="str">
            <v>Cozaar+Hyzaar</v>
          </cell>
          <cell r="AG49" t="str">
            <v>Cozaar+Hyzaar</v>
          </cell>
          <cell r="AH49" t="str">
            <v>Cozaar+Hyzaar</v>
          </cell>
          <cell r="AJ49">
            <v>0</v>
          </cell>
          <cell r="AK49">
            <v>0</v>
          </cell>
          <cell r="AL49">
            <v>0</v>
          </cell>
          <cell r="AM49">
            <v>0</v>
          </cell>
          <cell r="AN49">
            <v>0</v>
          </cell>
          <cell r="AO49">
            <v>0.12151087874363689</v>
          </cell>
          <cell r="AP49">
            <v>8.1263611729072718E-2</v>
          </cell>
          <cell r="AQ49">
            <v>8.1263611256085097E-2</v>
          </cell>
          <cell r="AR49">
            <v>8.1263611256085097E-2</v>
          </cell>
          <cell r="AS49">
            <v>8.1263611256085097E-2</v>
          </cell>
          <cell r="AT49">
            <v>8.1263611256085097E-2</v>
          </cell>
          <cell r="AU49">
            <v>-2.1149741825080468E-3</v>
          </cell>
          <cell r="AV49">
            <v>8.7148594362744681E-3</v>
          </cell>
          <cell r="AW49">
            <v>0</v>
          </cell>
          <cell r="AX49">
            <v>0</v>
          </cell>
          <cell r="AY49">
            <v>0</v>
          </cell>
          <cell r="AZ49">
            <v>0</v>
          </cell>
        </row>
        <row r="50">
          <cell r="AE50" t="str">
            <v>Hyzaar</v>
          </cell>
          <cell r="AF50" t="str">
            <v>Hyzaar®</v>
          </cell>
          <cell r="AG50" t="str">
            <v>Hyzaar®</v>
          </cell>
          <cell r="AH50" t="str">
            <v>Hyzaar®</v>
          </cell>
          <cell r="AJ50">
            <v>0</v>
          </cell>
          <cell r="AK50">
            <v>0</v>
          </cell>
          <cell r="AL50">
            <v>0</v>
          </cell>
          <cell r="AM50">
            <v>0</v>
          </cell>
          <cell r="AN50">
            <v>0</v>
          </cell>
          <cell r="AO50">
            <v>0.17164823015787767</v>
          </cell>
          <cell r="AP50">
            <v>0.2</v>
          </cell>
          <cell r="AQ50">
            <v>0.2</v>
          </cell>
          <cell r="AR50">
            <v>0.2</v>
          </cell>
          <cell r="AS50">
            <v>0.2</v>
          </cell>
          <cell r="AT50">
            <v>0.2</v>
          </cell>
          <cell r="AU50">
            <v>-1.1703090075345678E-3</v>
          </cell>
          <cell r="AV50">
            <v>1.3818559405414408E-2</v>
          </cell>
          <cell r="AW50">
            <v>0</v>
          </cell>
          <cell r="AX50">
            <v>0</v>
          </cell>
          <cell r="AY50">
            <v>0</v>
          </cell>
          <cell r="AZ50">
            <v>0</v>
          </cell>
        </row>
        <row r="51">
          <cell r="AE51" t="str">
            <v>Fosamax</v>
          </cell>
          <cell r="AF51" t="str">
            <v>Fosamax®</v>
          </cell>
          <cell r="AG51" t="str">
            <v>Fosamax®</v>
          </cell>
          <cell r="AH51" t="str">
            <v>Fosamax®</v>
          </cell>
          <cell r="AJ51">
            <v>0</v>
          </cell>
          <cell r="AK51">
            <v>0</v>
          </cell>
          <cell r="AL51">
            <v>0</v>
          </cell>
          <cell r="AM51">
            <v>0</v>
          </cell>
          <cell r="AN51">
            <v>0</v>
          </cell>
          <cell r="AO51">
            <v>1.7577774191351106E-3</v>
          </cell>
          <cell r="AP51">
            <v>1.9999999520293521E-2</v>
          </cell>
          <cell r="AQ51">
            <v>2.0000000000000004E-2</v>
          </cell>
          <cell r="AR51">
            <v>0.02</v>
          </cell>
          <cell r="AS51">
            <v>1.9999999999999993E-2</v>
          </cell>
          <cell r="AT51">
            <v>2.0000000000000004E-2</v>
          </cell>
          <cell r="AU51">
            <v>0</v>
          </cell>
          <cell r="AV51">
            <v>0</v>
          </cell>
          <cell r="AW51">
            <v>0</v>
          </cell>
          <cell r="AX51">
            <v>0</v>
          </cell>
          <cell r="AY51">
            <v>0</v>
          </cell>
          <cell r="AZ51">
            <v>0</v>
          </cell>
        </row>
        <row r="52">
          <cell r="AE52" t="str">
            <v>Fosamax plus D</v>
          </cell>
          <cell r="AF52" t="str">
            <v>Fosamax® PLUS D</v>
          </cell>
          <cell r="AG52" t="str">
            <v>Fosamax® PLUS D</v>
          </cell>
          <cell r="AH52" t="str">
            <v>Fosamax® PLUS D</v>
          </cell>
          <cell r="AJ52">
            <v>0</v>
          </cell>
          <cell r="AK52">
            <v>0</v>
          </cell>
          <cell r="AL52">
            <v>0</v>
          </cell>
          <cell r="AM52">
            <v>0</v>
          </cell>
          <cell r="AN52">
            <v>0</v>
          </cell>
          <cell r="AO52">
            <v>1.654293702344848E-2</v>
          </cell>
          <cell r="AP52">
            <v>1.9999999510431844E-2</v>
          </cell>
          <cell r="AQ52">
            <v>1.9999999999999993E-2</v>
          </cell>
          <cell r="AR52">
            <v>1.9999999999999997E-2</v>
          </cell>
          <cell r="AS52">
            <v>2.0000000000000007E-2</v>
          </cell>
          <cell r="AT52">
            <v>1.9999999999999993E-2</v>
          </cell>
          <cell r="AU52">
            <v>0</v>
          </cell>
          <cell r="AV52">
            <v>0</v>
          </cell>
          <cell r="AW52">
            <v>0</v>
          </cell>
          <cell r="AX52">
            <v>0</v>
          </cell>
          <cell r="AY52">
            <v>0</v>
          </cell>
          <cell r="AZ52">
            <v>0</v>
          </cell>
        </row>
        <row r="53">
          <cell r="AE53" t="str">
            <v>Propecia</v>
          </cell>
          <cell r="AF53" t="str">
            <v>Propecia®</v>
          </cell>
          <cell r="AG53" t="str">
            <v>Propecia®</v>
          </cell>
          <cell r="AH53" t="str">
            <v>Propecia®</v>
          </cell>
          <cell r="AJ53">
            <v>0</v>
          </cell>
          <cell r="AK53">
            <v>0</v>
          </cell>
          <cell r="AL53">
            <v>0</v>
          </cell>
          <cell r="AM53">
            <v>0</v>
          </cell>
          <cell r="AN53">
            <v>0</v>
          </cell>
          <cell r="AO53">
            <v>1.9202920913702917E-2</v>
          </cell>
          <cell r="AP53">
            <v>1.9499999636892903E-2</v>
          </cell>
          <cell r="AQ53">
            <v>1.9499999999999997E-2</v>
          </cell>
          <cell r="AR53">
            <v>1.9499999999999997E-2</v>
          </cell>
          <cell r="AS53">
            <v>1.9499999999999997E-2</v>
          </cell>
          <cell r="AT53">
            <v>1.9499999999999997E-2</v>
          </cell>
          <cell r="AU53">
            <v>0</v>
          </cell>
          <cell r="AV53">
            <v>0</v>
          </cell>
          <cell r="AW53">
            <v>0</v>
          </cell>
          <cell r="AX53">
            <v>0</v>
          </cell>
          <cell r="AY53">
            <v>0</v>
          </cell>
          <cell r="AZ53">
            <v>0</v>
          </cell>
        </row>
        <row r="54">
          <cell r="AE54" t="str">
            <v>Singulair</v>
          </cell>
          <cell r="AF54" t="str">
            <v>Singulair®</v>
          </cell>
          <cell r="AG54" t="str">
            <v>Singulair®</v>
          </cell>
          <cell r="AH54" t="str">
            <v>Singulair®</v>
          </cell>
          <cell r="AJ54">
            <v>2.2972273399888499E-2</v>
          </cell>
          <cell r="AK54">
            <v>0.10213457246891111</v>
          </cell>
          <cell r="AL54">
            <v>0.1791583777479735</v>
          </cell>
          <cell r="AM54">
            <v>0.27003497898908879</v>
          </cell>
          <cell r="AN54">
            <v>0.34815787184293101</v>
          </cell>
          <cell r="AO54">
            <v>1.1193538729324829E-2</v>
          </cell>
          <cell r="AP54">
            <v>1.2219295116420585E-2</v>
          </cell>
          <cell r="AQ54">
            <v>1.1338622687387612E-2</v>
          </cell>
          <cell r="AR54">
            <v>1.0597971177045111E-2</v>
          </cell>
          <cell r="AS54">
            <v>9.8396398161226702E-3</v>
          </cell>
          <cell r="AT54">
            <v>9.2694535322088017E-3</v>
          </cell>
          <cell r="AU54">
            <v>0</v>
          </cell>
          <cell r="AV54">
            <v>0</v>
          </cell>
          <cell r="AW54">
            <v>0</v>
          </cell>
          <cell r="AX54">
            <v>0</v>
          </cell>
          <cell r="AY54">
            <v>0</v>
          </cell>
          <cell r="AZ54">
            <v>0</v>
          </cell>
        </row>
        <row r="55">
          <cell r="AE55" t="str">
            <v>Zocor</v>
          </cell>
          <cell r="AF55" t="str">
            <v>Zocor®</v>
          </cell>
          <cell r="AG55" t="str">
            <v>Zocor®</v>
          </cell>
          <cell r="AH55" t="str">
            <v>Zocor®</v>
          </cell>
          <cell r="AJ55">
            <v>0</v>
          </cell>
          <cell r="AK55">
            <v>0</v>
          </cell>
          <cell r="AL55">
            <v>0</v>
          </cell>
          <cell r="AM55">
            <v>0</v>
          </cell>
          <cell r="AN55">
            <v>0</v>
          </cell>
          <cell r="AO55">
            <v>9.0662757013259682E-3</v>
          </cell>
          <cell r="AP55">
            <v>9.9999999129241537E-3</v>
          </cell>
          <cell r="AQ55">
            <v>0.01</v>
          </cell>
          <cell r="AR55">
            <v>9.9999999999999985E-3</v>
          </cell>
          <cell r="AS55">
            <v>9.9999999999999985E-3</v>
          </cell>
          <cell r="AT55">
            <v>1.0000000000000002E-2</v>
          </cell>
          <cell r="AU55">
            <v>0</v>
          </cell>
          <cell r="AV55">
            <v>0</v>
          </cell>
          <cell r="AW55">
            <v>0</v>
          </cell>
          <cell r="AX55">
            <v>0</v>
          </cell>
          <cell r="AY55">
            <v>0</v>
          </cell>
          <cell r="AZ55">
            <v>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12 Months</v>
          </cell>
        </row>
        <row r="5">
          <cell r="B5">
            <v>109036</v>
          </cell>
        </row>
        <row r="6">
          <cell r="Q6">
            <v>2.2727272727272929E-2</v>
          </cell>
        </row>
        <row r="7">
          <cell r="B7">
            <v>7.8168127957738731</v>
          </cell>
        </row>
      </sheetData>
      <sheetData sheetId="1" refreshError="1">
        <row r="16">
          <cell r="C16">
            <v>2.8900000000000063</v>
          </cell>
        </row>
        <row r="25">
          <cell r="C25">
            <v>1.8229322254016762</v>
          </cell>
        </row>
        <row r="28">
          <cell r="C28">
            <v>1.5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12 Months</v>
          </cell>
        </row>
        <row r="5">
          <cell r="B5">
            <v>11651</v>
          </cell>
        </row>
        <row r="6">
          <cell r="Q6">
            <v>2.9473842906678982E-2</v>
          </cell>
        </row>
        <row r="7">
          <cell r="B7">
            <v>2.8428</v>
          </cell>
        </row>
      </sheetData>
      <sheetData sheetId="1" refreshError="1">
        <row r="16">
          <cell r="C16">
            <v>3.9100000000000166</v>
          </cell>
        </row>
        <row r="25">
          <cell r="C25">
            <v>6.7816104822712697</v>
          </cell>
        </row>
        <row r="28">
          <cell r="C28">
            <v>10.3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12 Months</v>
          </cell>
        </row>
        <row r="5">
          <cell r="B5">
            <v>4823</v>
          </cell>
        </row>
        <row r="6">
          <cell r="Q6">
            <v>1.8912436598120808E-2</v>
          </cell>
        </row>
        <row r="7">
          <cell r="B7">
            <v>2.6220000000000003</v>
          </cell>
        </row>
      </sheetData>
      <sheetData sheetId="1" refreshError="1">
        <row r="16">
          <cell r="C16">
            <v>2.4050000000000065</v>
          </cell>
        </row>
        <row r="25">
          <cell r="C25">
            <v>4.2539460625260634</v>
          </cell>
        </row>
        <row r="28">
          <cell r="C28">
            <v>6.8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12 Months</v>
          </cell>
        </row>
        <row r="5">
          <cell r="B5">
            <v>14237</v>
          </cell>
        </row>
        <row r="6">
          <cell r="Q6">
            <v>0.14102564102564097</v>
          </cell>
        </row>
      </sheetData>
      <sheetData sheetId="1">
        <row r="16">
          <cell r="C16">
            <v>10.753262625553136</v>
          </cell>
        </row>
        <row r="25">
          <cell r="C25">
            <v>1.3576042464389846</v>
          </cell>
        </row>
        <row r="28">
          <cell r="C28">
            <v>3.11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7 Months</v>
          </cell>
        </row>
        <row r="5">
          <cell r="B5">
            <v>80264</v>
          </cell>
        </row>
        <row r="6">
          <cell r="Q6">
            <v>4.6916890080428875E-2</v>
          </cell>
        </row>
        <row r="7">
          <cell r="B7">
            <v>12.06</v>
          </cell>
        </row>
      </sheetData>
      <sheetData sheetId="1" refreshError="1">
        <row r="16">
          <cell r="C16">
            <v>4.528571428571432</v>
          </cell>
        </row>
        <row r="25">
          <cell r="C25">
            <v>1.6661842981521588</v>
          </cell>
        </row>
        <row r="28">
          <cell r="C28">
            <v>2.8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7 Months</v>
          </cell>
        </row>
        <row r="5">
          <cell r="B5">
            <v>12924</v>
          </cell>
        </row>
        <row r="6">
          <cell r="Q6">
            <v>1.1586452762923027E-2</v>
          </cell>
        </row>
        <row r="7">
          <cell r="B7">
            <v>8.0859640978025382</v>
          </cell>
        </row>
      </sheetData>
      <sheetData sheetId="1" refreshError="1">
        <row r="16">
          <cell r="C16">
            <v>0.51999999999999602</v>
          </cell>
        </row>
        <row r="25">
          <cell r="C25">
            <v>0.276947292495686</v>
          </cell>
        </row>
        <row r="28">
          <cell r="C28">
            <v>0.3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8 Months</v>
          </cell>
        </row>
        <row r="5">
          <cell r="B5">
            <v>44293</v>
          </cell>
        </row>
        <row r="6">
          <cell r="Q6">
            <v>3.6221477580979711E-2</v>
          </cell>
        </row>
        <row r="7">
          <cell r="B7">
            <v>5.9520014449235772</v>
          </cell>
        </row>
      </sheetData>
      <sheetData sheetId="1" refreshError="1">
        <row r="16">
          <cell r="C16">
            <v>2.2699999999999951</v>
          </cell>
        </row>
        <row r="25">
          <cell r="C25">
            <v>1.7923956324623602</v>
          </cell>
        </row>
        <row r="28">
          <cell r="C28">
            <v>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12 Months</v>
          </cell>
        </row>
        <row r="5">
          <cell r="B5">
            <v>6587</v>
          </cell>
        </row>
        <row r="6">
          <cell r="Q6">
            <v>2.6614785992218115E-2</v>
          </cell>
        </row>
        <row r="7">
          <cell r="B7">
            <v>3.97128131167451</v>
          </cell>
        </row>
      </sheetData>
      <sheetData sheetId="1">
        <row r="16">
          <cell r="C16">
            <v>5.1300000000000017</v>
          </cell>
        </row>
        <row r="25">
          <cell r="C25">
            <v>6.1342186167434605</v>
          </cell>
        </row>
        <row r="28">
          <cell r="C28">
            <v>5.76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12 Months</v>
          </cell>
        </row>
        <row r="5">
          <cell r="B5">
            <v>4134</v>
          </cell>
        </row>
        <row r="6">
          <cell r="Q6">
            <v>5.9095688748685538E-2</v>
          </cell>
        </row>
        <row r="7">
          <cell r="B7">
            <v>3.2910982099661346</v>
          </cell>
        </row>
      </sheetData>
      <sheetData sheetId="1">
        <row r="16">
          <cell r="C16">
            <v>11.240000000000009</v>
          </cell>
        </row>
        <row r="25">
          <cell r="C25">
            <v>14.628504063199367</v>
          </cell>
        </row>
        <row r="28">
          <cell r="C28">
            <v>15.43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12 Months</v>
          </cell>
        </row>
        <row r="5">
          <cell r="B5">
            <v>9500</v>
          </cell>
        </row>
        <row r="6">
          <cell r="Q6">
            <v>5.3070276057199939E-2</v>
          </cell>
        </row>
        <row r="7">
          <cell r="B7">
            <v>2.42</v>
          </cell>
        </row>
      </sheetData>
      <sheetData sheetId="1">
        <row r="16">
          <cell r="C16">
            <v>6.9400000000000031</v>
          </cell>
        </row>
        <row r="25">
          <cell r="C25">
            <v>13.502924801754405</v>
          </cell>
        </row>
        <row r="28">
          <cell r="C28">
            <v>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osion"/>
    </sheetNames>
    <sheetDataSet>
      <sheetData sheetId="0" refreshError="1">
        <row r="5">
          <cell r="A5" t="str">
            <v>TAGAMET 5/17/94</v>
          </cell>
          <cell r="B5">
            <v>17</v>
          </cell>
        </row>
        <row r="6">
          <cell r="A6" t="str">
            <v xml:space="preserve">   Branded TRx's</v>
          </cell>
          <cell r="B6">
            <v>967.21666980954183</v>
          </cell>
          <cell r="C6">
            <v>589.99372669916829</v>
          </cell>
          <cell r="D6">
            <v>437.31331455578368</v>
          </cell>
          <cell r="E6">
            <v>376.63123966942146</v>
          </cell>
          <cell r="F6">
            <v>315.73105324523902</v>
          </cell>
          <cell r="G6">
            <v>287.8654065620542</v>
          </cell>
          <cell r="H6">
            <v>263.83063965399498</v>
          </cell>
          <cell r="I6">
            <v>264.11275127957867</v>
          </cell>
          <cell r="J6">
            <v>227</v>
          </cell>
          <cell r="K6">
            <v>195</v>
          </cell>
          <cell r="L6">
            <v>206</v>
          </cell>
          <cell r="M6">
            <v>178</v>
          </cell>
          <cell r="N6">
            <v>181</v>
          </cell>
          <cell r="O6">
            <v>166</v>
          </cell>
          <cell r="P6">
            <v>153</v>
          </cell>
          <cell r="Q6">
            <v>144</v>
          </cell>
          <cell r="R6">
            <v>126</v>
          </cell>
          <cell r="S6">
            <v>126</v>
          </cell>
          <cell r="T6">
            <v>118</v>
          </cell>
          <cell r="U6">
            <v>118</v>
          </cell>
          <cell r="V6">
            <v>110</v>
          </cell>
          <cell r="W6">
            <v>98</v>
          </cell>
          <cell r="X6">
            <v>99</v>
          </cell>
          <cell r="Y6">
            <v>95</v>
          </cell>
          <cell r="Z6">
            <v>91</v>
          </cell>
          <cell r="AA6">
            <v>82</v>
          </cell>
          <cell r="AB6">
            <v>85</v>
          </cell>
          <cell r="AC6">
            <v>81</v>
          </cell>
          <cell r="AD6">
            <v>74</v>
          </cell>
          <cell r="AE6">
            <v>76</v>
          </cell>
          <cell r="AF6">
            <v>69</v>
          </cell>
          <cell r="AG6">
            <v>71</v>
          </cell>
          <cell r="AH6">
            <v>67</v>
          </cell>
          <cell r="AI6">
            <v>57</v>
          </cell>
          <cell r="AJ6">
            <v>61</v>
          </cell>
          <cell r="AK6">
            <v>59</v>
          </cell>
          <cell r="AL6">
            <v>57</v>
          </cell>
          <cell r="AM6">
            <v>53</v>
          </cell>
          <cell r="AN6">
            <v>54</v>
          </cell>
          <cell r="AO6">
            <v>51</v>
          </cell>
          <cell r="AP6">
            <v>49</v>
          </cell>
          <cell r="AQ6">
            <v>48</v>
          </cell>
          <cell r="AR6">
            <v>43</v>
          </cell>
          <cell r="AS6">
            <v>47</v>
          </cell>
          <cell r="AT6">
            <v>41</v>
          </cell>
          <cell r="AU6">
            <v>36</v>
          </cell>
          <cell r="AV6">
            <v>39</v>
          </cell>
          <cell r="AW6">
            <v>37</v>
          </cell>
          <cell r="AX6">
            <v>36</v>
          </cell>
          <cell r="AY6">
            <v>36</v>
          </cell>
          <cell r="AZ6">
            <v>35</v>
          </cell>
          <cell r="BA6">
            <v>34</v>
          </cell>
          <cell r="BB6">
            <v>32</v>
          </cell>
          <cell r="BC6">
            <v>33</v>
          </cell>
          <cell r="BD6">
            <v>30</v>
          </cell>
          <cell r="BE6">
            <v>31</v>
          </cell>
          <cell r="BF6">
            <v>27</v>
          </cell>
          <cell r="BG6">
            <v>26</v>
          </cell>
          <cell r="BH6">
            <v>28</v>
          </cell>
          <cell r="BI6">
            <v>25</v>
          </cell>
        </row>
        <row r="7">
          <cell r="A7" t="str">
            <v xml:space="preserve">   Generic TRx's</v>
          </cell>
          <cell r="B7">
            <v>48</v>
          </cell>
          <cell r="C7">
            <v>447.17303407423509</v>
          </cell>
          <cell r="D7">
            <v>609.79329335454656</v>
          </cell>
          <cell r="E7">
            <v>735.55940856650307</v>
          </cell>
          <cell r="F7">
            <v>755.87625642171099</v>
          </cell>
          <cell r="G7">
            <v>796.41902142706033</v>
          </cell>
          <cell r="H7">
            <v>815.08229264844488</v>
          </cell>
          <cell r="I7">
            <v>860.06539591037631</v>
          </cell>
          <cell r="J7">
            <v>902</v>
          </cell>
          <cell r="K7">
            <v>856</v>
          </cell>
          <cell r="L7">
            <v>962</v>
          </cell>
          <cell r="M7">
            <v>900</v>
          </cell>
          <cell r="N7">
            <v>970</v>
          </cell>
          <cell r="O7">
            <v>924</v>
          </cell>
          <cell r="P7">
            <v>885</v>
          </cell>
          <cell r="Q7">
            <v>878</v>
          </cell>
          <cell r="R7">
            <v>805</v>
          </cell>
          <cell r="S7">
            <v>830</v>
          </cell>
          <cell r="T7">
            <v>807</v>
          </cell>
          <cell r="U7">
            <v>796</v>
          </cell>
          <cell r="V7">
            <v>825</v>
          </cell>
          <cell r="W7">
            <v>768</v>
          </cell>
          <cell r="X7">
            <v>800</v>
          </cell>
          <cell r="Y7">
            <v>788</v>
          </cell>
          <cell r="Z7">
            <v>767</v>
          </cell>
          <cell r="AA7">
            <v>714</v>
          </cell>
          <cell r="AB7">
            <v>761</v>
          </cell>
          <cell r="AC7">
            <v>749</v>
          </cell>
          <cell r="AD7">
            <v>706</v>
          </cell>
          <cell r="AE7">
            <v>747</v>
          </cell>
          <cell r="AF7">
            <v>698</v>
          </cell>
          <cell r="AG7">
            <v>719</v>
          </cell>
          <cell r="AH7">
            <v>727</v>
          </cell>
          <cell r="AI7">
            <v>648</v>
          </cell>
          <cell r="AJ7">
            <v>700</v>
          </cell>
          <cell r="AK7">
            <v>711</v>
          </cell>
          <cell r="AL7">
            <v>703</v>
          </cell>
          <cell r="AM7">
            <v>667</v>
          </cell>
          <cell r="AN7">
            <v>688</v>
          </cell>
          <cell r="AO7">
            <v>672</v>
          </cell>
          <cell r="AP7">
            <v>666</v>
          </cell>
          <cell r="AQ7">
            <v>670</v>
          </cell>
          <cell r="AR7">
            <v>607</v>
          </cell>
          <cell r="AS7">
            <v>667</v>
          </cell>
          <cell r="AT7">
            <v>649</v>
          </cell>
          <cell r="AU7">
            <v>582</v>
          </cell>
          <cell r="AV7">
            <v>642</v>
          </cell>
          <cell r="AW7">
            <v>615</v>
          </cell>
          <cell r="AX7">
            <v>601</v>
          </cell>
          <cell r="AY7">
            <v>600</v>
          </cell>
          <cell r="AZ7">
            <v>591</v>
          </cell>
          <cell r="BA7">
            <v>579</v>
          </cell>
          <cell r="BB7">
            <v>573</v>
          </cell>
          <cell r="BC7">
            <v>586</v>
          </cell>
          <cell r="BD7">
            <v>546</v>
          </cell>
          <cell r="BE7">
            <v>570</v>
          </cell>
          <cell r="BF7">
            <v>543</v>
          </cell>
          <cell r="BG7">
            <v>519</v>
          </cell>
          <cell r="BH7">
            <v>575</v>
          </cell>
          <cell r="BI7">
            <v>532</v>
          </cell>
        </row>
        <row r="8">
          <cell r="A8" t="str">
            <v xml:space="preserve">   Month-end Branded % of Molecule</v>
          </cell>
          <cell r="B8">
            <v>0.73318084566320707</v>
          </cell>
          <cell r="C8">
            <v>0.48281084076041669</v>
          </cell>
          <cell r="D8">
            <v>0.37170795938970874</v>
          </cell>
          <cell r="E8">
            <v>0.31410503110827093</v>
          </cell>
          <cell r="F8">
            <v>0.27803394478695387</v>
          </cell>
          <cell r="G8">
            <v>0.25363985617728446</v>
          </cell>
          <cell r="H8">
            <v>0.23899990326668993</v>
          </cell>
          <cell r="I8">
            <v>0.21570673594140846</v>
          </cell>
          <cell r="J8">
            <v>0.19253933136676499</v>
          </cell>
          <cell r="K8">
            <v>0.18010680509561741</v>
          </cell>
          <cell r="L8">
            <v>0.17021784541927784</v>
          </cell>
          <cell r="M8">
            <v>0.16053720854054376</v>
          </cell>
          <cell r="N8">
            <v>0.15450989759054132</v>
          </cell>
          <cell r="O8">
            <v>0.14957882826250943</v>
          </cell>
          <cell r="P8">
            <v>0.14374109109757677</v>
          </cell>
          <cell r="Q8">
            <v>0.13787654999484766</v>
          </cell>
          <cell r="R8">
            <v>0.13330982190089932</v>
          </cell>
          <cell r="S8">
            <v>0.12943558412957767</v>
          </cell>
          <cell r="T8">
            <v>0.12843304429851612</v>
          </cell>
          <cell r="U8">
            <v>0.12254743132807719</v>
          </cell>
          <cell r="V8">
            <v>0.11519142761468915</v>
          </cell>
          <cell r="W8">
            <v>0.11141253155495272</v>
          </cell>
          <cell r="X8">
            <v>0.10869728069518315</v>
          </cell>
          <cell r="Y8">
            <v>0.10673316708229426</v>
          </cell>
          <cell r="Z8">
            <v>0.104391152880175</v>
          </cell>
          <cell r="AA8">
            <v>0.10153659522846745</v>
          </cell>
          <cell r="AB8">
            <v>9.8852955233391743E-2</v>
          </cell>
          <cell r="AC8">
            <v>9.6091476091476086E-2</v>
          </cell>
          <cell r="AD8">
            <v>9.3406821101487708E-2</v>
          </cell>
          <cell r="AE8">
            <v>9.1035470553542844E-2</v>
          </cell>
          <cell r="AF8">
            <v>8.9910687577453949E-2</v>
          </cell>
          <cell r="AG8">
            <v>8.6755301245371924E-2</v>
          </cell>
          <cell r="AH8">
            <v>8.2485318509884789E-2</v>
          </cell>
          <cell r="AI8">
            <v>8.04452085784092E-2</v>
          </cell>
          <cell r="AJ8">
            <v>7.8144715659400427E-2</v>
          </cell>
          <cell r="AK8">
            <v>7.5708678587003919E-2</v>
          </cell>
          <cell r="AL8">
            <v>7.4231464737793851E-2</v>
          </cell>
          <cell r="AM8">
            <v>7.3131883134613634E-2</v>
          </cell>
          <cell r="AN8">
            <v>7.1522997675160682E-2</v>
          </cell>
          <cell r="AO8">
            <v>6.9407070613343225E-2</v>
          </cell>
          <cell r="AP8">
            <v>6.7578252174317469E-2</v>
          </cell>
          <cell r="AQ8">
            <v>6.6473704866562011E-2</v>
          </cell>
          <cell r="AR8">
            <v>6.5960753837186706E-2</v>
          </cell>
          <cell r="AS8">
            <v>6.2250142775556822E-2</v>
          </cell>
          <cell r="AT8">
            <v>5.8790306017662768E-2</v>
          </cell>
          <cell r="AU8">
            <v>5.7671714853908519E-2</v>
          </cell>
          <cell r="AV8">
            <v>5.6979485378943671E-2</v>
          </cell>
          <cell r="AW8">
            <v>5.6617456617456617E-2</v>
          </cell>
          <cell r="AX8">
            <v>5.6565233331587493E-2</v>
          </cell>
          <cell r="AY8">
            <v>5.621364357482813E-2</v>
          </cell>
          <cell r="AZ8">
            <v>5.5660326526213694E-2</v>
          </cell>
          <cell r="BA8">
            <v>5.4015558233811767E-2</v>
          </cell>
          <cell r="BB8">
            <v>5.3132477702849686E-2</v>
          </cell>
          <cell r="BC8">
            <v>5.2637479679354227E-2</v>
          </cell>
          <cell r="BD8">
            <v>5.1793278734820675E-2</v>
          </cell>
          <cell r="BE8">
            <v>4.9248700222818943E-2</v>
          </cell>
          <cell r="BF8">
            <v>4.7556221889055471E-2</v>
          </cell>
          <cell r="BG8">
            <v>4.6954314720812185E-2</v>
          </cell>
          <cell r="BH8">
            <v>4.5585856251444422E-2</v>
          </cell>
          <cell r="BI8">
            <v>4.4730579117593212E-2</v>
          </cell>
        </row>
        <row r="10">
          <cell r="A10" t="str">
            <v>CAPOTEN 2/13/96</v>
          </cell>
          <cell r="B10">
            <v>13</v>
          </cell>
        </row>
        <row r="11">
          <cell r="A11" t="str">
            <v xml:space="preserve">   Branded TRx's</v>
          </cell>
          <cell r="B11">
            <v>802</v>
          </cell>
          <cell r="C11">
            <v>693</v>
          </cell>
          <cell r="D11">
            <v>536</v>
          </cell>
          <cell r="E11">
            <v>421</v>
          </cell>
          <cell r="F11">
            <v>343</v>
          </cell>
          <cell r="G11">
            <v>292</v>
          </cell>
          <cell r="H11">
            <v>244</v>
          </cell>
          <cell r="I11">
            <v>236</v>
          </cell>
          <cell r="J11">
            <v>212</v>
          </cell>
          <cell r="K11">
            <v>183</v>
          </cell>
          <cell r="L11">
            <v>179</v>
          </cell>
          <cell r="M11">
            <v>158</v>
          </cell>
          <cell r="N11">
            <v>154</v>
          </cell>
          <cell r="O11">
            <v>138</v>
          </cell>
          <cell r="P11">
            <v>117</v>
          </cell>
          <cell r="Q11">
            <v>119</v>
          </cell>
          <cell r="R11">
            <v>113</v>
          </cell>
          <cell r="S11">
            <v>109</v>
          </cell>
          <cell r="T11">
            <v>99</v>
          </cell>
          <cell r="U11">
            <v>99</v>
          </cell>
          <cell r="V11">
            <v>92</v>
          </cell>
          <cell r="W11">
            <v>87</v>
          </cell>
          <cell r="X11">
            <v>85</v>
          </cell>
          <cell r="Y11">
            <v>76</v>
          </cell>
          <cell r="Z11">
            <v>82</v>
          </cell>
          <cell r="AA11">
            <v>74</v>
          </cell>
          <cell r="AB11">
            <v>64</v>
          </cell>
          <cell r="AC11">
            <v>69</v>
          </cell>
          <cell r="AD11">
            <v>65</v>
          </cell>
          <cell r="AE11">
            <v>62</v>
          </cell>
          <cell r="AF11">
            <v>61</v>
          </cell>
          <cell r="AG11">
            <v>60</v>
          </cell>
          <cell r="AH11">
            <v>56</v>
          </cell>
          <cell r="AI11">
            <v>55</v>
          </cell>
          <cell r="AJ11">
            <v>55</v>
          </cell>
          <cell r="AK11">
            <v>51</v>
          </cell>
          <cell r="AL11">
            <v>52</v>
          </cell>
          <cell r="AM11">
            <v>47</v>
          </cell>
          <cell r="AN11">
            <v>42</v>
          </cell>
          <cell r="AO11">
            <v>46</v>
          </cell>
          <cell r="AP11">
            <v>42</v>
          </cell>
          <cell r="AQ11">
            <v>40</v>
          </cell>
          <cell r="AR11">
            <v>41</v>
          </cell>
          <cell r="AS11">
            <v>40</v>
          </cell>
          <cell r="AT11">
            <v>38</v>
          </cell>
          <cell r="AU11">
            <v>36</v>
          </cell>
          <cell r="AV11">
            <v>36</v>
          </cell>
          <cell r="AW11">
            <v>34</v>
          </cell>
          <cell r="AX11">
            <v>36</v>
          </cell>
          <cell r="AY11">
            <v>29.158999999999999</v>
          </cell>
          <cell r="AZ11">
            <v>28.49</v>
          </cell>
          <cell r="BA11">
            <v>29.661999999999999</v>
          </cell>
          <cell r="BB11">
            <v>26.806999999999999</v>
          </cell>
          <cell r="BC11">
            <v>27.966000000000001</v>
          </cell>
          <cell r="BD11">
            <v>27.254999999999999</v>
          </cell>
          <cell r="BE11">
            <v>25.619</v>
          </cell>
          <cell r="BF11">
            <v>25.44</v>
          </cell>
          <cell r="BG11">
            <v>23.401</v>
          </cell>
          <cell r="BH11">
            <v>23.353999999999999</v>
          </cell>
          <cell r="BI11">
            <v>22.175000000000001</v>
          </cell>
        </row>
        <row r="12">
          <cell r="A12" t="str">
            <v xml:space="preserve">   Generic TRx's</v>
          </cell>
          <cell r="B12">
            <v>58</v>
          </cell>
          <cell r="C12">
            <v>176</v>
          </cell>
          <cell r="D12">
            <v>251</v>
          </cell>
          <cell r="E12">
            <v>391</v>
          </cell>
          <cell r="F12">
            <v>468</v>
          </cell>
          <cell r="G12">
            <v>508</v>
          </cell>
          <cell r="H12">
            <v>507</v>
          </cell>
          <cell r="I12">
            <v>565</v>
          </cell>
          <cell r="J12">
            <v>574</v>
          </cell>
          <cell r="K12">
            <v>552</v>
          </cell>
          <cell r="L12">
            <v>591</v>
          </cell>
          <cell r="M12">
            <v>571</v>
          </cell>
          <cell r="N12">
            <v>596</v>
          </cell>
          <cell r="O12">
            <v>612</v>
          </cell>
          <cell r="P12">
            <v>549</v>
          </cell>
          <cell r="Q12">
            <v>609</v>
          </cell>
          <cell r="R12">
            <v>611</v>
          </cell>
          <cell r="S12">
            <v>619</v>
          </cell>
          <cell r="T12">
            <v>592</v>
          </cell>
          <cell r="U12">
            <v>617</v>
          </cell>
          <cell r="V12">
            <v>602</v>
          </cell>
          <cell r="W12">
            <v>594</v>
          </cell>
          <cell r="X12">
            <v>601</v>
          </cell>
          <cell r="Y12">
            <v>555</v>
          </cell>
          <cell r="Z12">
            <v>616</v>
          </cell>
          <cell r="AA12">
            <v>598</v>
          </cell>
          <cell r="AB12">
            <v>544</v>
          </cell>
          <cell r="AC12">
            <v>606</v>
          </cell>
          <cell r="AD12">
            <v>592</v>
          </cell>
          <cell r="AE12">
            <v>590</v>
          </cell>
          <cell r="AF12">
            <v>598</v>
          </cell>
          <cell r="AG12">
            <v>588</v>
          </cell>
          <cell r="AH12">
            <v>569</v>
          </cell>
          <cell r="AI12">
            <v>560</v>
          </cell>
          <cell r="AJ12">
            <v>577</v>
          </cell>
          <cell r="AK12">
            <v>544</v>
          </cell>
          <cell r="AL12">
            <v>569</v>
          </cell>
          <cell r="AM12">
            <v>543</v>
          </cell>
          <cell r="AN12">
            <v>520</v>
          </cell>
          <cell r="AO12">
            <v>582</v>
          </cell>
          <cell r="AP12">
            <v>545</v>
          </cell>
          <cell r="AQ12">
            <v>532</v>
          </cell>
          <cell r="AR12">
            <v>551</v>
          </cell>
          <cell r="AS12">
            <v>546</v>
          </cell>
          <cell r="AT12">
            <v>544</v>
          </cell>
          <cell r="AU12">
            <v>525</v>
          </cell>
          <cell r="AV12">
            <v>533</v>
          </cell>
          <cell r="AW12">
            <v>526</v>
          </cell>
          <cell r="AX12">
            <v>550</v>
          </cell>
          <cell r="AY12">
            <v>518.596</v>
          </cell>
          <cell r="AZ12">
            <v>522.23599999999999</v>
          </cell>
          <cell r="BA12">
            <v>552.03599999999994</v>
          </cell>
          <cell r="BB12">
            <v>515.154</v>
          </cell>
          <cell r="BC12">
            <v>570.85900000000004</v>
          </cell>
          <cell r="BD12">
            <v>537.65200000000004</v>
          </cell>
          <cell r="BE12">
            <v>529.98699999999997</v>
          </cell>
          <cell r="BF12">
            <v>541.48500000000001</v>
          </cell>
          <cell r="BG12">
            <v>511.57400000000001</v>
          </cell>
          <cell r="BH12">
            <v>534.05499999999995</v>
          </cell>
          <cell r="BI12">
            <v>513.99199999999996</v>
          </cell>
        </row>
        <row r="13">
          <cell r="A13" t="str">
            <v xml:space="preserve">   Month-end Branded % of Molecule</v>
          </cell>
          <cell r="B13">
            <v>0.87367365049967205</v>
          </cell>
          <cell r="C13">
            <v>0.74984002559590468</v>
          </cell>
          <cell r="D13">
            <v>0.60935867975767699</v>
          </cell>
          <cell r="E13">
            <v>0.47710190167166389</v>
          </cell>
          <cell r="F13">
            <v>0.39802373175672884</v>
          </cell>
          <cell r="G13">
            <v>0.34824294825150881</v>
          </cell>
          <cell r="H13">
            <v>0.31130284728213975</v>
          </cell>
          <cell r="I13">
            <v>0.2839521711768408</v>
          </cell>
          <cell r="J13">
            <v>0.26107256621721864</v>
          </cell>
          <cell r="K13">
            <v>0.24163519217951565</v>
          </cell>
          <cell r="L13">
            <v>0.22586077015110559</v>
          </cell>
          <cell r="M13">
            <v>0.21171476313056045</v>
          </cell>
          <cell r="N13">
            <v>0.1960888888888889</v>
          </cell>
          <cell r="O13">
            <v>0.18063340807174888</v>
          </cell>
          <cell r="P13">
            <v>0.17011450014432791</v>
          </cell>
          <cell r="Q13">
            <v>0.16027170919772352</v>
          </cell>
          <cell r="R13">
            <v>0.15331618592687857</v>
          </cell>
          <cell r="S13">
            <v>0.14701062783838195</v>
          </cell>
          <cell r="T13">
            <v>0.14105913084777963</v>
          </cell>
          <cell r="U13">
            <v>0.13584033216948194</v>
          </cell>
          <cell r="V13">
            <v>0.13050215485932884</v>
          </cell>
          <cell r="W13">
            <v>0.12607953159307148</v>
          </cell>
          <cell r="X13">
            <v>0.12247671784545683</v>
          </cell>
          <cell r="Y13">
            <v>0.11908489470228777</v>
          </cell>
          <cell r="Z13">
            <v>0.11435782933695758</v>
          </cell>
          <cell r="AA13">
            <v>0.10813327814569536</v>
          </cell>
          <cell r="AB13">
            <v>0.10386688294699388</v>
          </cell>
          <cell r="AC13">
            <v>0.1008193445243805</v>
          </cell>
          <cell r="AD13">
            <v>9.7276660727920586E-2</v>
          </cell>
          <cell r="AE13">
            <v>9.3990127728868764E-2</v>
          </cell>
          <cell r="AF13">
            <v>9.2576552708004287E-2</v>
          </cell>
          <cell r="AG13">
            <v>9.1322292461208918E-2</v>
          </cell>
          <cell r="AH13">
            <v>8.9527389903329757E-2</v>
          </cell>
          <cell r="AI13">
            <v>8.8372342134861545E-2</v>
          </cell>
          <cell r="AJ13">
            <v>8.6476540938362462E-2</v>
          </cell>
          <cell r="AK13">
            <v>8.4836155707059602E-2</v>
          </cell>
          <cell r="AL13">
            <v>8.2021177374225054E-2</v>
          </cell>
          <cell r="AM13">
            <v>7.7584217812644213E-2</v>
          </cell>
          <cell r="AN13">
            <v>7.4048989727960271E-2</v>
          </cell>
          <cell r="AO13">
            <v>7.2540558256404652E-2</v>
          </cell>
          <cell r="AP13">
            <v>7.085845535457938E-2</v>
          </cell>
          <cell r="AQ13">
            <v>6.963260619977038E-2</v>
          </cell>
          <cell r="AR13">
            <v>6.8827055762922751E-2</v>
          </cell>
          <cell r="AS13">
            <v>6.6978548607941585E-2</v>
          </cell>
          <cell r="AT13">
            <v>6.481643102344796E-2</v>
          </cell>
          <cell r="AU13">
            <v>6.377701665288768E-2</v>
          </cell>
          <cell r="AV13">
            <v>6.2171886981655163E-2</v>
          </cell>
          <cell r="AW13">
            <v>6.1033959621892869E-2</v>
          </cell>
          <cell r="AX13">
            <v>5.8015438322079824E-2</v>
          </cell>
          <cell r="AY13">
            <v>5.2580817523940011E-2</v>
          </cell>
          <cell r="AZ13">
            <v>5.1401241850826632E-2</v>
          </cell>
          <cell r="BA13">
            <v>5.0355906592035746E-2</v>
          </cell>
          <cell r="BB13">
            <v>4.8198259307443411E-2</v>
          </cell>
          <cell r="BC13">
            <v>4.7349104784026493E-2</v>
          </cell>
          <cell r="BD13">
            <v>4.7329605557301174E-2</v>
          </cell>
          <cell r="BE13">
            <v>4.5568129599858509E-2</v>
          </cell>
          <cell r="BF13">
            <v>4.4399423832598053E-2</v>
          </cell>
          <cell r="BG13">
            <v>4.2924156159896289E-2</v>
          </cell>
          <cell r="BH13">
            <v>4.1668967107386531E-2</v>
          </cell>
          <cell r="BI13">
            <v>4.1360952712680955E-2</v>
          </cell>
        </row>
        <row r="15">
          <cell r="A15" t="str">
            <v>ZANTAC 7/25/97</v>
          </cell>
          <cell r="B15">
            <v>25</v>
          </cell>
        </row>
        <row r="16">
          <cell r="A16" t="str">
            <v xml:space="preserve">   Branded TRx's</v>
          </cell>
          <cell r="B16">
            <v>1803</v>
          </cell>
          <cell r="C16">
            <v>1325</v>
          </cell>
          <cell r="D16">
            <v>844</v>
          </cell>
          <cell r="E16">
            <v>679</v>
          </cell>
          <cell r="F16">
            <v>544</v>
          </cell>
          <cell r="G16">
            <v>552</v>
          </cell>
          <cell r="H16">
            <v>475</v>
          </cell>
          <cell r="I16">
            <v>406</v>
          </cell>
          <cell r="J16">
            <v>433</v>
          </cell>
          <cell r="K16">
            <v>401</v>
          </cell>
          <cell r="L16">
            <v>383</v>
          </cell>
          <cell r="M16">
            <v>376</v>
          </cell>
          <cell r="N16">
            <v>355</v>
          </cell>
          <cell r="O16">
            <v>344</v>
          </cell>
          <cell r="P16">
            <v>333</v>
          </cell>
          <cell r="Q16">
            <v>335</v>
          </cell>
          <cell r="R16">
            <v>308</v>
          </cell>
          <cell r="S16">
            <v>318</v>
          </cell>
          <cell r="T16">
            <v>284</v>
          </cell>
          <cell r="U16">
            <v>266</v>
          </cell>
          <cell r="V16">
            <v>293</v>
          </cell>
          <cell r="W16">
            <v>268</v>
          </cell>
          <cell r="X16">
            <v>257</v>
          </cell>
          <cell r="Y16">
            <v>261</v>
          </cell>
          <cell r="Z16">
            <v>250</v>
          </cell>
          <cell r="AA16">
            <v>249</v>
          </cell>
          <cell r="AB16">
            <v>238</v>
          </cell>
          <cell r="AC16">
            <v>241</v>
          </cell>
          <cell r="AD16">
            <v>235</v>
          </cell>
          <cell r="AE16">
            <v>244</v>
          </cell>
          <cell r="AF16">
            <v>213.36600000000001</v>
          </cell>
          <cell r="AG16">
            <v>211.13</v>
          </cell>
          <cell r="AH16">
            <v>225.23699999999999</v>
          </cell>
          <cell r="AI16">
            <v>203.50299999999999</v>
          </cell>
          <cell r="AJ16">
            <v>213.34299999999999</v>
          </cell>
          <cell r="AK16">
            <v>207.36099999999999</v>
          </cell>
          <cell r="AL16">
            <v>199.17599999999999</v>
          </cell>
          <cell r="AM16">
            <v>206.86</v>
          </cell>
          <cell r="AN16">
            <v>197.53299999999999</v>
          </cell>
          <cell r="AO16">
            <v>204.28</v>
          </cell>
          <cell r="AP16">
            <v>197.453</v>
          </cell>
          <cell r="AQ16">
            <v>196.55600000000001</v>
          </cell>
          <cell r="AR16">
            <v>202.85599999999999</v>
          </cell>
          <cell r="AS16">
            <v>181.054</v>
          </cell>
          <cell r="AT16">
            <v>199.86799999999999</v>
          </cell>
          <cell r="AU16">
            <v>186.24100000000001</v>
          </cell>
          <cell r="AV16">
            <v>192.52199999999999</v>
          </cell>
          <cell r="AW16">
            <v>182.09800000000001</v>
          </cell>
          <cell r="AX16">
            <v>184.08500000000001</v>
          </cell>
          <cell r="AY16">
            <v>187.09100000000001</v>
          </cell>
          <cell r="AZ16">
            <v>162.30600000000001</v>
          </cell>
          <cell r="BA16">
            <v>179.2</v>
          </cell>
          <cell r="BB16">
            <v>171.321</v>
          </cell>
          <cell r="BC16">
            <v>173.959</v>
          </cell>
          <cell r="BD16">
            <v>180.827</v>
          </cell>
          <cell r="BE16">
            <v>163.46899999999999</v>
          </cell>
          <cell r="BF16">
            <v>175.529</v>
          </cell>
          <cell r="BG16">
            <v>177.23599999999999</v>
          </cell>
          <cell r="BH16">
            <v>173.2</v>
          </cell>
          <cell r="BI16">
            <v>151.14599999999999</v>
          </cell>
        </row>
        <row r="17">
          <cell r="A17" t="str">
            <v xml:space="preserve">   Generic TRx's</v>
          </cell>
          <cell r="B17">
            <v>0</v>
          </cell>
          <cell r="C17">
            <v>441</v>
          </cell>
          <cell r="D17">
            <v>935</v>
          </cell>
          <cell r="E17">
            <v>1116</v>
          </cell>
          <cell r="F17">
            <v>1108</v>
          </cell>
          <cell r="G17">
            <v>1281</v>
          </cell>
          <cell r="H17">
            <v>1319</v>
          </cell>
          <cell r="I17">
            <v>1221</v>
          </cell>
          <cell r="J17">
            <v>1376</v>
          </cell>
          <cell r="K17">
            <v>1340</v>
          </cell>
          <cell r="L17">
            <v>1334</v>
          </cell>
          <cell r="M17">
            <v>1366</v>
          </cell>
          <cell r="N17">
            <v>1362</v>
          </cell>
          <cell r="O17">
            <v>1364</v>
          </cell>
          <cell r="P17">
            <v>1369</v>
          </cell>
          <cell r="Q17">
            <v>1449</v>
          </cell>
          <cell r="R17">
            <v>1383</v>
          </cell>
          <cell r="S17">
            <v>1472</v>
          </cell>
          <cell r="T17">
            <v>1431</v>
          </cell>
          <cell r="U17">
            <v>1394</v>
          </cell>
          <cell r="V17">
            <v>1580</v>
          </cell>
          <cell r="W17">
            <v>1489</v>
          </cell>
          <cell r="X17">
            <v>1464</v>
          </cell>
          <cell r="Y17">
            <v>1525</v>
          </cell>
          <cell r="Z17">
            <v>1527</v>
          </cell>
          <cell r="AA17">
            <v>1570</v>
          </cell>
          <cell r="AB17">
            <v>1529</v>
          </cell>
          <cell r="AC17">
            <v>1581</v>
          </cell>
          <cell r="AD17">
            <v>1577</v>
          </cell>
          <cell r="AE17">
            <v>1642</v>
          </cell>
          <cell r="AF17">
            <v>1563.7670000000001</v>
          </cell>
          <cell r="AG17">
            <v>1583.4870000000001</v>
          </cell>
          <cell r="AH17">
            <v>1698.43</v>
          </cell>
          <cell r="AI17">
            <v>1576.498</v>
          </cell>
          <cell r="AJ17">
            <v>1708.2090000000001</v>
          </cell>
          <cell r="AK17">
            <v>1652.4580000000001</v>
          </cell>
          <cell r="AL17">
            <v>1639.779</v>
          </cell>
          <cell r="AM17">
            <v>1704.086</v>
          </cell>
          <cell r="AN17">
            <v>1621.7329999999999</v>
          </cell>
          <cell r="AO17">
            <v>1711.3869999999999</v>
          </cell>
          <cell r="AP17">
            <v>1660.942</v>
          </cell>
          <cell r="AQ17">
            <v>1671.704</v>
          </cell>
          <cell r="AR17">
            <v>1754.595</v>
          </cell>
          <cell r="AS17">
            <v>1588.3050000000001</v>
          </cell>
          <cell r="AT17">
            <v>1759.4559999999999</v>
          </cell>
          <cell r="AU17">
            <v>1662.595</v>
          </cell>
          <cell r="AV17">
            <v>1709.16</v>
          </cell>
          <cell r="AW17">
            <v>1634.9749999999999</v>
          </cell>
          <cell r="AX17">
            <v>1677.7</v>
          </cell>
          <cell r="AY17">
            <v>1702.2819999999999</v>
          </cell>
          <cell r="AZ17">
            <v>1587.3430000000001</v>
          </cell>
          <cell r="BA17">
            <v>1734.895</v>
          </cell>
          <cell r="BB17">
            <v>1646.9829999999999</v>
          </cell>
          <cell r="BC17">
            <v>1667.133</v>
          </cell>
          <cell r="BD17">
            <v>1724.1959999999999</v>
          </cell>
          <cell r="BE17">
            <v>1579.077</v>
          </cell>
          <cell r="BF17">
            <v>1691.87</v>
          </cell>
          <cell r="BG17">
            <v>1723.0889999999999</v>
          </cell>
          <cell r="BH17">
            <v>1727.3420000000001</v>
          </cell>
          <cell r="BI17">
            <v>1618.0809999999999</v>
          </cell>
        </row>
        <row r="18">
          <cell r="A18" t="str">
            <v xml:space="preserve">   Month-end Branded % of Molecule</v>
          </cell>
          <cell r="B18">
            <v>0.79262672811059909</v>
          </cell>
          <cell r="C18">
            <v>0.5201200637838852</v>
          </cell>
          <cell r="D18">
            <v>0.39417891017295892</v>
          </cell>
          <cell r="E18">
            <v>0.33804077573346591</v>
          </cell>
          <cell r="F18">
            <v>0.30544513266155127</v>
          </cell>
          <cell r="G18">
            <v>0.2709432565028233</v>
          </cell>
          <cell r="H18">
            <v>0.25229126800282003</v>
          </cell>
          <cell r="I18">
            <v>0.24091079460269865</v>
          </cell>
          <cell r="J18">
            <v>0.23188130112231312</v>
          </cell>
          <cell r="K18">
            <v>0.22428820453224868</v>
          </cell>
          <cell r="L18">
            <v>0.21703270355807039</v>
          </cell>
          <cell r="M18">
            <v>0.20828895129272781</v>
          </cell>
          <cell r="N18">
            <v>0.20230086770010725</v>
          </cell>
          <cell r="O18">
            <v>0.19661381875122333</v>
          </cell>
          <cell r="P18">
            <v>0.18904161174919978</v>
          </cell>
          <cell r="Q18">
            <v>0.183123351889833</v>
          </cell>
          <cell r="R18">
            <v>0.17836669485950568</v>
          </cell>
          <cell r="S18">
            <v>0.16767969126869273</v>
          </cell>
          <cell r="T18">
            <v>0.16115826260609087</v>
          </cell>
          <cell r="U18">
            <v>0.15700680272108844</v>
          </cell>
          <cell r="V18">
            <v>0.15321823981985364</v>
          </cell>
          <cell r="W18">
            <v>0.14987454159428681</v>
          </cell>
          <cell r="X18">
            <v>0.14665289644164867</v>
          </cell>
          <cell r="Y18">
            <v>0.1415987255177584</v>
          </cell>
          <cell r="Z18">
            <v>0.13750919793966151</v>
          </cell>
          <cell r="AA18">
            <v>0.13506664163694387</v>
          </cell>
          <cell r="AB18">
            <v>0.13266525696423645</v>
          </cell>
          <cell r="AC18">
            <v>0.13012313912883661</v>
          </cell>
          <cell r="AD18">
            <v>0.12942536915139655</v>
          </cell>
          <cell r="AE18">
            <v>0.12169242173795787</v>
          </cell>
          <cell r="AF18">
            <v>0.11804560614491724</v>
          </cell>
          <cell r="AG18">
            <v>0.11717520585384045</v>
          </cell>
          <cell r="AH18">
            <v>0.11481796565897415</v>
          </cell>
          <cell r="AI18">
            <v>0.11154238309005607</v>
          </cell>
          <cell r="AJ18">
            <v>0.11141496564324677</v>
          </cell>
          <cell r="AK18">
            <v>0.10884533615617181</v>
          </cell>
          <cell r="AL18">
            <v>0.10825961925399905</v>
          </cell>
          <cell r="AM18">
            <v>0.10852139984497529</v>
          </cell>
          <cell r="AN18">
            <v>0.10694645302989639</v>
          </cell>
          <cell r="AO18">
            <v>0.1063154051494507</v>
          </cell>
          <cell r="AP18">
            <v>0.1053808161740119</v>
          </cell>
          <cell r="AQ18">
            <v>0.10388524230804044</v>
          </cell>
          <cell r="AR18">
            <v>0.10256393643758202</v>
          </cell>
          <cell r="AS18">
            <v>0.10205742203059506</v>
          </cell>
          <cell r="AT18">
            <v>0.10095707557207102</v>
          </cell>
          <cell r="AU18">
            <v>0.10115577315134321</v>
          </cell>
          <cell r="AV18">
            <v>0.10039203436555792</v>
          </cell>
          <cell r="AW18">
            <v>9.909430147300044E-2</v>
          </cell>
          <cell r="AX18">
            <v>9.8998554204082712E-2</v>
          </cell>
          <cell r="AY18">
            <v>9.3876373451274531E-2</v>
          </cell>
          <cell r="AZ18">
            <v>9.3488905245207546E-2</v>
          </cell>
          <cell r="BA18">
            <v>9.4116048944107161E-2</v>
          </cell>
          <cell r="BB18">
            <v>9.4442878131280744E-2</v>
          </cell>
          <cell r="BC18">
            <v>9.4850815227982402E-2</v>
          </cell>
          <cell r="BD18">
            <v>9.4009721265883653E-2</v>
          </cell>
          <cell r="BE18">
            <v>9.3967250087345688E-2</v>
          </cell>
          <cell r="BF18">
            <v>9.338611652152376E-2</v>
          </cell>
          <cell r="BG18">
            <v>9.1487573264486172E-2</v>
          </cell>
          <cell r="BH18">
            <v>8.6438812667394768E-2</v>
          </cell>
          <cell r="BI18">
            <v>8.665459816617517E-2</v>
          </cell>
        </row>
        <row r="20">
          <cell r="A20" t="str">
            <v>VASOTEC 8/22/00</v>
          </cell>
          <cell r="B20">
            <v>22</v>
          </cell>
          <cell r="C20" t="str">
            <v>Forecasted for months 34-60</v>
          </cell>
        </row>
        <row r="21">
          <cell r="A21" t="str">
            <v xml:space="preserve">   Branded TRx's</v>
          </cell>
          <cell r="B21">
            <v>1321.56</v>
          </cell>
          <cell r="C21">
            <v>710.65700000000004</v>
          </cell>
          <cell r="D21">
            <v>519.096</v>
          </cell>
          <cell r="E21">
            <v>418.33600000000001</v>
          </cell>
          <cell r="F21">
            <v>370.46</v>
          </cell>
          <cell r="G21">
            <v>321.98099999999999</v>
          </cell>
          <cell r="H21">
            <v>261.952</v>
          </cell>
          <cell r="I21">
            <v>265.04899999999998</v>
          </cell>
          <cell r="J21">
            <v>231.816</v>
          </cell>
          <cell r="K21">
            <v>226.447</v>
          </cell>
          <cell r="L21">
            <v>206.21600000000001</v>
          </cell>
          <cell r="M21">
            <v>200.43600000000001</v>
          </cell>
          <cell r="N21">
            <v>192.72900000000001</v>
          </cell>
          <cell r="O21">
            <v>168.113</v>
          </cell>
          <cell r="P21">
            <v>175.92</v>
          </cell>
          <cell r="Q21">
            <v>159.49799999999999</v>
          </cell>
          <cell r="R21">
            <v>157.345</v>
          </cell>
          <cell r="S21">
            <v>147.16200000000001</v>
          </cell>
          <cell r="T21">
            <v>126.982</v>
          </cell>
          <cell r="U21">
            <v>132.27500000000001</v>
          </cell>
          <cell r="V21">
            <v>128.624</v>
          </cell>
          <cell r="W21">
            <v>123.018</v>
          </cell>
          <cell r="X21">
            <v>110.261</v>
          </cell>
          <cell r="Y21">
            <v>112.301</v>
          </cell>
          <cell r="Z21">
            <v>105.15600000000001</v>
          </cell>
          <cell r="AA21">
            <v>96.858999999999995</v>
          </cell>
          <cell r="AB21">
            <v>97.543999999999997</v>
          </cell>
          <cell r="AC21">
            <v>88.385999999999996</v>
          </cell>
          <cell r="AD21">
            <v>91.506</v>
          </cell>
          <cell r="AE21">
            <v>83.430999999999997</v>
          </cell>
          <cell r="AF21">
            <v>74.06</v>
          </cell>
          <cell r="AG21">
            <v>75.11</v>
          </cell>
          <cell r="AH21">
            <v>70.400999999999996</v>
          </cell>
          <cell r="AI21">
            <v>69.042000000000002</v>
          </cell>
          <cell r="AJ21" t="str">
            <v>R2 = 0.9753</v>
          </cell>
        </row>
        <row r="22">
          <cell r="A22" t="str">
            <v xml:space="preserve">   Generic TRx's</v>
          </cell>
          <cell r="B22">
            <v>35.404000000000003</v>
          </cell>
          <cell r="C22">
            <v>618.26300000000003</v>
          </cell>
          <cell r="D22">
            <v>863.726</v>
          </cell>
          <cell r="E22">
            <v>925.53599999999994</v>
          </cell>
          <cell r="F22">
            <v>993.23900000000003</v>
          </cell>
          <cell r="G22">
            <v>1085.4580000000001</v>
          </cell>
          <cell r="H22">
            <v>1016.408</v>
          </cell>
          <cell r="I22">
            <v>1140.375</v>
          </cell>
          <cell r="J22">
            <v>1102.9690000000001</v>
          </cell>
          <cell r="K22">
            <v>1171.9280000000001</v>
          </cell>
          <cell r="L22">
            <v>1144.354</v>
          </cell>
          <cell r="M22">
            <v>1181.4349999999999</v>
          </cell>
          <cell r="N22">
            <v>1205.021</v>
          </cell>
          <cell r="O22">
            <v>1126.096</v>
          </cell>
          <cell r="P22">
            <v>1240.683</v>
          </cell>
          <cell r="Q22">
            <v>1185.75</v>
          </cell>
          <cell r="R22">
            <v>1223.4780000000001</v>
          </cell>
          <cell r="S22">
            <v>1288.356</v>
          </cell>
          <cell r="T22">
            <v>1196.0029999999999</v>
          </cell>
          <cell r="U22">
            <v>1308.819</v>
          </cell>
          <cell r="V22">
            <v>1348.9970000000001</v>
          </cell>
          <cell r="W22">
            <v>1365.7159999999999</v>
          </cell>
          <cell r="X22">
            <v>1295.953</v>
          </cell>
          <cell r="Y22">
            <v>1390.838</v>
          </cell>
          <cell r="Z22">
            <v>1367.038</v>
          </cell>
          <cell r="AA22">
            <v>1304.991</v>
          </cell>
          <cell r="AB22">
            <v>1392.3610000000001</v>
          </cell>
          <cell r="AC22">
            <v>1325.26</v>
          </cell>
          <cell r="AD22">
            <v>1408.7080000000001</v>
          </cell>
          <cell r="AE22">
            <v>1408.1559999999999</v>
          </cell>
          <cell r="AF22">
            <v>1284.335</v>
          </cell>
          <cell r="AG22">
            <v>1399.88</v>
          </cell>
          <cell r="AH22">
            <v>1369.2380000000001</v>
          </cell>
          <cell r="AI22">
            <v>1394.162</v>
          </cell>
          <cell r="AJ22" t="str">
            <v>= 0.79401879054x-0.74826516038</v>
          </cell>
        </row>
        <row r="23">
          <cell r="A23" t="str">
            <v xml:space="preserve">   Month-end Branded % of Molecule</v>
          </cell>
          <cell r="B23">
            <v>0.65367069181365867</v>
          </cell>
          <cell r="C23">
            <v>0.41666097489896342</v>
          </cell>
          <cell r="D23">
            <v>0.32874468097675091</v>
          </cell>
          <cell r="E23">
            <v>0.28211396082788248</v>
          </cell>
          <cell r="F23">
            <v>0.23994464246267011</v>
          </cell>
          <cell r="G23">
            <v>0.21173350255508458</v>
          </cell>
          <cell r="H23">
            <v>0.19264701136007478</v>
          </cell>
          <cell r="I23">
            <v>0.17780305098454119</v>
          </cell>
          <cell r="J23">
            <v>0.16496005432100791</v>
          </cell>
          <cell r="K23">
            <v>0.15521758924428</v>
          </cell>
          <cell r="L23">
            <v>0.14705045090582325</v>
          </cell>
          <cell r="M23">
            <v>0.13977898776303618</v>
          </cell>
          <cell r="N23">
            <v>0.13214906377313421</v>
          </cell>
          <cell r="O23">
            <v>0.12560880049484888</v>
          </cell>
          <cell r="P23">
            <v>0.12012026891919231</v>
          </cell>
          <cell r="Q23">
            <v>0.11515711317111849</v>
          </cell>
          <cell r="R23">
            <v>0.10547823284143421</v>
          </cell>
          <cell r="S23">
            <v>9.7829962955730709E-2</v>
          </cell>
          <cell r="T23">
            <v>9.2837467545126576E-2</v>
          </cell>
          <cell r="U23">
            <v>8.8288932881773696E-2</v>
          </cell>
          <cell r="V23">
            <v>8.3803609332585141E-2</v>
          </cell>
          <cell r="W23">
            <v>7.9583621376548591E-2</v>
          </cell>
          <cell r="X23">
            <v>7.5649888297892751E-2</v>
          </cell>
          <cell r="Y23">
            <v>7.2316945929357335E-2</v>
          </cell>
          <cell r="Z23">
            <v>6.9738805805550169E-2</v>
          </cell>
          <cell r="AA23">
            <v>6.639372750621636E-2</v>
          </cell>
          <cell r="AB23">
            <v>6.3339811952974195E-2</v>
          </cell>
          <cell r="AC23">
            <v>6.1385287082538209E-2</v>
          </cell>
          <cell r="AD23">
            <v>5.7289676380368304E-2</v>
          </cell>
          <cell r="AE23">
            <v>5.4923758266477968E-2</v>
          </cell>
          <cell r="AF23">
            <v>5.18249904079097E-2</v>
          </cell>
          <cell r="AG23">
            <v>4.9450291863876075E-2</v>
          </cell>
          <cell r="AH23">
            <v>4.7637756362737836E-2</v>
          </cell>
          <cell r="AI23">
            <v>4.6783466626849277E-2</v>
          </cell>
          <cell r="AJ23">
            <v>4.6003349461288603E-2</v>
          </cell>
          <cell r="AK23">
            <v>4.5252963424836666E-2</v>
          </cell>
          <cell r="AL23">
            <v>4.4530565295050291E-2</v>
          </cell>
          <cell r="AM23">
            <v>4.3834548339806351E-2</v>
          </cell>
          <cell r="AN23">
            <v>4.3163429056163327E-2</v>
          </cell>
          <cell r="AO23">
            <v>4.2515835437733178E-2</v>
          </cell>
          <cell r="AP23">
            <v>4.1890496567799418E-2</v>
          </cell>
          <cell r="AQ23">
            <v>4.1286233365704444E-2</v>
          </cell>
          <cell r="AR23">
            <v>4.0701950339306903E-2</v>
          </cell>
          <cell r="AS23">
            <v>4.0136628217481006E-2</v>
          </cell>
          <cell r="AT23">
            <v>3.9589317354426876E-2</v>
          </cell>
          <cell r="AU23">
            <v>3.9059131812570071E-2</v>
          </cell>
          <cell r="AV23">
            <v>3.8545244043529686E-2</v>
          </cell>
          <cell r="AW23">
            <v>3.8046880097415262E-2</v>
          </cell>
          <cell r="AX23">
            <v>3.7563315299891174E-2</v>
          </cell>
          <cell r="AY23">
            <v>3.7093870344285622E-2</v>
          </cell>
          <cell r="AZ23">
            <v>3.6637907752730889E-2</v>
          </cell>
          <cell r="BA23">
            <v>3.6194828666086067E-2</v>
          </cell>
          <cell r="BB23">
            <v>3.576406992735167E-2</v>
          </cell>
          <cell r="BC23">
            <v>3.5345101427567929E-2</v>
          </cell>
          <cell r="BD23">
            <v>3.4937423686891948E-2</v>
          </cell>
          <cell r="BE23">
            <v>3.4540565646760467E-2</v>
          </cell>
          <cell r="BF23">
            <v>3.4154082651836816E-2</v>
          </cell>
          <cell r="BG23">
            <v>3.377755460287233E-2</v>
          </cell>
          <cell r="BH23">
            <v>3.3410584263735846E-2</v>
          </cell>
          <cell r="BI23">
            <v>3.3052795707720906E-2</v>
          </cell>
        </row>
        <row r="25">
          <cell r="A25" t="str">
            <v>CARDURA 10/18/00</v>
          </cell>
          <cell r="B25">
            <v>18</v>
          </cell>
          <cell r="C25" t="str">
            <v>Forecasted for months 32-60</v>
          </cell>
        </row>
        <row r="26">
          <cell r="A26" t="str">
            <v xml:space="preserve">   Branded TRx's</v>
          </cell>
          <cell r="B26">
            <v>958.21900000000005</v>
          </cell>
          <cell r="C26">
            <v>515.93600000000004</v>
          </cell>
          <cell r="D26">
            <v>377.78899999999999</v>
          </cell>
          <cell r="E26">
            <v>316.16800000000001</v>
          </cell>
          <cell r="F26">
            <v>246.67099999999999</v>
          </cell>
          <cell r="G26">
            <v>241.803</v>
          </cell>
          <cell r="H26">
            <v>208.67599999999999</v>
          </cell>
          <cell r="I26">
            <v>194.083</v>
          </cell>
          <cell r="J26">
            <v>166.535</v>
          </cell>
          <cell r="K26">
            <v>157.142</v>
          </cell>
          <cell r="L26">
            <v>145.84399999999999</v>
          </cell>
          <cell r="M26">
            <v>126.878</v>
          </cell>
          <cell r="N26">
            <v>129.6</v>
          </cell>
          <cell r="O26">
            <v>116.45399999999999</v>
          </cell>
          <cell r="P26">
            <v>114.949</v>
          </cell>
          <cell r="Q26">
            <v>103.848</v>
          </cell>
          <cell r="R26">
            <v>87.372</v>
          </cell>
          <cell r="S26">
            <v>89.826999999999998</v>
          </cell>
          <cell r="T26">
            <v>86.12</v>
          </cell>
          <cell r="U26">
            <v>81.572999999999993</v>
          </cell>
          <cell r="V26">
            <v>73.228999999999999</v>
          </cell>
          <cell r="W26">
            <v>74.2</v>
          </cell>
          <cell r="X26">
            <v>70.266000000000005</v>
          </cell>
          <cell r="Y26">
            <v>63.923999999999999</v>
          </cell>
          <cell r="Z26">
            <v>65.91</v>
          </cell>
          <cell r="AA26">
            <v>59.588999999999999</v>
          </cell>
          <cell r="AB26">
            <v>62.034999999999997</v>
          </cell>
          <cell r="AC26">
            <v>56.097000000000001</v>
          </cell>
          <cell r="AD26">
            <v>49.204000000000001</v>
          </cell>
          <cell r="AE26">
            <v>52.030999999999999</v>
          </cell>
          <cell r="AF26">
            <v>48.204000000000001</v>
          </cell>
          <cell r="AG26">
            <v>48.048999999999999</v>
          </cell>
          <cell r="AH26" t="str">
            <v>R2 = 0.9918</v>
          </cell>
        </row>
        <row r="27">
          <cell r="A27" t="str">
            <v xml:space="preserve">   Generic TRx's</v>
          </cell>
          <cell r="B27">
            <v>44.939</v>
          </cell>
          <cell r="C27">
            <v>476.60899999999998</v>
          </cell>
          <cell r="D27">
            <v>650.49400000000003</v>
          </cell>
          <cell r="E27">
            <v>733.18600000000004</v>
          </cell>
          <cell r="F27">
            <v>697.62300000000005</v>
          </cell>
          <cell r="G27">
            <v>792.26400000000001</v>
          </cell>
          <cell r="H27">
            <v>770.827</v>
          </cell>
          <cell r="I27">
            <v>816.26800000000003</v>
          </cell>
          <cell r="J27">
            <v>772.91800000000001</v>
          </cell>
          <cell r="K27">
            <v>792.53599999999994</v>
          </cell>
          <cell r="L27">
            <v>797.18499999999995</v>
          </cell>
          <cell r="M27">
            <v>739</v>
          </cell>
          <cell r="N27">
            <v>806.947</v>
          </cell>
          <cell r="O27">
            <v>758.37699999999995</v>
          </cell>
          <cell r="P27">
            <v>785.68600000000004</v>
          </cell>
          <cell r="Q27">
            <v>794.54300000000001</v>
          </cell>
          <cell r="R27">
            <v>720.84299999999996</v>
          </cell>
          <cell r="S27">
            <v>775.56600000000003</v>
          </cell>
          <cell r="T27">
            <v>789.50400000000002</v>
          </cell>
          <cell r="U27">
            <v>784.58799999999997</v>
          </cell>
          <cell r="V27">
            <v>728.08299999999997</v>
          </cell>
          <cell r="W27">
            <v>778.096</v>
          </cell>
          <cell r="X27">
            <v>756.83</v>
          </cell>
          <cell r="Y27">
            <v>721.99400000000003</v>
          </cell>
          <cell r="Z27">
            <v>767.17399999999998</v>
          </cell>
          <cell r="AA27">
            <v>725.02300000000002</v>
          </cell>
          <cell r="AB27">
            <v>772.67100000000005</v>
          </cell>
          <cell r="AC27">
            <v>759.57</v>
          </cell>
          <cell r="AD27">
            <v>687.96400000000006</v>
          </cell>
          <cell r="AE27">
            <v>742.45100000000002</v>
          </cell>
          <cell r="AF27">
            <v>722.303</v>
          </cell>
          <cell r="AG27">
            <v>728.71699999999998</v>
          </cell>
          <cell r="AH27" t="str">
            <v>= 0.74948443447x-0.69936275431</v>
          </cell>
        </row>
        <row r="28">
          <cell r="A28" t="str">
            <v xml:space="preserve">   Month-end Branded % of Molecule</v>
          </cell>
          <cell r="B28">
            <v>0.6950802686463009</v>
          </cell>
          <cell r="C28">
            <v>0.4270739746572888</v>
          </cell>
          <cell r="D28">
            <v>0.32741667608136454</v>
          </cell>
          <cell r="E28">
            <v>0.27827718849296063</v>
          </cell>
          <cell r="F28">
            <v>0.24420006536040692</v>
          </cell>
          <cell r="G28">
            <v>0.22163233927404052</v>
          </cell>
          <cell r="H28">
            <v>0.20031847318839316</v>
          </cell>
          <cell r="I28">
            <v>0.18345935296124602</v>
          </cell>
          <cell r="J28">
            <v>0.17015782772201002</v>
          </cell>
          <cell r="K28">
            <v>0.1589986386639323</v>
          </cell>
          <cell r="L28">
            <v>0.1499483015336468</v>
          </cell>
          <cell r="M28">
            <v>0.14148862123262951</v>
          </cell>
          <cell r="N28">
            <v>0.13530855545429138</v>
          </cell>
          <cell r="O28">
            <v>0.12978688178791872</v>
          </cell>
          <cell r="P28">
            <v>0.12041562630728335</v>
          </cell>
          <cell r="Q28">
            <v>0.11129222416969428</v>
          </cell>
          <cell r="R28">
            <v>0.10545127734380286</v>
          </cell>
          <cell r="S28">
            <v>0.10051591933098007</v>
          </cell>
          <cell r="T28">
            <v>9.5858571484075686E-2</v>
          </cell>
          <cell r="U28">
            <v>9.2555396689471506E-2</v>
          </cell>
          <cell r="V28">
            <v>8.8726273659025384E-2</v>
          </cell>
          <cell r="W28">
            <v>8.581182451479738E-2</v>
          </cell>
          <cell r="X28">
            <v>8.2828632289666915E-2</v>
          </cell>
          <cell r="Y28">
            <v>7.9973216005156361E-2</v>
          </cell>
          <cell r="Z28">
            <v>7.7260370885203086E-2</v>
          </cell>
          <cell r="AA28">
            <v>7.494656721679642E-2</v>
          </cell>
          <cell r="AB28">
            <v>7.1023242808726905E-2</v>
          </cell>
          <cell r="AC28">
            <v>6.7607846076259276E-2</v>
          </cell>
          <cell r="AD28">
            <v>6.5970809133331018E-2</v>
          </cell>
          <cell r="AE28">
            <v>6.3754635641465107E-2</v>
          </cell>
          <cell r="AF28">
            <v>6.2137848873973486E-2</v>
          </cell>
          <cell r="AG28">
            <v>6.1142418627524668E-2</v>
          </cell>
          <cell r="AH28">
            <v>5.9981972123639551E-2</v>
          </cell>
          <cell r="AI28">
            <v>5.8873629488316682E-2</v>
          </cell>
          <cell r="AJ28">
            <v>5.7813770197786989E-2</v>
          </cell>
          <cell r="AK28">
            <v>5.6799109858274154E-2</v>
          </cell>
          <cell r="AL28">
            <v>5.5826661533957801E-2</v>
          </cell>
          <cell r="AM28">
            <v>5.4893702342089623E-2</v>
          </cell>
          <cell r="AN28">
            <v>5.3997744491672078E-2</v>
          </cell>
          <cell r="AO28">
            <v>5.3136510086736734E-2</v>
          </cell>
          <cell r="AP28">
            <v>5.2307909131832343E-2</v>
          </cell>
          <cell r="AQ28">
            <v>5.151002027178242E-2</v>
          </cell>
          <cell r="AR28">
            <v>5.0741073874683164E-2</v>
          </cell>
          <cell r="AS28">
            <v>4.9999437130038009E-2</v>
          </cell>
          <cell r="AT28">
            <v>4.9283600885644756E-2</v>
          </cell>
          <cell r="AU28">
            <v>4.8592167989541787E-2</v>
          </cell>
          <cell r="AV28">
            <v>4.792384293870907E-2</v>
          </cell>
          <cell r="AW28">
            <v>4.7277422665668332E-2</v>
          </cell>
          <cell r="AX28">
            <v>4.6651788318728585E-2</v>
          </cell>
          <cell r="AY28">
            <v>4.6045897912250479E-2</v>
          </cell>
          <cell r="AZ28">
            <v>4.5458779740657491E-2</v>
          </cell>
          <cell r="BA28">
            <v>4.4889526464573996E-2</v>
          </cell>
          <cell r="BB28">
            <v>4.4337289789879532E-2</v>
          </cell>
          <cell r="BC28">
            <v>4.3801275671011129E-2</v>
          </cell>
          <cell r="BD28">
            <v>4.3280739978831084E-2</v>
          </cell>
          <cell r="BE28">
            <v>4.2774984581055248E-2</v>
          </cell>
          <cell r="BF28">
            <v>4.228335378981702E-2</v>
          </cell>
          <cell r="BG28">
            <v>4.1805231136599265E-2</v>
          </cell>
          <cell r="BH28">
            <v>4.1340036439635609E-2</v>
          </cell>
          <cell r="BI28">
            <v>4.0887223133093689E-2</v>
          </cell>
        </row>
        <row r="30">
          <cell r="A30" t="str">
            <v>PEPCID 4/15/01</v>
          </cell>
          <cell r="B30">
            <v>15</v>
          </cell>
          <cell r="C30" t="str">
            <v>Forecasted for months 26-60</v>
          </cell>
        </row>
        <row r="31">
          <cell r="A31" t="str">
            <v xml:space="preserve">   Branded TRx's</v>
          </cell>
          <cell r="B31">
            <v>574.03600000000006</v>
          </cell>
          <cell r="C31">
            <v>293.10000000000002</v>
          </cell>
          <cell r="D31">
            <v>183.41</v>
          </cell>
          <cell r="E31">
            <v>140.047</v>
          </cell>
          <cell r="F31">
            <v>118.348</v>
          </cell>
          <cell r="G31">
            <v>94.828999999999994</v>
          </cell>
          <cell r="H31">
            <v>94.265999999999991</v>
          </cell>
          <cell r="I31">
            <v>82.272999999999996</v>
          </cell>
          <cell r="J31">
            <v>78.878</v>
          </cell>
          <cell r="K31">
            <v>70.634</v>
          </cell>
          <cell r="L31">
            <v>58.056000000000004</v>
          </cell>
          <cell r="M31">
            <v>59.138999999999996</v>
          </cell>
          <cell r="N31">
            <v>54.892999999999994</v>
          </cell>
          <cell r="O31">
            <v>52.558</v>
          </cell>
          <cell r="P31">
            <v>48.529000000000003</v>
          </cell>
          <cell r="Q31">
            <v>48.827999999999996</v>
          </cell>
          <cell r="R31">
            <v>46.024999999999999</v>
          </cell>
          <cell r="S31">
            <v>42.443000000000005</v>
          </cell>
          <cell r="T31">
            <v>42.917000000000002</v>
          </cell>
          <cell r="U31">
            <v>39.351000000000006</v>
          </cell>
          <cell r="V31">
            <v>40.698999999999998</v>
          </cell>
          <cell r="W31">
            <v>38.749000000000002</v>
          </cell>
          <cell r="X31">
            <v>33.748999999999995</v>
          </cell>
          <cell r="Y31">
            <v>35.341999999999999</v>
          </cell>
          <cell r="Z31">
            <v>32.942999999999998</v>
          </cell>
          <cell r="AA31">
            <v>32.14</v>
          </cell>
          <cell r="AB31" t="str">
            <v>R2 = 0.9955</v>
          </cell>
        </row>
        <row r="32">
          <cell r="A32" t="str">
            <v xml:space="preserve">   Generic TRx's</v>
          </cell>
          <cell r="B32">
            <v>59.12</v>
          </cell>
          <cell r="C32">
            <v>379.79700000000003</v>
          </cell>
          <cell r="D32">
            <v>467.77499999999998</v>
          </cell>
          <cell r="E32">
            <v>524.54899999999998</v>
          </cell>
          <cell r="F32">
            <v>559.18299999999999</v>
          </cell>
          <cell r="G32">
            <v>531.56700000000001</v>
          </cell>
          <cell r="H32">
            <v>592.29700000000003</v>
          </cell>
          <cell r="I32">
            <v>571.16899999999998</v>
          </cell>
          <cell r="J32">
            <v>577.95799999999997</v>
          </cell>
          <cell r="K32">
            <v>615.47299999999996</v>
          </cell>
          <cell r="L32">
            <v>572.87599999999998</v>
          </cell>
          <cell r="M32">
            <v>615.75199999999995</v>
          </cell>
          <cell r="N32">
            <v>621.19299999999998</v>
          </cell>
          <cell r="O32">
            <v>618.83399999999995</v>
          </cell>
          <cell r="P32">
            <v>579.52599999999995</v>
          </cell>
          <cell r="Q32">
            <v>618.101</v>
          </cell>
          <cell r="R32">
            <v>612.346</v>
          </cell>
          <cell r="S32">
            <v>578.42100000000005</v>
          </cell>
          <cell r="T32">
            <v>607.79999999999995</v>
          </cell>
          <cell r="U32">
            <v>581.49</v>
          </cell>
          <cell r="V32">
            <v>613.08900000000006</v>
          </cell>
          <cell r="W32">
            <v>618.12800000000004</v>
          </cell>
          <cell r="X32">
            <v>563.03800000000001</v>
          </cell>
          <cell r="Y32">
            <v>615.85699999999997</v>
          </cell>
          <cell r="Z32">
            <v>601.38</v>
          </cell>
          <cell r="AA32">
            <v>605.11800000000005</v>
          </cell>
          <cell r="AB32" t="str">
            <v>= 0.59089556740x-0.76280190096</v>
          </cell>
        </row>
        <row r="33">
          <cell r="A33" t="str">
            <v xml:space="preserve">   Month-end Branded % of Molecule</v>
          </cell>
          <cell r="B33">
            <v>0.66393630273809723</v>
          </cell>
          <cell r="C33">
            <v>0.35987952407781393</v>
          </cell>
          <cell r="D33">
            <v>0.24582890313813618</v>
          </cell>
          <cell r="E33">
            <v>0.19252648966901048</v>
          </cell>
          <cell r="F33">
            <v>0.16348844682255984</v>
          </cell>
          <cell r="G33">
            <v>0.14402201439648915</v>
          </cell>
          <cell r="H33">
            <v>0.13174503080212388</v>
          </cell>
          <cell r="I33">
            <v>0.12298993038118629</v>
          </cell>
          <cell r="J33">
            <v>0.11133160528778958</v>
          </cell>
          <cell r="K33">
            <v>9.7711609147489178E-2</v>
          </cell>
          <cell r="L33">
            <v>8.9747998005855298E-2</v>
          </cell>
          <cell r="M33">
            <v>8.4407062444438352E-2</v>
          </cell>
          <cell r="N33">
            <v>7.9742303770451176E-2</v>
          </cell>
          <cell r="O33">
            <v>7.7792322426386007E-2</v>
          </cell>
          <cell r="P33">
            <v>7.5180079444997008E-2</v>
          </cell>
          <cell r="Q33">
            <v>7.15709650645137E-2</v>
          </cell>
          <cell r="R33">
            <v>6.9156957087634405E-2</v>
          </cell>
          <cell r="S33">
            <v>6.7129030710587845E-2</v>
          </cell>
          <cell r="T33">
            <v>6.4698582369030755E-2</v>
          </cell>
          <cell r="U33">
            <v>6.2802588047188634E-2</v>
          </cell>
          <cell r="V33">
            <v>6.0616557243841872E-2</v>
          </cell>
          <cell r="W33">
            <v>5.7828891951910551E-2</v>
          </cell>
          <cell r="X33">
            <v>5.5361999253196736E-2</v>
          </cell>
          <cell r="Y33">
            <v>5.3118499722291809E-2</v>
          </cell>
          <cell r="Z33">
            <v>5.1182740226536884E-2</v>
          </cell>
          <cell r="AA33">
            <v>5.0717686642164056E-2</v>
          </cell>
          <cell r="AB33">
            <v>4.9222806565436872E-2</v>
          </cell>
          <cell r="AC33">
            <v>4.7825963918597426E-2</v>
          </cell>
          <cell r="AD33">
            <v>4.6517443074533496E-2</v>
          </cell>
          <cell r="AE33">
            <v>4.5288794355872762E-2</v>
          </cell>
          <cell r="AF33">
            <v>4.4132632226977747E-2</v>
          </cell>
          <cell r="AG33">
            <v>4.3042471151330725E-2</v>
          </cell>
          <cell r="AH33">
            <v>4.2012591123229685E-2</v>
          </cell>
          <cell r="AI33">
            <v>4.103792676963422E-2</v>
          </cell>
          <cell r="AJ33">
            <v>4.0113975316806126E-2</v>
          </cell>
          <cell r="AK33">
            <v>3.92367197637278E-2</v>
          </cell>
          <cell r="AL33">
            <v>3.8402564395799324E-2</v>
          </cell>
          <cell r="AM33">
            <v>3.7608280375742285E-2</v>
          </cell>
          <cell r="AN33">
            <v>3.6850959612458593E-2</v>
          </cell>
          <cell r="AO33">
            <v>3.6127975467864976E-2</v>
          </cell>
          <cell r="AP33">
            <v>3.5436949142045544E-2</v>
          </cell>
          <cell r="AQ33">
            <v>3.4775720797293228E-2</v>
          </cell>
          <cell r="AR33">
            <v>3.4142324655754522E-2</v>
          </cell>
          <cell r="AS33">
            <v>3.3534967443945622E-2</v>
          </cell>
          <cell r="AT33">
            <v>3.2952009668291336E-2</v>
          </cell>
          <cell r="AU33">
            <v>3.2391949295067751E-2</v>
          </cell>
          <cell r="AV33">
            <v>3.1853407480318244E-2</v>
          </cell>
          <cell r="AW33">
            <v>3.133511605400472E-2</v>
          </cell>
          <cell r="AX33">
            <v>3.0835906510606578E-2</v>
          </cell>
          <cell r="AY33">
            <v>3.0354700297734623E-2</v>
          </cell>
          <cell r="AZ33">
            <v>2.989050022676594E-2</v>
          </cell>
          <cell r="BA33">
            <v>2.9442382856359386E-2</v>
          </cell>
          <cell r="BB33">
            <v>2.9009491722027599E-2</v>
          </cell>
          <cell r="BC33">
            <v>2.859103130356043E-2</v>
          </cell>
          <cell r="BD33">
            <v>2.8186261637684579E-2</v>
          </cell>
          <cell r="BE33">
            <v>2.779449349644553E-2</v>
          </cell>
          <cell r="BF33">
            <v>2.7415084062844139E-2</v>
          </cell>
          <cell r="BG33">
            <v>2.7047433044604784E-2</v>
          </cell>
          <cell r="BH33">
            <v>2.6690979174881606E-2</v>
          </cell>
          <cell r="BI33">
            <v>2.6345197055459346E-2</v>
          </cell>
        </row>
        <row r="35">
          <cell r="A35" t="str">
            <v>PROZAC 8/2/01</v>
          </cell>
          <cell r="B35">
            <v>2</v>
          </cell>
          <cell r="C35" t="str">
            <v>Forecasted for months 22-60</v>
          </cell>
        </row>
        <row r="36">
          <cell r="A36" t="str">
            <v xml:space="preserve">   Branded TRx's</v>
          </cell>
          <cell r="B36">
            <v>1176.2449999999999</v>
          </cell>
          <cell r="C36">
            <v>582.67499999999995</v>
          </cell>
          <cell r="D36">
            <v>516.56799999999998</v>
          </cell>
          <cell r="E36">
            <v>435.44099999999997</v>
          </cell>
          <cell r="F36">
            <v>408.476</v>
          </cell>
          <cell r="G36">
            <v>371.87799999999999</v>
          </cell>
          <cell r="H36">
            <v>308.55799999999999</v>
          </cell>
          <cell r="I36">
            <v>307.24700000000001</v>
          </cell>
          <cell r="J36">
            <v>289.3</v>
          </cell>
          <cell r="K36">
            <v>275.83300000000003</v>
          </cell>
          <cell r="L36">
            <v>248.92</v>
          </cell>
          <cell r="M36">
            <v>252.89</v>
          </cell>
          <cell r="N36">
            <v>237.244</v>
          </cell>
          <cell r="O36">
            <v>219.20099999999999</v>
          </cell>
          <cell r="P36">
            <v>222.887</v>
          </cell>
          <cell r="Q36">
            <v>206.48</v>
          </cell>
          <cell r="R36">
            <v>210.60499999999999</v>
          </cell>
          <cell r="S36">
            <v>180.77699999999999</v>
          </cell>
          <cell r="T36">
            <v>154.51900000000001</v>
          </cell>
          <cell r="U36">
            <v>162.34299999999999</v>
          </cell>
          <cell r="V36">
            <v>153.209</v>
          </cell>
          <cell r="W36">
            <v>152.15199999999999</v>
          </cell>
          <cell r="X36" t="str">
            <v>R2 = 0.9833</v>
          </cell>
        </row>
        <row r="37">
          <cell r="A37" t="str">
            <v xml:space="preserve">   Generic TRx's</v>
          </cell>
          <cell r="B37">
            <v>1070.8810000000001</v>
          </cell>
          <cell r="C37">
            <v>1547.3820000000001</v>
          </cell>
          <cell r="D37">
            <v>1815.172</v>
          </cell>
          <cell r="E37">
            <v>1768.17</v>
          </cell>
          <cell r="F37">
            <v>1829.816</v>
          </cell>
          <cell r="G37">
            <v>1939.3630000000001</v>
          </cell>
          <cell r="H37">
            <v>1769.1759999999999</v>
          </cell>
          <cell r="I37">
            <v>1946.3150000000001</v>
          </cell>
          <cell r="J37">
            <v>1991.415</v>
          </cell>
          <cell r="K37">
            <v>2000.2339999999999</v>
          </cell>
          <cell r="L37">
            <v>1883.163</v>
          </cell>
          <cell r="M37">
            <v>2009.5530000000001</v>
          </cell>
          <cell r="N37">
            <v>1982.239</v>
          </cell>
          <cell r="O37">
            <v>1899.384</v>
          </cell>
          <cell r="P37">
            <v>2007.93</v>
          </cell>
          <cell r="Q37">
            <v>1915.3330000000001</v>
          </cell>
          <cell r="R37">
            <v>2026.8710000000001</v>
          </cell>
          <cell r="S37">
            <v>2060.8429999999998</v>
          </cell>
          <cell r="T37">
            <v>1874.703</v>
          </cell>
          <cell r="U37">
            <v>2044.4079999999999</v>
          </cell>
          <cell r="V37">
            <v>2000.9269999999999</v>
          </cell>
          <cell r="W37">
            <v>2041.9549999999999</v>
          </cell>
          <cell r="X37" t="str">
            <v>= 0.45517246722x-0.58287638336</v>
          </cell>
        </row>
        <row r="38">
          <cell r="A38" t="str">
            <v xml:space="preserve">   Month-end Branded % of Molecule</v>
          </cell>
          <cell r="B38">
            <v>0.50759737600268839</v>
          </cell>
          <cell r="C38">
            <v>0.26977708571559733</v>
          </cell>
          <cell r="D38">
            <v>0.22002408691168848</v>
          </cell>
          <cell r="E38">
            <v>0.19658134949765246</v>
          </cell>
          <cell r="F38">
            <v>0.18101115841914228</v>
          </cell>
          <cell r="G38">
            <v>0.16015195886709574</v>
          </cell>
          <cell r="H38">
            <v>0.14763202464386424</v>
          </cell>
          <cell r="I38">
            <v>0.13569845958610885</v>
          </cell>
          <cell r="J38">
            <v>0.12646972057041209</v>
          </cell>
          <cell r="K38">
            <v>0.12091006444358758</v>
          </cell>
          <cell r="L38">
            <v>0.11639935157398702</v>
          </cell>
          <cell r="M38">
            <v>0.11145745881570562</v>
          </cell>
          <cell r="N38">
            <v>0.10667289278738823</v>
          </cell>
          <cell r="O38">
            <v>0.1032172173177222</v>
          </cell>
          <cell r="P38">
            <v>9.9747337973140907E-2</v>
          </cell>
          <cell r="Q38">
            <v>9.7089778253404868E-2</v>
          </cell>
          <cell r="R38">
            <v>9.32258989407347E-2</v>
          </cell>
          <cell r="S38">
            <v>8.0372467272291165E-2</v>
          </cell>
          <cell r="T38">
            <v>7.5960926002435536E-2</v>
          </cell>
          <cell r="U38">
            <v>7.3407264744550837E-2</v>
          </cell>
          <cell r="V38">
            <v>7.1002634117551464E-2</v>
          </cell>
          <cell r="W38">
            <v>6.9718778239469287E-2</v>
          </cell>
          <cell r="X38">
            <v>6.8143029368185601E-2</v>
          </cell>
          <cell r="Y38">
            <v>6.6660389994437602E-2</v>
          </cell>
          <cell r="Z38">
            <v>6.5262205257058239E-2</v>
          </cell>
          <cell r="AA38">
            <v>6.3940897547925993E-2</v>
          </cell>
          <cell r="AB38">
            <v>6.2689800756616385E-2</v>
          </cell>
          <cell r="AC38">
            <v>6.1503024576596774E-2</v>
          </cell>
          <cell r="AD38">
            <v>6.0375342646467683E-2</v>
          </cell>
          <cell r="AE38">
            <v>5.9302099740059497E-2</v>
          </cell>
          <cell r="AF38">
            <v>5.8279134293542742E-2</v>
          </cell>
          <cell r="AG38">
            <v>5.7302713366939782E-2</v>
          </cell>
          <cell r="AH38">
            <v>5.6369477752543272E-2</v>
          </cell>
          <cell r="AI38">
            <v>5.5476395414324725E-2</v>
          </cell>
          <cell r="AJ38">
            <v>5.4620721806867022E-2</v>
          </cell>
          <cell r="AK38">
            <v>5.3799965906146968E-2</v>
          </cell>
          <cell r="AL38">
            <v>5.3011861007058798E-2</v>
          </cell>
          <cell r="AM38">
            <v>5.2254339518294564E-2</v>
          </cell>
          <cell r="AN38">
            <v>5.1525511124824619E-2</v>
          </cell>
          <cell r="AO38">
            <v>5.0823643799838662E-2</v>
          </cell>
          <cell r="AP38">
            <v>5.0147147237742322E-2</v>
          </cell>
          <cell r="AQ38">
            <v>4.9494558352343336E-2</v>
          </cell>
          <cell r="AR38">
            <v>4.8864528543299535E-2</v>
          </cell>
          <cell r="AS38">
            <v>4.8255812482027774E-2</v>
          </cell>
          <cell r="AT38">
            <v>4.7667258207754512E-2</v>
          </cell>
          <cell r="AU38">
            <v>4.7097798356924514E-2</v>
          </cell>
          <cell r="AV38">
            <v>4.6546442376110275E-2</v>
          </cell>
          <cell r="AW38">
            <v>4.6012269590940909E-2</v>
          </cell>
          <cell r="AX38">
            <v>4.5494423022235483E-2</v>
          </cell>
          <cell r="AY38">
            <v>4.4992103856158573E-2</v>
          </cell>
          <cell r="AZ38">
            <v>4.4504566488351986E-2</v>
          </cell>
          <cell r="BA38">
            <v>4.4031114073076659E-2</v>
          </cell>
          <cell r="BB38">
            <v>4.3571094517772579E-2</v>
          </cell>
          <cell r="BC38">
            <v>4.3123896871402445E-2</v>
          </cell>
          <cell r="BD38">
            <v>4.2688948061720418E-2</v>
          </cell>
          <cell r="BE38">
            <v>4.2265709942393877E-2</v>
          </cell>
          <cell r="BF38">
            <v>4.1853676615861091E-2</v>
          </cell>
          <cell r="BG38">
            <v>4.1452372002064461E-2</v>
          </cell>
          <cell r="BH38">
            <v>4.1061347626863538E-2</v>
          </cell>
          <cell r="BI38">
            <v>4.0680180607094878E-2</v>
          </cell>
        </row>
        <row r="40">
          <cell r="A40" t="str">
            <v>MEVACOR 12/15/01</v>
          </cell>
          <cell r="B40">
            <v>15</v>
          </cell>
          <cell r="C40" t="str">
            <v>Forecasted for months 18-60</v>
          </cell>
        </row>
        <row r="41">
          <cell r="A41" t="str">
            <v xml:space="preserve">   Branded TRx's</v>
          </cell>
          <cell r="B41">
            <v>151.43</v>
          </cell>
          <cell r="C41">
            <v>81.44</v>
          </cell>
          <cell r="D41">
            <v>56.701000000000001</v>
          </cell>
          <cell r="E41">
            <v>51.098999999999997</v>
          </cell>
          <cell r="F41">
            <v>42.82</v>
          </cell>
          <cell r="G41">
            <v>37.920999999999999</v>
          </cell>
          <cell r="H41">
            <v>31.747</v>
          </cell>
          <cell r="I41">
            <v>30.692</v>
          </cell>
          <cell r="J41">
            <v>27.026</v>
          </cell>
          <cell r="K41">
            <v>23.849</v>
          </cell>
          <cell r="L41">
            <v>24.084</v>
          </cell>
          <cell r="M41">
            <v>21.477</v>
          </cell>
          <cell r="N41">
            <v>21.048999999999999</v>
          </cell>
          <cell r="O41">
            <v>19.702999999999999</v>
          </cell>
          <cell r="P41">
            <v>17.46</v>
          </cell>
          <cell r="Q41">
            <v>18.433</v>
          </cell>
          <cell r="R41">
            <v>16.870999999999999</v>
          </cell>
          <cell r="S41">
            <v>16.355</v>
          </cell>
          <cell r="T41" t="str">
            <v>R2 = 0.9691</v>
          </cell>
        </row>
        <row r="42">
          <cell r="A42" t="str">
            <v xml:space="preserve">   Generic TRx's</v>
          </cell>
          <cell r="B42">
            <v>9.7439999999999998</v>
          </cell>
          <cell r="C42">
            <v>103.503</v>
          </cell>
          <cell r="D42">
            <v>103.121</v>
          </cell>
          <cell r="E42">
            <v>132.149</v>
          </cell>
          <cell r="F42">
            <v>163.30099999999999</v>
          </cell>
          <cell r="G42">
            <v>178.71299999999999</v>
          </cell>
          <cell r="H42">
            <v>178.78100000000001</v>
          </cell>
          <cell r="I42">
            <v>190.23099999999999</v>
          </cell>
          <cell r="J42">
            <v>197.21100000000001</v>
          </cell>
          <cell r="K42">
            <v>199.31200000000001</v>
          </cell>
          <cell r="L42">
            <v>246.36</v>
          </cell>
          <cell r="M42">
            <v>225.60300000000001</v>
          </cell>
          <cell r="N42">
            <v>256.565</v>
          </cell>
          <cell r="O42">
            <v>286.35500000000002</v>
          </cell>
          <cell r="P42">
            <v>287.459</v>
          </cell>
          <cell r="Q42">
            <v>354.72800000000001</v>
          </cell>
          <cell r="R42">
            <v>381.05099999999999</v>
          </cell>
          <cell r="S42">
            <v>405.79500000000002</v>
          </cell>
          <cell r="T42" t="str">
            <v>= 0.85295198331x-0.97807344963</v>
          </cell>
        </row>
        <row r="43">
          <cell r="A43" t="str">
            <v xml:space="preserve">   Month-end Branded % of Molecule</v>
          </cell>
          <cell r="B43">
            <v>0.67280717214121255</v>
          </cell>
          <cell r="C43">
            <v>0.40068162371470423</v>
          </cell>
          <cell r="D43">
            <v>0.31422158743113654</v>
          </cell>
          <cell r="E43">
            <v>0.24120821123407357</v>
          </cell>
          <cell r="F43">
            <v>0.19098768790434176</v>
          </cell>
          <cell r="G43">
            <v>0.16309503186144833</v>
          </cell>
          <cell r="H43">
            <v>0.14471863548815508</v>
          </cell>
          <cell r="I43">
            <v>0.12965675262826848</v>
          </cell>
          <cell r="J43">
            <v>0.11371306979467945</v>
          </cell>
          <cell r="K43">
            <v>9.7108011466658553E-2</v>
          </cell>
          <cell r="L43">
            <v>8.8036496858116708E-2</v>
          </cell>
          <cell r="M43">
            <v>8.1049144834894254E-2</v>
          </cell>
          <cell r="N43">
            <v>6.9820035910579906E-2</v>
          </cell>
          <cell r="O43">
            <v>6.0825530257276474E-2</v>
          </cell>
          <cell r="P43">
            <v>5.293328220858895E-2</v>
          </cell>
          <cell r="Q43">
            <v>4.5784954408280301E-2</v>
          </cell>
          <cell r="R43">
            <v>4.0515954696660778E-2</v>
          </cell>
          <cell r="S43">
            <v>3.8104530331464999E-2</v>
          </cell>
          <cell r="T43">
            <v>3.661310631704412E-2</v>
          </cell>
          <cell r="U43">
            <v>3.523519828236877E-2</v>
          </cell>
          <cell r="V43">
            <v>3.3958280307989787E-2</v>
          </cell>
          <cell r="W43">
            <v>3.2771606801952777E-2</v>
          </cell>
          <cell r="X43">
            <v>3.1665906772929846E-2</v>
          </cell>
          <cell r="Y43">
            <v>3.0633139048509003E-2</v>
          </cell>
          <cell r="Z43">
            <v>2.9666294714848714E-2</v>
          </cell>
          <cell r="AA43">
            <v>2.8759236476686018E-2</v>
          </cell>
          <cell r="AB43">
            <v>2.7906567127927363E-2</v>
          </cell>
          <cell r="AC43">
            <v>2.710352115622865E-2</v>
          </cell>
          <cell r="AD43">
            <v>2.6345874867753194E-2</v>
          </cell>
          <cell r="AE43">
            <v>2.5629871441103291E-2</v>
          </cell>
          <cell r="AF43">
            <v>2.4952158093966798E-2</v>
          </cell>
          <cell r="AG43">
            <v>2.4309733137511325E-2</v>
          </cell>
          <cell r="AH43">
            <v>2.3699901148845227E-2</v>
          </cell>
          <cell r="AI43">
            <v>2.3120234844931215E-2</v>
          </cell>
          <cell r="AJ43">
            <v>2.2568542517070075E-2</v>
          </cell>
          <cell r="AK43">
            <v>2.20428401018463E-2</v>
          </cell>
          <cell r="AL43">
            <v>2.1541327135928521E-2</v>
          </cell>
          <cell r="AM43">
            <v>2.1062365978615629E-2</v>
          </cell>
          <cell r="AN43">
            <v>2.060446379527758E-2</v>
          </cell>
          <cell r="AO43">
            <v>2.0166256882767401E-2</v>
          </cell>
          <cell r="AP43">
            <v>1.9746496989009536E-2</v>
          </cell>
          <cell r="AQ43">
            <v>1.934403933678959E-2</v>
          </cell>
          <cell r="AR43">
            <v>1.8957832108995064E-2</v>
          </cell>
          <cell r="AS43">
            <v>1.858690719129856E-2</v>
          </cell>
          <cell r="AT43">
            <v>1.8230372000196123E-2</v>
          </cell>
          <cell r="AU43">
            <v>1.7887402250721229E-2</v>
          </cell>
          <cell r="AV43">
            <v>1.7557235540088749E-2</v>
          </cell>
          <cell r="AW43">
            <v>1.7239165641809565E-2</v>
          </cell>
          <cell r="AX43">
            <v>1.6932537420117098E-2</v>
          </cell>
          <cell r="AY43">
            <v>1.6636742287394111E-2</v>
          </cell>
          <cell r="AZ43">
            <v>1.6351214138111358E-2</v>
          </cell>
          <cell r="BA43">
            <v>1.6075425701936909E-2</v>
          </cell>
          <cell r="BB43">
            <v>1.580888526643064E-2</v>
          </cell>
          <cell r="BC43">
            <v>1.5551133726332459E-2</v>
          </cell>
          <cell r="BD43">
            <v>1.5301741922076777E-2</v>
          </cell>
          <cell r="BE43">
            <v>1.5060308234975247E-2</v>
          </cell>
          <cell r="BF43">
            <v>1.4826456410633213E-2</v>
          </cell>
          <cell r="BG43">
            <v>1.459983358571054E-2</v>
          </cell>
          <cell r="BH43">
            <v>1.4380108496193337E-2</v>
          </cell>
          <cell r="BI43">
            <v>1.416696984798216E-2</v>
          </cell>
        </row>
        <row r="45">
          <cell r="A45" t="str">
            <v>PRINIVIL/ZESTRIL 6/29/02</v>
          </cell>
          <cell r="B45">
            <v>29</v>
          </cell>
          <cell r="C45" t="str">
            <v>Forecasted for months 12-60</v>
          </cell>
        </row>
        <row r="46">
          <cell r="A46" t="str">
            <v xml:space="preserve">   Branded TRx's</v>
          </cell>
          <cell r="B46">
            <v>3714.5920000000001</v>
          </cell>
          <cell r="C46">
            <v>1971.3739999999998</v>
          </cell>
          <cell r="D46">
            <v>821.82799999999997</v>
          </cell>
          <cell r="E46">
            <v>613.09400000000005</v>
          </cell>
          <cell r="F46">
            <v>497.88400000000001</v>
          </cell>
          <cell r="G46">
            <v>405.40599999999995</v>
          </cell>
          <cell r="H46">
            <v>389.84800000000001</v>
          </cell>
          <cell r="I46">
            <v>338.67700000000002</v>
          </cell>
          <cell r="J46">
            <v>283.30399999999997</v>
          </cell>
          <cell r="K46">
            <v>288.358</v>
          </cell>
          <cell r="L46">
            <v>250.44400000000002</v>
          </cell>
          <cell r="M46">
            <v>234.19799999999998</v>
          </cell>
          <cell r="N46" t="str">
            <v>R2 = 0.9882</v>
          </cell>
        </row>
        <row r="47">
          <cell r="A47" t="str">
            <v xml:space="preserve">   Generic TRx's</v>
          </cell>
          <cell r="B47">
            <v>0.184</v>
          </cell>
          <cell r="C47">
            <v>1968.787</v>
          </cell>
          <cell r="D47">
            <v>3185.203</v>
          </cell>
          <cell r="E47">
            <v>3175.989</v>
          </cell>
          <cell r="F47">
            <v>3562.9609999999998</v>
          </cell>
          <cell r="G47">
            <v>3455.2649999999999</v>
          </cell>
          <cell r="H47">
            <v>3745.27</v>
          </cell>
          <cell r="I47">
            <v>3821.3620000000001</v>
          </cell>
          <cell r="J47">
            <v>3532.7049999999999</v>
          </cell>
          <cell r="K47">
            <v>3889.2280000000001</v>
          </cell>
          <cell r="L47">
            <v>3844.616</v>
          </cell>
          <cell r="M47">
            <v>3966.692</v>
          </cell>
          <cell r="N47" t="str">
            <v>= 0.44641813651x-0.87299818562</v>
          </cell>
        </row>
        <row r="48">
          <cell r="A48" t="str">
            <v xml:space="preserve">   Month-end Branded % of Molecule</v>
          </cell>
          <cell r="B48">
            <v>0.51605970853651661</v>
          </cell>
          <cell r="C48">
            <v>0.2147787081608529</v>
          </cell>
          <cell r="D48">
            <v>0.16332849646253886</v>
          </cell>
          <cell r="E48">
            <v>0.1238279366957066</v>
          </cell>
          <cell r="F48">
            <v>0.10562511541083359</v>
          </cell>
          <cell r="G48">
            <v>9.4612084449511996E-2</v>
          </cell>
          <cell r="H48">
            <v>8.1838339282021527E-2</v>
          </cell>
          <cell r="I48">
            <v>7.4500719795374315E-2</v>
          </cell>
          <cell r="J48">
            <v>6.918430447039263E-2</v>
          </cell>
          <cell r="K48">
            <v>6.1424943266049227E-2</v>
          </cell>
          <cell r="L48">
            <v>5.5925487173015875E-2</v>
          </cell>
          <cell r="M48">
            <v>5.100568218572233E-2</v>
          </cell>
          <cell r="N48">
            <v>4.756322617701806E-2</v>
          </cell>
          <cell r="O48">
            <v>4.4583497445559395E-2</v>
          </cell>
          <cell r="P48">
            <v>4.1977473388070688E-2</v>
          </cell>
          <cell r="Q48">
            <v>3.9677771325156715E-2</v>
          </cell>
          <cell r="R48">
            <v>3.7632420634512373E-2</v>
          </cell>
          <cell r="S48">
            <v>3.5800674650451392E-2</v>
          </cell>
          <cell r="T48">
            <v>3.4150121783437147E-2</v>
          </cell>
          <cell r="U48">
            <v>3.2654647845607149E-2</v>
          </cell>
          <cell r="V48">
            <v>3.1292970085487724E-2</v>
          </cell>
          <cell r="W48">
            <v>3.0047563770579946E-2</v>
          </cell>
          <cell r="X48">
            <v>2.8903863667405997E-2</v>
          </cell>
          <cell r="Y48">
            <v>2.7849661472904935E-2</v>
          </cell>
          <cell r="Z48">
            <v>2.6874645180601103E-2</v>
          </cell>
          <cell r="AA48">
            <v>2.5970042764371769E-2</v>
          </cell>
          <cell r="AB48">
            <v>2.5128343559068143E-2</v>
          </cell>
          <cell r="AC48">
            <v>2.4343078220499012E-2</v>
          </cell>
          <cell r="AD48">
            <v>2.3608643349424519E-2</v>
          </cell>
          <cell r="AE48">
            <v>2.2920160524250201E-2</v>
          </cell>
          <cell r="AF48">
            <v>2.2273362097269947E-2</v>
          </cell>
          <cell r="AG48">
            <v>2.1664497994191477E-2</v>
          </cell>
          <cell r="AH48">
            <v>2.10902591337234E-2</v>
          </cell>
          <cell r="AI48">
            <v>2.0547714100969429E-2</v>
          </cell>
          <cell r="AJ48">
            <v>2.003425646703267E-2</v>
          </cell>
          <cell r="AK48">
            <v>1.9547560718554104E-2</v>
          </cell>
          <cell r="AL48">
            <v>1.9085545194974594E-2</v>
          </cell>
          <cell r="AM48">
            <v>1.8646340763841956E-2</v>
          </cell>
          <cell r="AN48">
            <v>1.8228264221232981E-2</v>
          </cell>
          <cell r="AO48">
            <v>1.7829795604060204E-2</v>
          </cell>
          <cell r="AP48">
            <v>1.7449558757444996E-2</v>
          </cell>
          <cell r="AQ48">
            <v>1.7086304623654791E-2</v>
          </cell>
          <cell r="AR48">
            <v>1.6738896816932428E-2</v>
          </cell>
          <cell r="AS48">
            <v>1.6406299126618069E-2</v>
          </cell>
          <cell r="AT48">
            <v>1.6087564653619983E-2</v>
          </cell>
          <cell r="AU48">
            <v>1.5781826335842672E-2</v>
          </cell>
          <cell r="AV48">
            <v>1.5488288659176503E-2</v>
          </cell>
          <cell r="AW48">
            <v>1.5206220384059785E-2</v>
          </cell>
          <cell r="AX48">
            <v>1.4934948144973535E-2</v>
          </cell>
          <cell r="AY48">
            <v>1.4673850802718708E-2</v>
          </cell>
          <cell r="AZ48">
            <v>1.4422354447897506E-2</v>
          </cell>
          <cell r="BA48">
            <v>1.417992796941895E-2</v>
          </cell>
          <cell r="BB48">
            <v>1.3946079114666703E-2</v>
          </cell>
          <cell r="BC48">
            <v>1.3720350978675747E-2</v>
          </cell>
          <cell r="BD48">
            <v>1.3502318868643988E-2</v>
          </cell>
          <cell r="BE48">
            <v>1.3291587497659537E-2</v>
          </cell>
          <cell r="BF48">
            <v>1.3087788467901682E-2</v>
          </cell>
          <cell r="BG48">
            <v>1.2890578008974638E-2</v>
          </cell>
          <cell r="BH48">
            <v>1.2699634941620318E-2</v>
          </cell>
          <cell r="BI48">
            <v>1.2514658840965136E-2</v>
          </cell>
        </row>
        <row r="49">
          <cell r="B49" t="str">
            <v>jan</v>
          </cell>
          <cell r="C49" t="str">
            <v>feb</v>
          </cell>
          <cell r="D49" t="str">
            <v>mar</v>
          </cell>
          <cell r="E49" t="str">
            <v>apr</v>
          </cell>
          <cell r="F49" t="str">
            <v>may</v>
          </cell>
          <cell r="G49" t="str">
            <v>jun</v>
          </cell>
          <cell r="H49" t="str">
            <v>jul</v>
          </cell>
          <cell r="I49" t="str">
            <v>aug</v>
          </cell>
          <cell r="J49" t="str">
            <v>sep</v>
          </cell>
          <cell r="K49" t="str">
            <v>oct</v>
          </cell>
          <cell r="L49" t="str">
            <v>nov</v>
          </cell>
          <cell r="M49" t="str">
            <v>dec</v>
          </cell>
          <cell r="N49" t="str">
            <v>jan</v>
          </cell>
          <cell r="O49" t="str">
            <v>feb</v>
          </cell>
          <cell r="P49" t="str">
            <v>mar</v>
          </cell>
          <cell r="Q49" t="str">
            <v>apr</v>
          </cell>
          <cell r="R49" t="str">
            <v>may</v>
          </cell>
          <cell r="S49" t="str">
            <v>jun</v>
          </cell>
          <cell r="T49" t="str">
            <v>jul</v>
          </cell>
          <cell r="U49" t="str">
            <v>aug</v>
          </cell>
          <cell r="V49" t="str">
            <v>sep</v>
          </cell>
          <cell r="W49" t="str">
            <v>oct</v>
          </cell>
          <cell r="X49" t="str">
            <v>nov</v>
          </cell>
          <cell r="Y49" t="str">
            <v>dec</v>
          </cell>
          <cell r="Z49" t="str">
            <v>jan</v>
          </cell>
          <cell r="AA49" t="str">
            <v>feb</v>
          </cell>
          <cell r="AB49" t="str">
            <v>mar</v>
          </cell>
          <cell r="AC49" t="str">
            <v>apr</v>
          </cell>
          <cell r="AD49" t="str">
            <v>may</v>
          </cell>
          <cell r="AE49" t="str">
            <v>jun</v>
          </cell>
          <cell r="AF49" t="str">
            <v>jul</v>
          </cell>
          <cell r="AG49" t="str">
            <v>aug</v>
          </cell>
          <cell r="AH49" t="str">
            <v>sep</v>
          </cell>
          <cell r="AI49" t="str">
            <v>oct</v>
          </cell>
          <cell r="AJ49" t="str">
            <v>nov</v>
          </cell>
          <cell r="AK49" t="str">
            <v>dec</v>
          </cell>
        </row>
        <row r="50">
          <cell r="B50">
            <v>2010</v>
          </cell>
          <cell r="C50">
            <v>2010</v>
          </cell>
          <cell r="D50">
            <v>2010</v>
          </cell>
          <cell r="E50">
            <v>2010</v>
          </cell>
          <cell r="F50">
            <v>2010</v>
          </cell>
          <cell r="G50">
            <v>2010</v>
          </cell>
          <cell r="H50">
            <v>2010</v>
          </cell>
          <cell r="I50">
            <v>2010</v>
          </cell>
          <cell r="J50">
            <v>2010</v>
          </cell>
          <cell r="K50">
            <v>2010</v>
          </cell>
          <cell r="L50">
            <v>2010</v>
          </cell>
          <cell r="M50">
            <v>2010</v>
          </cell>
          <cell r="N50">
            <v>2011</v>
          </cell>
          <cell r="O50">
            <v>2011</v>
          </cell>
          <cell r="P50">
            <v>2011</v>
          </cell>
          <cell r="Q50">
            <v>2011</v>
          </cell>
          <cell r="R50">
            <v>2011</v>
          </cell>
          <cell r="S50">
            <v>2011</v>
          </cell>
          <cell r="T50">
            <v>2011</v>
          </cell>
          <cell r="U50">
            <v>2011</v>
          </cell>
          <cell r="V50">
            <v>2011</v>
          </cell>
          <cell r="W50">
            <v>2011</v>
          </cell>
          <cell r="X50">
            <v>2011</v>
          </cell>
          <cell r="Y50">
            <v>2011</v>
          </cell>
          <cell r="Z50">
            <v>2012</v>
          </cell>
          <cell r="AA50">
            <v>2012</v>
          </cell>
          <cell r="AB50">
            <v>2012</v>
          </cell>
          <cell r="AC50">
            <v>2012</v>
          </cell>
          <cell r="AD50">
            <v>2012</v>
          </cell>
          <cell r="AE50">
            <v>2012</v>
          </cell>
          <cell r="AF50">
            <v>2012</v>
          </cell>
          <cell r="AG50">
            <v>2012</v>
          </cell>
          <cell r="AH50">
            <v>2012</v>
          </cell>
          <cell r="AI50">
            <v>2012</v>
          </cell>
          <cell r="AJ50">
            <v>2012</v>
          </cell>
          <cell r="AK50">
            <v>2012</v>
          </cell>
        </row>
        <row r="51">
          <cell r="A51" t="str">
            <v>Adjusted for 2/11/10 expiry (Coz/Hyz)</v>
          </cell>
          <cell r="B51">
            <v>1</v>
          </cell>
          <cell r="C51">
            <v>0.51605970853651661</v>
          </cell>
          <cell r="D51">
            <v>0.2147787081608529</v>
          </cell>
          <cell r="E51">
            <v>0.16332849646253886</v>
          </cell>
          <cell r="F51">
            <v>0.1238279366957066</v>
          </cell>
          <cell r="G51">
            <v>0.10562511541083359</v>
          </cell>
          <cell r="H51">
            <v>9.4612084449511996E-2</v>
          </cell>
          <cell r="I51">
            <v>8.1838339282021527E-2</v>
          </cell>
          <cell r="J51">
            <v>7.4500719795374315E-2</v>
          </cell>
          <cell r="K51">
            <v>6.918430447039263E-2</v>
          </cell>
          <cell r="L51">
            <v>6.1424943266049227E-2</v>
          </cell>
          <cell r="M51">
            <v>5.5925487173015875E-2</v>
          </cell>
          <cell r="N51">
            <v>5.100568218572233E-2</v>
          </cell>
          <cell r="O51">
            <v>4.756322617701806E-2</v>
          </cell>
          <cell r="P51">
            <v>4.4583497445559395E-2</v>
          </cell>
          <cell r="Q51">
            <v>4.1977473388070688E-2</v>
          </cell>
          <cell r="R51">
            <v>3.9677771325156715E-2</v>
          </cell>
          <cell r="S51">
            <v>3.7632420634512373E-2</v>
          </cell>
          <cell r="T51">
            <v>3.5800674650451392E-2</v>
          </cell>
          <cell r="U51">
            <v>3.4150121783437147E-2</v>
          </cell>
          <cell r="V51">
            <v>3.2654647845607149E-2</v>
          </cell>
          <cell r="W51">
            <v>3.1292970085487724E-2</v>
          </cell>
          <cell r="X51">
            <v>3.0047563770579946E-2</v>
          </cell>
          <cell r="Y51">
            <v>2.8903863667405997E-2</v>
          </cell>
          <cell r="Z51">
            <v>2.7849661472904935E-2</v>
          </cell>
          <cell r="AA51">
            <v>2.6874645180601103E-2</v>
          </cell>
          <cell r="AB51">
            <v>2.5970042764371769E-2</v>
          </cell>
          <cell r="AC51">
            <v>2.5128343559068143E-2</v>
          </cell>
          <cell r="AD51">
            <v>2.4343078220499012E-2</v>
          </cell>
          <cell r="AE51">
            <v>2.3608643349424519E-2</v>
          </cell>
          <cell r="AF51">
            <v>2.2920160524250201E-2</v>
          </cell>
          <cell r="AG51">
            <v>2.2273362097269947E-2</v>
          </cell>
          <cell r="AH51">
            <v>2.1664497994191477E-2</v>
          </cell>
          <cell r="AI51">
            <v>2.10902591337234E-2</v>
          </cell>
          <cell r="AJ51">
            <v>2.0547714100969429E-2</v>
          </cell>
          <cell r="AK51">
            <v>2.003425646703267E-2</v>
          </cell>
        </row>
        <row r="52">
          <cell r="C52">
            <v>2010</v>
          </cell>
          <cell r="D52">
            <v>0.21342548697523456</v>
          </cell>
        </row>
        <row r="53">
          <cell r="C53">
            <v>2011</v>
          </cell>
          <cell r="D53">
            <v>3.7940826079917403E-2</v>
          </cell>
        </row>
        <row r="54">
          <cell r="C54">
            <v>2012</v>
          </cell>
          <cell r="D54">
            <v>2.3525388738692223E-2</v>
          </cell>
        </row>
        <row r="55">
          <cell r="A55" t="str">
            <v>PRILOSEC (omeprazole) 11/15/02</v>
          </cell>
          <cell r="B55">
            <v>15</v>
          </cell>
        </row>
        <row r="56">
          <cell r="A56" t="str">
            <v xml:space="preserve">   Branded TRx's</v>
          </cell>
          <cell r="B56">
            <v>2021.569</v>
          </cell>
          <cell r="C56">
            <v>1730.547</v>
          </cell>
          <cell r="D56">
            <v>1210.42</v>
          </cell>
          <cell r="E56">
            <v>985.51900000000001</v>
          </cell>
          <cell r="F56">
            <v>1001.407</v>
          </cell>
          <cell r="G56">
            <v>952.13099999999997</v>
          </cell>
          <cell r="H56">
            <v>887.84900000000005</v>
          </cell>
          <cell r="I56">
            <v>859.19</v>
          </cell>
          <cell r="J56">
            <v>880.97699999999998</v>
          </cell>
          <cell r="K56">
            <v>829.63300000000004</v>
          </cell>
          <cell r="L56">
            <v>719.24599999999998</v>
          </cell>
          <cell r="M56">
            <v>495.45699999999999</v>
          </cell>
          <cell r="N56">
            <v>413.363</v>
          </cell>
          <cell r="O56">
            <v>444.512</v>
          </cell>
          <cell r="P56">
            <v>388.18400000000003</v>
          </cell>
          <cell r="Q56">
            <v>349.55099999999999</v>
          </cell>
          <cell r="R56">
            <v>376.37900000000002</v>
          </cell>
          <cell r="S56">
            <v>342.48099999999999</v>
          </cell>
          <cell r="T56">
            <v>327.983</v>
          </cell>
          <cell r="U56">
            <v>351.03699999999998</v>
          </cell>
          <cell r="V56">
            <v>341.69499999999999</v>
          </cell>
          <cell r="W56">
            <v>320.791</v>
          </cell>
          <cell r="X56">
            <v>194.827</v>
          </cell>
          <cell r="Y56">
            <v>176.20500000000001</v>
          </cell>
          <cell r="Z56">
            <v>173.173</v>
          </cell>
          <cell r="AA56">
            <v>177.88900000000001</v>
          </cell>
          <cell r="AB56">
            <v>171.77500000000001</v>
          </cell>
        </row>
        <row r="57">
          <cell r="A57" t="str">
            <v xml:space="preserve">   Generic TRx's</v>
          </cell>
          <cell r="B57">
            <v>3.0000000000000001E-3</v>
          </cell>
          <cell r="C57">
            <v>444.80900000000003</v>
          </cell>
          <cell r="D57">
            <v>994.70500000000004</v>
          </cell>
          <cell r="E57">
            <v>979.87400000000002</v>
          </cell>
          <cell r="F57">
            <v>1119.701</v>
          </cell>
          <cell r="G57">
            <v>1124.971</v>
          </cell>
          <cell r="H57">
            <v>1186.529</v>
          </cell>
          <cell r="I57">
            <v>1185.125</v>
          </cell>
          <cell r="J57">
            <v>1219.9870000000001</v>
          </cell>
          <cell r="K57">
            <v>1217.123</v>
          </cell>
          <cell r="L57">
            <v>1171.7919999999999</v>
          </cell>
          <cell r="M57">
            <v>969.83199999999999</v>
          </cell>
          <cell r="N57">
            <v>842.12099999999998</v>
          </cell>
          <cell r="O57">
            <v>915.63099999999997</v>
          </cell>
          <cell r="P57">
            <v>851.22299999999996</v>
          </cell>
          <cell r="Q57">
            <v>786.66</v>
          </cell>
          <cell r="R57">
            <v>865.33199999999999</v>
          </cell>
          <cell r="S57">
            <v>810.3</v>
          </cell>
          <cell r="T57">
            <v>819.94399999999996</v>
          </cell>
          <cell r="U57">
            <v>864.94200000000001</v>
          </cell>
          <cell r="V57">
            <v>881.99900000000002</v>
          </cell>
          <cell r="W57">
            <v>944.45399999999995</v>
          </cell>
          <cell r="X57">
            <v>1080.7070000000001</v>
          </cell>
          <cell r="Y57">
            <v>1105.0050000000001</v>
          </cell>
          <cell r="Z57">
            <v>1113.5450000000001</v>
          </cell>
          <cell r="AA57">
            <v>1173.0909999999999</v>
          </cell>
          <cell r="AB57">
            <v>1126.0329999999999</v>
          </cell>
        </row>
        <row r="58">
          <cell r="A58" t="str">
            <v xml:space="preserve">   Month-end Branded % of Molecule</v>
          </cell>
          <cell r="B58">
            <v>0.89401486039312572</v>
          </cell>
          <cell r="C58">
            <v>0.67137992380288847</v>
          </cell>
          <cell r="D58">
            <v>0.52653866977675201</v>
          </cell>
          <cell r="E58">
            <v>0.48621693717926412</v>
          </cell>
          <cell r="F58">
            <v>0.46532641292360316</v>
          </cell>
          <cell r="G58">
            <v>0.44321061404607515</v>
          </cell>
          <cell r="H58">
            <v>0.42417315395927779</v>
          </cell>
          <cell r="I58">
            <v>0.41979490403420372</v>
          </cell>
          <cell r="J58">
            <v>0.41242176424638116</v>
          </cell>
          <cell r="K58">
            <v>0.39333672609588005</v>
          </cell>
          <cell r="L58">
            <v>0.36191437842617835</v>
          </cell>
          <cell r="M58">
            <v>0.33403007160097514</v>
          </cell>
          <cell r="N58">
            <v>0.32798063332424693</v>
          </cell>
          <cell r="O58">
            <v>0.32032313284991637</v>
          </cell>
          <cell r="P58">
            <v>0.31054445622149685</v>
          </cell>
          <cell r="Q58">
            <v>0.30527914708724679</v>
          </cell>
          <cell r="R58">
            <v>0.30021399110959651</v>
          </cell>
          <cell r="S58">
            <v>0.29141638139216275</v>
          </cell>
          <cell r="T58">
            <v>0.28724492429055981</v>
          </cell>
          <cell r="U58">
            <v>0.28394461060970055</v>
          </cell>
          <cell r="V58">
            <v>0.26617205162521063</v>
          </cell>
          <cell r="W58">
            <v>0.20293697326686028</v>
          </cell>
          <cell r="X58">
            <v>0.14511894816219376</v>
          </cell>
          <cell r="Y58">
            <v>0.13605443766336128</v>
          </cell>
          <cell r="Z58">
            <v>0.13309408431139577</v>
          </cell>
          <cell r="AA58">
            <v>0.132009054707285</v>
          </cell>
        </row>
        <row r="60">
          <cell r="A60" t="str">
            <v>RELAFEN (nabumetone) 8/15/01</v>
          </cell>
          <cell r="B60">
            <v>15</v>
          </cell>
        </row>
        <row r="61">
          <cell r="A61" t="str">
            <v xml:space="preserve">   Branded TRx's</v>
          </cell>
          <cell r="B61">
            <v>373.84</v>
          </cell>
          <cell r="C61">
            <v>260.40800000000002</v>
          </cell>
          <cell r="D61">
            <v>177.87</v>
          </cell>
          <cell r="E61">
            <v>115.01</v>
          </cell>
          <cell r="F61">
            <v>95.024000000000001</v>
          </cell>
          <cell r="G61">
            <v>73.974999999999994</v>
          </cell>
          <cell r="H61">
            <v>57.048000000000002</v>
          </cell>
          <cell r="I61">
            <v>52.353999999999999</v>
          </cell>
          <cell r="J61">
            <v>46.402999999999999</v>
          </cell>
          <cell r="K61">
            <v>41.97</v>
          </cell>
          <cell r="L61">
            <v>34.686</v>
          </cell>
          <cell r="M61">
            <v>33.941000000000003</v>
          </cell>
          <cell r="N61">
            <v>29.978999999999999</v>
          </cell>
          <cell r="O61">
            <v>26.847000000000001</v>
          </cell>
          <cell r="P61">
            <v>25.718</v>
          </cell>
          <cell r="Q61">
            <v>22.452999999999999</v>
          </cell>
          <cell r="R61">
            <v>23.091000000000001</v>
          </cell>
          <cell r="S61">
            <v>20.292999999999999</v>
          </cell>
          <cell r="T61">
            <v>17.558</v>
          </cell>
          <cell r="U61">
            <v>18.048999999999999</v>
          </cell>
          <cell r="V61">
            <v>17.28</v>
          </cell>
          <cell r="W61">
            <v>16.75</v>
          </cell>
          <cell r="X61">
            <v>15.923</v>
          </cell>
          <cell r="Y61">
            <v>15.367000000000001</v>
          </cell>
          <cell r="Z61">
            <v>14.462</v>
          </cell>
          <cell r="AA61">
            <v>13.849</v>
          </cell>
          <cell r="AB61">
            <v>13.555</v>
          </cell>
          <cell r="AC61">
            <v>11.058999999999999</v>
          </cell>
          <cell r="AD61">
            <v>11.616</v>
          </cell>
          <cell r="AE61">
            <v>10.384</v>
          </cell>
          <cell r="AF61">
            <v>9.1359999999999992</v>
          </cell>
          <cell r="AG61">
            <v>10.090999999999999</v>
          </cell>
          <cell r="AH61">
            <v>8.7530000000000001</v>
          </cell>
          <cell r="AI61">
            <v>8.4700000000000006</v>
          </cell>
          <cell r="AJ61">
            <v>8.6020000000000003</v>
          </cell>
          <cell r="AK61">
            <v>8.2379999999999995</v>
          </cell>
          <cell r="AL61">
            <v>8.1020000000000003</v>
          </cell>
          <cell r="AM61">
            <v>7.952</v>
          </cell>
          <cell r="AN61">
            <v>8.5449999999999999</v>
          </cell>
          <cell r="AO61">
            <v>8.5830000000000002</v>
          </cell>
          <cell r="AP61">
            <v>8.9269999999999996</v>
          </cell>
          <cell r="AQ61">
            <v>9.1419999999999995</v>
          </cell>
        </row>
        <row r="62">
          <cell r="A62" t="str">
            <v xml:space="preserve">   Generic TRx's</v>
          </cell>
          <cell r="B62">
            <v>7.1580000000000004</v>
          </cell>
          <cell r="C62">
            <v>95.894000000000005</v>
          </cell>
          <cell r="D62">
            <v>218.322</v>
          </cell>
          <cell r="E62">
            <v>250.96899999999999</v>
          </cell>
          <cell r="F62">
            <v>269.04899999999998</v>
          </cell>
          <cell r="G62">
            <v>299.51799999999997</v>
          </cell>
          <cell r="H62">
            <v>279.27199999999999</v>
          </cell>
          <cell r="I62">
            <v>301.73500000000001</v>
          </cell>
          <cell r="J62">
            <v>313.43</v>
          </cell>
          <cell r="K62">
            <v>312.65600000000001</v>
          </cell>
          <cell r="L62">
            <v>289.35599999999999</v>
          </cell>
          <cell r="M62">
            <v>302.49700000000001</v>
          </cell>
          <cell r="N62">
            <v>299.65800000000002</v>
          </cell>
          <cell r="O62">
            <v>285.22800000000001</v>
          </cell>
          <cell r="P62">
            <v>306.14299999999997</v>
          </cell>
          <cell r="Q62">
            <v>282.483</v>
          </cell>
          <cell r="R62">
            <v>292.93</v>
          </cell>
          <cell r="S62">
            <v>298.66300000000001</v>
          </cell>
          <cell r="T62">
            <v>268.96600000000001</v>
          </cell>
          <cell r="U62">
            <v>295.18099999999998</v>
          </cell>
          <cell r="V62">
            <v>290.34800000000001</v>
          </cell>
          <cell r="W62">
            <v>296.81799999999998</v>
          </cell>
          <cell r="X62">
            <v>291.33199999999999</v>
          </cell>
          <cell r="Y62">
            <v>298.483</v>
          </cell>
          <cell r="Z62">
            <v>289.976</v>
          </cell>
          <cell r="AA62">
            <v>294.84100000000001</v>
          </cell>
          <cell r="AB62">
            <v>307.37900000000002</v>
          </cell>
          <cell r="AC62">
            <v>278.584</v>
          </cell>
          <cell r="AD62">
            <v>304.99</v>
          </cell>
          <cell r="AE62">
            <v>295.88900000000001</v>
          </cell>
          <cell r="AF62">
            <v>276.74099999999999</v>
          </cell>
          <cell r="AG62">
            <v>314.94400000000002</v>
          </cell>
          <cell r="AH62">
            <v>294.11</v>
          </cell>
          <cell r="AI62">
            <v>288.036</v>
          </cell>
          <cell r="AJ62">
            <v>302.53199999999998</v>
          </cell>
          <cell r="AK62">
            <v>296.20600000000002</v>
          </cell>
          <cell r="AL62">
            <v>304.72899999999998</v>
          </cell>
          <cell r="AM62">
            <v>303.99299999999999</v>
          </cell>
          <cell r="AN62">
            <v>365.79700000000003</v>
          </cell>
          <cell r="AO62">
            <v>372.82900000000001</v>
          </cell>
          <cell r="AP62">
            <v>413.32299999999998</v>
          </cell>
          <cell r="AQ62">
            <v>463.517</v>
          </cell>
        </row>
        <row r="63">
          <cell r="A63" t="str">
            <v xml:space="preserve">   Month-end Branded % of Molecule</v>
          </cell>
          <cell r="B63">
            <v>0.8602305710023056</v>
          </cell>
          <cell r="C63">
            <v>0.58243387987146744</v>
          </cell>
          <cell r="D63">
            <v>0.38427072139979096</v>
          </cell>
          <cell r="E63">
            <v>0.2876973147118288</v>
          </cell>
          <cell r="F63">
            <v>0.22913068118649726</v>
          </cell>
          <cell r="G63">
            <v>0.18458805347323873</v>
          </cell>
          <cell r="H63">
            <v>0.15845969562969195</v>
          </cell>
          <cell r="I63">
            <v>0.13833023775706588</v>
          </cell>
          <cell r="J63">
            <v>0.12369219227415428</v>
          </cell>
          <cell r="K63">
            <v>0.11295066217944563</v>
          </cell>
          <cell r="L63">
            <v>0.10390473594961241</v>
          </cell>
          <cell r="M63">
            <v>9.5965169087565208E-2</v>
          </cell>
          <cell r="N63">
            <v>8.855374373550752E-2</v>
          </cell>
          <cell r="O63">
            <v>8.1630783183421957E-2</v>
          </cell>
          <cell r="P63">
            <v>7.5645770944272675E-2</v>
          </cell>
          <cell r="Q63">
            <v>7.3344853186291498E-2</v>
          </cell>
          <cell r="R63">
            <v>6.8323734560464394E-2</v>
          </cell>
          <cell r="S63">
            <v>6.2514038448833978E-2</v>
          </cell>
          <cell r="T63">
            <v>5.9369341429986303E-2</v>
          </cell>
          <cell r="U63">
            <v>5.690351094775295E-2</v>
          </cell>
          <cell r="V63">
            <v>5.4781421644698292E-2</v>
          </cell>
          <cell r="W63">
            <v>5.262852697145564E-2</v>
          </cell>
          <cell r="X63">
            <v>5.0377955418166011E-2</v>
          </cell>
          <cell r="Y63">
            <v>4.8244507414020657E-2</v>
          </cell>
          <cell r="Z63">
            <v>4.6174697616158458E-2</v>
          </cell>
          <cell r="AA63">
            <v>4.3524389159244246E-2</v>
          </cell>
          <cell r="AB63">
            <v>4.0312687834622003E-2</v>
          </cell>
          <cell r="AC63">
            <v>3.7402123549894514E-2</v>
          </cell>
          <cell r="AD63">
            <v>3.5319861481925056E-2</v>
          </cell>
          <cell r="AE63">
            <v>3.2964620450899262E-2</v>
          </cell>
          <cell r="AF63">
            <v>3.147261798753339E-2</v>
          </cell>
          <cell r="AG63">
            <v>3.0011243864449314E-2</v>
          </cell>
          <cell r="AH63">
            <v>2.8735219872899669E-2</v>
          </cell>
          <cell r="AI63">
            <v>2.8095582910934114E-2</v>
          </cell>
          <cell r="AJ63">
            <v>2.7356403250278605E-2</v>
          </cell>
          <cell r="AK63">
            <v>2.6471183832165564E-2</v>
          </cell>
          <cell r="AL63">
            <v>2.5695609306375405E-2</v>
          </cell>
          <cell r="AM63">
            <v>2.4038048221808078E-2</v>
          </cell>
          <cell r="AN63">
            <v>2.2663459273784856E-2</v>
          </cell>
          <cell r="AO63">
            <v>2.1787766498851505E-2</v>
          </cell>
          <cell r="AP63">
            <v>2.019087974308002E-2</v>
          </cell>
        </row>
        <row r="65">
          <cell r="A65" t="str">
            <v>Remeron without Soltabs (mirtazapine) 1/27/2003</v>
          </cell>
          <cell r="B65">
            <v>27</v>
          </cell>
        </row>
        <row r="66">
          <cell r="A66" t="str">
            <v xml:space="preserve">   Branded TRx's</v>
          </cell>
          <cell r="B66">
            <v>413.51100000000002</v>
          </cell>
          <cell r="C66">
            <v>287.62099999999998</v>
          </cell>
          <cell r="D66">
            <v>217.43600000000001</v>
          </cell>
          <cell r="E66">
            <v>171.18299999999999</v>
          </cell>
          <cell r="F66">
            <v>153.762</v>
          </cell>
          <cell r="G66">
            <v>137.60900000000001</v>
          </cell>
          <cell r="H66">
            <v>111.81699999999999</v>
          </cell>
          <cell r="I66">
            <v>84.941000000000003</v>
          </cell>
          <cell r="J66">
            <v>70.296999999999997</v>
          </cell>
          <cell r="K66">
            <v>62.59</v>
          </cell>
          <cell r="L66">
            <v>51.534999999999997</v>
          </cell>
          <cell r="M66">
            <v>51.828000000000003</v>
          </cell>
          <cell r="N66">
            <v>43.69</v>
          </cell>
          <cell r="O66">
            <v>36.969000000000001</v>
          </cell>
          <cell r="P66">
            <v>37.302</v>
          </cell>
          <cell r="Q66">
            <v>32.633000000000003</v>
          </cell>
          <cell r="R66">
            <v>30.155000000000001</v>
          </cell>
          <cell r="S66">
            <v>30.643999999999998</v>
          </cell>
          <cell r="T66">
            <v>28.829000000000001</v>
          </cell>
          <cell r="U66">
            <v>28.695</v>
          </cell>
          <cell r="V66">
            <v>26.835999999999999</v>
          </cell>
          <cell r="W66">
            <v>25.355</v>
          </cell>
          <cell r="X66">
            <v>19.850999999999999</v>
          </cell>
          <cell r="Y66">
            <v>17.321000000000002</v>
          </cell>
          <cell r="Z66">
            <v>15.928000000000001</v>
          </cell>
          <cell r="AA66">
            <v>14.346</v>
          </cell>
          <cell r="AB66">
            <v>14.081</v>
          </cell>
        </row>
        <row r="67">
          <cell r="A67" t="str">
            <v xml:space="preserve">   Generic TRx's</v>
          </cell>
          <cell r="B67">
            <v>2.1000000000000001E-2</v>
          </cell>
          <cell r="C67">
            <v>92.569000000000003</v>
          </cell>
          <cell r="D67">
            <v>196.81200000000001</v>
          </cell>
          <cell r="E67">
            <v>244.94399999999999</v>
          </cell>
          <cell r="F67">
            <v>270.791</v>
          </cell>
          <cell r="G67">
            <v>279.25700000000001</v>
          </cell>
          <cell r="H67">
            <v>328.245</v>
          </cell>
          <cell r="I67">
            <v>355.09199999999998</v>
          </cell>
          <cell r="J67">
            <v>384.01400000000001</v>
          </cell>
          <cell r="K67">
            <v>417.71100000000001</v>
          </cell>
          <cell r="L67">
            <v>401.27499999999998</v>
          </cell>
          <cell r="M67">
            <v>455.01299999999998</v>
          </cell>
          <cell r="N67">
            <v>493.82</v>
          </cell>
          <cell r="O67">
            <v>500.78500000000003</v>
          </cell>
          <cell r="P67">
            <v>572.41499999999996</v>
          </cell>
          <cell r="Q67">
            <v>548.37199999999996</v>
          </cell>
          <cell r="R67">
            <v>549.18700000000001</v>
          </cell>
          <cell r="S67">
            <v>574.24300000000005</v>
          </cell>
          <cell r="T67">
            <v>576.17499999999995</v>
          </cell>
          <cell r="U67">
            <v>592.04700000000003</v>
          </cell>
          <cell r="V67">
            <v>585.27099999999996</v>
          </cell>
          <cell r="W67">
            <v>591.57600000000002</v>
          </cell>
          <cell r="X67">
            <v>605.92700000000002</v>
          </cell>
          <cell r="Y67">
            <v>634.94600000000003</v>
          </cell>
          <cell r="Z67">
            <v>652.50199999999995</v>
          </cell>
          <cell r="AA67">
            <v>613.32799999999997</v>
          </cell>
          <cell r="AB67">
            <v>680.07</v>
          </cell>
        </row>
        <row r="68">
          <cell r="A68" t="str">
            <v xml:space="preserve">   Month-end Branded % of Molecule</v>
          </cell>
          <cell r="B68">
            <v>0.78276677195337352</v>
          </cell>
          <cell r="C68">
            <v>0.54632776282475359</v>
          </cell>
          <cell r="D68">
            <v>0.42267798338747187</v>
          </cell>
          <cell r="E68">
            <v>0.36700562459642244</v>
          </cell>
          <cell r="F68">
            <v>0.3333638224984658</v>
          </cell>
          <cell r="G68">
            <v>0.2613322355796468</v>
          </cell>
          <cell r="H68">
            <v>0.19913966110492351</v>
          </cell>
          <cell r="I68">
            <v>0.1584545419216257</v>
          </cell>
          <cell r="J68">
            <v>0.13263645536338553</v>
          </cell>
          <cell r="K68">
            <v>0.11555141802677193</v>
          </cell>
          <cell r="L68">
            <v>0.1033003289141088</v>
          </cell>
          <cell r="M68">
            <v>8.3271352927935624E-2</v>
          </cell>
          <cell r="N68">
            <v>7.0000052070780555E-2</v>
          </cell>
          <cell r="O68">
            <v>6.1854638355163562E-2</v>
          </cell>
          <cell r="P68">
            <v>5.6689928447160552E-2</v>
          </cell>
          <cell r="Q68">
            <v>5.2463096732177958E-2</v>
          </cell>
          <cell r="R68">
            <v>5.0794370219106551E-2</v>
          </cell>
          <cell r="S68">
            <v>4.7951849965693794E-2</v>
          </cell>
          <cell r="T68">
            <v>4.6366076293969868E-2</v>
          </cell>
          <cell r="U68">
            <v>4.408352441104426E-2</v>
          </cell>
          <cell r="V68">
            <v>4.1371008061337151E-2</v>
          </cell>
          <cell r="W68">
            <v>3.2647813634743714E-2</v>
          </cell>
          <cell r="X68">
            <v>2.7052817647784135E-2</v>
          </cell>
          <cell r="Y68">
            <v>2.4095635707544708E-2</v>
          </cell>
          <cell r="Z68">
            <v>2.2958779871012185E-2</v>
          </cell>
          <cell r="AA68">
            <v>2.0519901504472776E-2</v>
          </cell>
        </row>
        <row r="70">
          <cell r="A70" t="str">
            <v>Remeron + Remeron Soltabs (mirtazapine) 1/27/2003</v>
          </cell>
          <cell r="B70">
            <v>27</v>
          </cell>
        </row>
        <row r="71">
          <cell r="A71" t="str">
            <v xml:space="preserve">   Branded TRx's</v>
          </cell>
          <cell r="B71">
            <v>668.23300000000006</v>
          </cell>
          <cell r="C71">
            <v>520.02499999999998</v>
          </cell>
          <cell r="D71">
            <v>469.60599999999999</v>
          </cell>
          <cell r="E71">
            <v>420.50400000000002</v>
          </cell>
          <cell r="F71">
            <v>407.34699999999998</v>
          </cell>
          <cell r="G71">
            <v>381.62800000000004</v>
          </cell>
          <cell r="H71">
            <v>354.25599999999997</v>
          </cell>
          <cell r="I71">
            <v>315.59399999999999</v>
          </cell>
          <cell r="J71">
            <v>293.59100000000001</v>
          </cell>
          <cell r="K71">
            <v>286.24</v>
          </cell>
          <cell r="L71">
            <v>256.06700000000001</v>
          </cell>
          <cell r="M71">
            <v>265.58199999999999</v>
          </cell>
          <cell r="N71">
            <v>212.911</v>
          </cell>
          <cell r="O71">
            <v>168.126</v>
          </cell>
          <cell r="P71">
            <v>163.44200000000001</v>
          </cell>
          <cell r="Q71">
            <v>140.13200000000001</v>
          </cell>
          <cell r="R71">
            <v>129.357</v>
          </cell>
          <cell r="S71">
            <v>129.65799999999999</v>
          </cell>
          <cell r="T71">
            <v>121.197</v>
          </cell>
          <cell r="U71">
            <v>118.584</v>
          </cell>
          <cell r="V71">
            <v>112.839</v>
          </cell>
          <cell r="W71">
            <v>106.435</v>
          </cell>
          <cell r="X71">
            <v>93.881</v>
          </cell>
          <cell r="Y71">
            <v>77.894000000000005</v>
          </cell>
          <cell r="Z71">
            <v>60.272999999999996</v>
          </cell>
          <cell r="AA71">
            <v>49.222999999999999</v>
          </cell>
          <cell r="AB71">
            <v>49.161000000000001</v>
          </cell>
        </row>
        <row r="72">
          <cell r="A72" t="str">
            <v xml:space="preserve">   Generic TRx's</v>
          </cell>
          <cell r="B72">
            <v>2.1000000000000001E-2</v>
          </cell>
          <cell r="C72">
            <v>92.569000000000003</v>
          </cell>
          <cell r="D72">
            <v>196.81200000000001</v>
          </cell>
          <cell r="E72">
            <v>244.94399999999999</v>
          </cell>
          <cell r="F72">
            <v>270.791</v>
          </cell>
          <cell r="G72">
            <v>279.25700000000001</v>
          </cell>
          <cell r="H72">
            <v>328.245</v>
          </cell>
          <cell r="I72">
            <v>355.09199999999998</v>
          </cell>
          <cell r="J72">
            <v>384.01400000000001</v>
          </cell>
          <cell r="K72">
            <v>417.71100000000001</v>
          </cell>
          <cell r="L72">
            <v>401.27499999999998</v>
          </cell>
          <cell r="M72">
            <v>455.01299999999998</v>
          </cell>
          <cell r="N72">
            <v>493.82</v>
          </cell>
          <cell r="O72">
            <v>500.78500000000003</v>
          </cell>
          <cell r="P72">
            <v>572.41499999999996</v>
          </cell>
          <cell r="Q72">
            <v>548.37199999999996</v>
          </cell>
          <cell r="R72">
            <v>549.18700000000001</v>
          </cell>
          <cell r="S72">
            <v>574.24300000000005</v>
          </cell>
          <cell r="T72">
            <v>576.17499999999995</v>
          </cell>
          <cell r="U72">
            <v>592.04700000000003</v>
          </cell>
          <cell r="V72">
            <v>585.27099999999996</v>
          </cell>
          <cell r="W72">
            <v>591.57600000000002</v>
          </cell>
          <cell r="X72">
            <v>605.92700000000002</v>
          </cell>
          <cell r="Y72">
            <v>634.94600000000003</v>
          </cell>
          <cell r="Z72">
            <v>652.50199999999995</v>
          </cell>
          <cell r="AA72">
            <v>613.32799999999997</v>
          </cell>
          <cell r="AB72">
            <v>680.07</v>
          </cell>
        </row>
        <row r="73">
          <cell r="A73" t="str">
            <v xml:space="preserve">   Month-end Branded % of Molecule</v>
          </cell>
          <cell r="B73">
            <v>0.86522227255079609</v>
          </cell>
          <cell r="C73">
            <v>0.71803681980214074</v>
          </cell>
          <cell r="D73">
            <v>0.63919674852940078</v>
          </cell>
          <cell r="E73">
            <v>0.60375449311462037</v>
          </cell>
          <cell r="F73">
            <v>0.57982784149295596</v>
          </cell>
          <cell r="G73">
            <v>0.52472809894590844</v>
          </cell>
          <cell r="H73">
            <v>0.47548095420600051</v>
          </cell>
          <cell r="I73">
            <v>0.43697086080916442</v>
          </cell>
          <cell r="J73">
            <v>0.40919490831812866</v>
          </cell>
          <cell r="K73">
            <v>0.39136429764884717</v>
          </cell>
          <cell r="L73">
            <v>0.37049100640836369</v>
          </cell>
          <cell r="M73">
            <v>0.30811006762437976</v>
          </cell>
          <cell r="N73">
            <v>0.25658732884094232</v>
          </cell>
          <cell r="O73">
            <v>0.22479272107283646</v>
          </cell>
          <cell r="P73">
            <v>0.2055033521613677</v>
          </cell>
          <cell r="Q73">
            <v>0.19194528651735002</v>
          </cell>
          <cell r="R73">
            <v>0.18482223172432394</v>
          </cell>
          <cell r="S73">
            <v>0.17484061098680004</v>
          </cell>
          <cell r="T73">
            <v>0.16755173478944388</v>
          </cell>
          <cell r="U73">
            <v>0.16216706624508248</v>
          </cell>
          <cell r="V73">
            <v>0.15339855869645161</v>
          </cell>
          <cell r="W73">
            <v>0.13598134895343714</v>
          </cell>
          <cell r="X73">
            <v>0.11171973115093976</v>
          </cell>
          <cell r="Y73">
            <v>8.7032421576598157E-2</v>
          </cell>
          <cell r="Z73">
            <v>7.5389462791657078E-2</v>
          </cell>
          <cell r="AA73">
            <v>6.8045554505281894E-2</v>
          </cell>
        </row>
        <row r="75">
          <cell r="A75" t="str">
            <v>Paxil (paroxetine) without Paxil CR 9/8/2003</v>
          </cell>
          <cell r="B75">
            <v>8</v>
          </cell>
        </row>
        <row r="76">
          <cell r="A76" t="str">
            <v xml:space="preserve">   Branded TRx's</v>
          </cell>
          <cell r="B76">
            <v>1213.806</v>
          </cell>
          <cell r="C76">
            <v>514.61500000000001</v>
          </cell>
          <cell r="D76">
            <v>390.99799999999999</v>
          </cell>
          <cell r="E76">
            <v>361.04599999999999</v>
          </cell>
          <cell r="F76">
            <v>289.62099999999998</v>
          </cell>
          <cell r="G76">
            <v>238.565</v>
          </cell>
          <cell r="H76">
            <v>238.333</v>
          </cell>
          <cell r="I76">
            <v>207.89599999999999</v>
          </cell>
          <cell r="J76">
            <v>192.61500000000001</v>
          </cell>
          <cell r="K76">
            <v>189.452</v>
          </cell>
          <cell r="L76">
            <v>170.18700000000001</v>
          </cell>
          <cell r="M76">
            <v>159.08099999999999</v>
          </cell>
          <cell r="N76">
            <v>145.82599999999999</v>
          </cell>
          <cell r="O76">
            <v>137.75200000000001</v>
          </cell>
          <cell r="P76">
            <v>129.46</v>
          </cell>
          <cell r="Q76">
            <v>126.539</v>
          </cell>
          <cell r="R76">
            <v>118.453</v>
          </cell>
          <cell r="S76">
            <v>102.55800000000001</v>
          </cell>
          <cell r="T76">
            <v>102.392</v>
          </cell>
        </row>
        <row r="77">
          <cell r="A77" t="str">
            <v xml:space="preserve">   Generic TRx's</v>
          </cell>
          <cell r="B77">
            <v>580.548</v>
          </cell>
          <cell r="C77">
            <v>1311.6420000000001</v>
          </cell>
          <cell r="D77">
            <v>1267.3710000000001</v>
          </cell>
          <cell r="E77">
            <v>1439.489</v>
          </cell>
          <cell r="F77">
            <v>1443.1590000000001</v>
          </cell>
          <cell r="G77">
            <v>1350.854</v>
          </cell>
          <cell r="H77">
            <v>1491.1590000000001</v>
          </cell>
          <cell r="I77">
            <v>1392.5429999999999</v>
          </cell>
          <cell r="J77">
            <v>1364.5889999999999</v>
          </cell>
          <cell r="K77">
            <v>1407.2570000000001</v>
          </cell>
          <cell r="L77">
            <v>1387.2739999999999</v>
          </cell>
          <cell r="M77">
            <v>1408.605</v>
          </cell>
          <cell r="N77">
            <v>1357.2629999999999</v>
          </cell>
          <cell r="O77">
            <v>1352.5060000000001</v>
          </cell>
          <cell r="P77">
            <v>1347.6890000000001</v>
          </cell>
          <cell r="Q77">
            <v>1377.2529999999999</v>
          </cell>
          <cell r="R77">
            <v>1359.867</v>
          </cell>
          <cell r="S77">
            <v>1247.98</v>
          </cell>
          <cell r="T77">
            <v>1563.078</v>
          </cell>
        </row>
        <row r="78">
          <cell r="A78" t="str">
            <v xml:space="preserve">   Month-end Branded % of Molecule</v>
          </cell>
          <cell r="B78">
            <v>0.56984692704434825</v>
          </cell>
          <cell r="C78">
            <v>0.27036430954323065</v>
          </cell>
          <cell r="D78">
            <v>0.22579457109260936</v>
          </cell>
          <cell r="E78">
            <v>0.19186853576157833</v>
          </cell>
          <cell r="F78">
            <v>0.16287864124116144</v>
          </cell>
          <cell r="G78">
            <v>0.14661130303176717</v>
          </cell>
          <cell r="H78">
            <v>0.13581468509135938</v>
          </cell>
          <cell r="I78">
            <v>0.12827731553440525</v>
          </cell>
          <cell r="J78">
            <v>0.12232366108637156</v>
          </cell>
          <cell r="K78">
            <v>0.11619574186264794</v>
          </cell>
          <cell r="L78">
            <v>0.1071828752224893</v>
          </cell>
          <cell r="M78">
            <v>0.10032269130256471</v>
          </cell>
          <cell r="N78">
            <v>9.5803198318062624E-2</v>
          </cell>
          <cell r="O78">
            <v>9.1165079339741106E-2</v>
          </cell>
          <cell r="P78">
            <v>8.6697481702028775E-2</v>
          </cell>
          <cell r="Q78">
            <v>8.3088027820272664E-2</v>
          </cell>
          <cell r="R78">
            <v>7.9082391941680069E-2</v>
          </cell>
          <cell r="S78">
            <v>7.1462052018519753E-2</v>
          </cell>
        </row>
        <row r="80">
          <cell r="A80" t="str">
            <v>Paxil + Paxil CR (Paroxetine) 9/8/2003</v>
          </cell>
          <cell r="B80">
            <v>8</v>
          </cell>
        </row>
        <row r="81">
          <cell r="A81" t="str">
            <v xml:space="preserve">   Branded TRx's</v>
          </cell>
          <cell r="B81">
            <v>2090.0070000000001</v>
          </cell>
          <cell r="C81">
            <v>1446.4569999999999</v>
          </cell>
          <cell r="D81">
            <v>1266.855</v>
          </cell>
          <cell r="E81">
            <v>1326.4449999999999</v>
          </cell>
          <cell r="F81">
            <v>1226.412</v>
          </cell>
          <cell r="G81">
            <v>1105.2429999999999</v>
          </cell>
          <cell r="H81">
            <v>1206.318</v>
          </cell>
          <cell r="I81">
            <v>1115.79</v>
          </cell>
          <cell r="J81">
            <v>1087.27</v>
          </cell>
          <cell r="K81">
            <v>1106.424</v>
          </cell>
          <cell r="L81">
            <v>1068.4389999999999</v>
          </cell>
          <cell r="M81">
            <v>1065.568</v>
          </cell>
          <cell r="N81">
            <v>1024.5309999999999</v>
          </cell>
          <cell r="O81">
            <v>1003.95</v>
          </cell>
          <cell r="P81">
            <v>991.77800000000002</v>
          </cell>
          <cell r="Q81">
            <v>1005.761</v>
          </cell>
          <cell r="R81">
            <v>973.60299999999995</v>
          </cell>
          <cell r="S81">
            <v>886.005</v>
          </cell>
          <cell r="T81">
            <v>771.18399999999997</v>
          </cell>
        </row>
        <row r="82">
          <cell r="A82" t="str">
            <v xml:space="preserve">   Generic TRx's</v>
          </cell>
          <cell r="B82">
            <v>580.548</v>
          </cell>
          <cell r="C82">
            <v>1311.6420000000001</v>
          </cell>
          <cell r="D82">
            <v>1267.3710000000001</v>
          </cell>
          <cell r="E82">
            <v>1439.489</v>
          </cell>
          <cell r="F82">
            <v>1443.1590000000001</v>
          </cell>
          <cell r="G82">
            <v>1350.854</v>
          </cell>
          <cell r="H82">
            <v>1491.1590000000001</v>
          </cell>
          <cell r="I82">
            <v>1392.5429999999999</v>
          </cell>
          <cell r="J82">
            <v>1364.5889999999999</v>
          </cell>
          <cell r="K82">
            <v>1407.2570000000001</v>
          </cell>
          <cell r="L82">
            <v>1387.2739999999999</v>
          </cell>
          <cell r="M82">
            <v>1408.605</v>
          </cell>
          <cell r="N82">
            <v>1357.2629999999999</v>
          </cell>
          <cell r="O82">
            <v>1352.5060000000001</v>
          </cell>
          <cell r="P82">
            <v>1347.6890000000001</v>
          </cell>
          <cell r="Q82">
            <v>1377.2529999999999</v>
          </cell>
          <cell r="R82">
            <v>1359.867</v>
          </cell>
          <cell r="S82">
            <v>1247.98</v>
          </cell>
          <cell r="T82">
            <v>1563.078</v>
          </cell>
        </row>
        <row r="83">
          <cell r="A83" t="str">
            <v xml:space="preserve">   Month-end Branded % of Molecule</v>
          </cell>
          <cell r="B83">
            <v>0.71212503032468333</v>
          </cell>
          <cell r="C83">
            <v>0.51829357219228689</v>
          </cell>
          <cell r="D83">
            <v>0.49412109155412626</v>
          </cell>
          <cell r="E83">
            <v>0.47432738061264662</v>
          </cell>
          <cell r="F83">
            <v>0.4570465752083796</v>
          </cell>
          <cell r="G83">
            <v>0.44920137091105555</v>
          </cell>
          <cell r="H83">
            <v>0.44660368760772889</v>
          </cell>
          <cell r="I83">
            <v>0.44446979859060237</v>
          </cell>
          <cell r="J83">
            <v>0.4425547451189491</v>
          </cell>
          <cell r="K83">
            <v>0.43882981030008444</v>
          </cell>
          <cell r="L83">
            <v>0.43390145662902557</v>
          </cell>
          <cell r="M83">
            <v>0.43054018417999212</v>
          </cell>
          <cell r="N83">
            <v>0.4290639040657272</v>
          </cell>
          <cell r="O83">
            <v>0.42548290359751739</v>
          </cell>
          <cell r="P83">
            <v>0.42342540347351926</v>
          </cell>
          <cell r="Q83">
            <v>0.42078849672802515</v>
          </cell>
          <cell r="R83">
            <v>0.41672339961484162</v>
          </cell>
          <cell r="S83">
            <v>0.39105290156317951</v>
          </cell>
        </row>
        <row r="85">
          <cell r="A85" t="str">
            <v>Glucophage (Metformin) 1/28/2002</v>
          </cell>
          <cell r="B85">
            <v>28</v>
          </cell>
        </row>
        <row r="86">
          <cell r="A86" t="str">
            <v xml:space="preserve">   Branded TRx's</v>
          </cell>
          <cell r="B86">
            <v>2264.6439999999998</v>
          </cell>
          <cell r="C86">
            <v>912.577</v>
          </cell>
          <cell r="D86">
            <v>523.25900000000001</v>
          </cell>
          <cell r="E86">
            <v>413.52699999999999</v>
          </cell>
          <cell r="F86">
            <v>352.81700000000001</v>
          </cell>
          <cell r="G86">
            <v>295.90499999999997</v>
          </cell>
          <cell r="H86">
            <v>284.53199999999998</v>
          </cell>
          <cell r="I86">
            <v>257.83</v>
          </cell>
          <cell r="J86">
            <v>233.72499999999999</v>
          </cell>
          <cell r="K86">
            <v>231.16800000000001</v>
          </cell>
          <cell r="L86">
            <v>210.25800000000001</v>
          </cell>
          <cell r="M86">
            <v>215.74</v>
          </cell>
          <cell r="N86">
            <v>194.506</v>
          </cell>
          <cell r="O86">
            <v>171.57499999999999</v>
          </cell>
          <cell r="P86">
            <v>179.51599999999999</v>
          </cell>
          <cell r="Q86">
            <v>169.54900000000001</v>
          </cell>
          <cell r="R86">
            <v>170.73699999999999</v>
          </cell>
          <cell r="S86">
            <v>164.65299999999999</v>
          </cell>
          <cell r="T86">
            <v>163.376</v>
          </cell>
          <cell r="U86">
            <v>157.292</v>
          </cell>
          <cell r="V86">
            <v>154.25800000000001</v>
          </cell>
          <cell r="W86">
            <v>152.75200000000001</v>
          </cell>
          <cell r="X86">
            <v>140.22200000000001</v>
          </cell>
          <cell r="Y86">
            <v>152.75899999999999</v>
          </cell>
          <cell r="Z86">
            <v>140.49199999999999</v>
          </cell>
          <cell r="AA86">
            <v>127.929</v>
          </cell>
          <cell r="AB86">
            <v>137.715</v>
          </cell>
          <cell r="AC86">
            <v>105.38500000000001</v>
          </cell>
          <cell r="AD86">
            <v>95.94</v>
          </cell>
          <cell r="AE86">
            <v>96.013999999999996</v>
          </cell>
          <cell r="AF86">
            <v>91.608000000000004</v>
          </cell>
          <cell r="AG86">
            <v>90.135000000000005</v>
          </cell>
          <cell r="AH86">
            <v>85.474999999999994</v>
          </cell>
          <cell r="AI86">
            <v>83.497</v>
          </cell>
          <cell r="AJ86">
            <v>75.164000000000001</v>
          </cell>
          <cell r="AK86">
            <v>75.031999999999996</v>
          </cell>
          <cell r="AL86">
            <v>69.936999999999998</v>
          </cell>
          <cell r="AM86">
            <v>62.572000000000003</v>
          </cell>
          <cell r="AN86">
            <v>68.016999999999996</v>
          </cell>
        </row>
        <row r="87">
          <cell r="A87" t="str">
            <v xml:space="preserve">   Generic TRx's</v>
          </cell>
          <cell r="B87">
            <v>17.585000000000001</v>
          </cell>
          <cell r="C87">
            <v>1249.2550000000001</v>
          </cell>
          <cell r="D87">
            <v>1836.673</v>
          </cell>
          <cell r="E87">
            <v>1984.0940000000001</v>
          </cell>
          <cell r="F87">
            <v>2034.08</v>
          </cell>
          <cell r="G87">
            <v>1941.018</v>
          </cell>
          <cell r="H87">
            <v>2119.895</v>
          </cell>
          <cell r="I87">
            <v>2119.953</v>
          </cell>
          <cell r="J87">
            <v>2051.7069999999999</v>
          </cell>
          <cell r="K87">
            <v>2199.335</v>
          </cell>
          <cell r="L87">
            <v>2130.759</v>
          </cell>
          <cell r="M87">
            <v>2265.19</v>
          </cell>
          <cell r="N87">
            <v>2302.527</v>
          </cell>
          <cell r="O87">
            <v>2135.739</v>
          </cell>
          <cell r="P87">
            <v>2343.6570000000002</v>
          </cell>
          <cell r="Q87">
            <v>2294.857</v>
          </cell>
          <cell r="R87">
            <v>2358.9699999999998</v>
          </cell>
          <cell r="S87">
            <v>2328.1060000000002</v>
          </cell>
          <cell r="T87">
            <v>2400.634</v>
          </cell>
          <cell r="U87">
            <v>2342.5680000000002</v>
          </cell>
          <cell r="V87">
            <v>2357.6089999999999</v>
          </cell>
          <cell r="W87">
            <v>2471.7440000000001</v>
          </cell>
          <cell r="X87">
            <v>2312.1010000000001</v>
          </cell>
          <cell r="Y87">
            <v>2562.748</v>
          </cell>
          <cell r="Z87">
            <v>2537.6660000000002</v>
          </cell>
          <cell r="AA87">
            <v>2405.8510000000001</v>
          </cell>
          <cell r="AB87">
            <v>2691.5859999999998</v>
          </cell>
          <cell r="AC87">
            <v>2607.4050000000002</v>
          </cell>
          <cell r="AD87">
            <v>2605.8319999999999</v>
          </cell>
          <cell r="AE87">
            <v>2737.6529999999998</v>
          </cell>
          <cell r="AF87">
            <v>2728.1129999999998</v>
          </cell>
          <cell r="AG87">
            <v>2776.59</v>
          </cell>
          <cell r="AH87">
            <v>2724.4050000000002</v>
          </cell>
          <cell r="AI87">
            <v>2761.779</v>
          </cell>
          <cell r="AJ87">
            <v>2807.136</v>
          </cell>
          <cell r="AK87">
            <v>2911.0509999999999</v>
          </cell>
          <cell r="AL87">
            <v>2901.1149999999998</v>
          </cell>
          <cell r="AM87">
            <v>2743.08</v>
          </cell>
          <cell r="AN87">
            <v>3130.4009999999998</v>
          </cell>
        </row>
        <row r="88">
          <cell r="A88" t="str">
            <v xml:space="preserve">   Month-end Branded % of Molecule</v>
          </cell>
          <cell r="B88">
            <v>0.46211069311832531</v>
          </cell>
          <cell r="C88">
            <v>0.23403400710436784</v>
          </cell>
          <cell r="D88">
            <v>0.17570915231505455</v>
          </cell>
          <cell r="E88">
            <v>0.14946496470015411</v>
          </cell>
          <cell r="F88">
            <v>0.13338212503455471</v>
          </cell>
          <cell r="G88">
            <v>0.11920568264749942</v>
          </cell>
          <cell r="H88">
            <v>0.10910009133624156</v>
          </cell>
          <cell r="I88">
            <v>0.10269381960945814</v>
          </cell>
          <cell r="J88">
            <v>9.5561569283326708E-2</v>
          </cell>
          <cell r="K88">
            <v>9.0180467454653357E-2</v>
          </cell>
          <cell r="L88">
            <v>8.7139633593180041E-2</v>
          </cell>
          <cell r="M88">
            <v>7.849550548256766E-2</v>
          </cell>
          <cell r="N88">
            <v>7.4614902445669429E-2</v>
          </cell>
          <cell r="O88">
            <v>7.1344011341916286E-2</v>
          </cell>
          <cell r="P88">
            <v>6.8959131969098489E-2</v>
          </cell>
          <cell r="Q88">
            <v>6.757778395865037E-2</v>
          </cell>
          <cell r="R88">
            <v>6.6149860321056769E-2</v>
          </cell>
          <cell r="S88">
            <v>6.3870469429196192E-2</v>
          </cell>
          <cell r="T88">
            <v>6.2974837635326089E-2</v>
          </cell>
          <cell r="U88">
            <v>6.1511817634567922E-2</v>
          </cell>
          <cell r="V88">
            <v>5.8407770706118037E-2</v>
          </cell>
          <cell r="W88">
            <v>5.7251913560774845E-2</v>
          </cell>
          <cell r="X88">
            <v>5.6310368265461465E-2</v>
          </cell>
          <cell r="Y88">
            <v>5.2714792659953671E-2</v>
          </cell>
          <cell r="Z88">
            <v>5.0627612671914526E-2</v>
          </cell>
          <cell r="AA88">
            <v>4.8783677218632859E-2</v>
          </cell>
          <cell r="AB88">
            <v>3.9528786760144569E-2</v>
          </cell>
          <cell r="AC88">
            <v>3.5733370289971297E-2</v>
          </cell>
          <cell r="AD88">
            <v>3.3987026206006597E-2</v>
          </cell>
          <cell r="AE88">
            <v>3.2581748689150009E-2</v>
          </cell>
          <cell r="AF88">
            <v>3.1510501114090504E-2</v>
          </cell>
          <cell r="AG88">
            <v>3.0488890605376677E-2</v>
          </cell>
          <cell r="AH88">
            <v>2.9416577493758523E-2</v>
          </cell>
          <cell r="AI88">
            <v>2.6293040824885233E-2</v>
          </cell>
          <cell r="AJ88">
            <v>2.5188541698787897E-2</v>
          </cell>
          <cell r="AK88">
            <v>2.3645823760361829E-2</v>
          </cell>
          <cell r="AL88">
            <v>2.2389135383565236E-2</v>
          </cell>
          <cell r="AM88">
            <v>2.1326928760857962E-2</v>
          </cell>
        </row>
        <row r="90">
          <cell r="A90" t="str">
            <v>Total Glucophage and Total Metformin 1/28/02</v>
          </cell>
          <cell r="B90">
            <v>28</v>
          </cell>
        </row>
        <row r="91">
          <cell r="A91" t="str">
            <v xml:space="preserve">   Branded TRx's</v>
          </cell>
          <cell r="B91">
            <v>3025.9439999999995</v>
          </cell>
          <cell r="C91">
            <v>1632.1689999999999</v>
          </cell>
          <cell r="D91">
            <v>1320.0120000000002</v>
          </cell>
          <cell r="E91">
            <v>1233.17</v>
          </cell>
          <cell r="F91">
            <v>1170.73</v>
          </cell>
          <cell r="G91">
            <v>1073.1400000000001</v>
          </cell>
          <cell r="H91">
            <v>1127.8689999999999</v>
          </cell>
          <cell r="I91">
            <v>1085.729</v>
          </cell>
          <cell r="J91">
            <v>1023.94</v>
          </cell>
          <cell r="K91">
            <v>1076.7850000000001</v>
          </cell>
          <cell r="L91">
            <v>1012.544</v>
          </cell>
          <cell r="M91">
            <v>1058.229</v>
          </cell>
          <cell r="N91">
            <v>1024.444</v>
          </cell>
          <cell r="O91">
            <v>932.77</v>
          </cell>
          <cell r="P91">
            <v>1010.8869999999999</v>
          </cell>
          <cell r="Q91">
            <v>972.33500000000004</v>
          </cell>
          <cell r="R91">
            <v>995.66300000000001</v>
          </cell>
          <cell r="S91">
            <v>971.74</v>
          </cell>
          <cell r="T91">
            <v>994.31299999999999</v>
          </cell>
          <cell r="U91">
            <v>961.06799999999998</v>
          </cell>
          <cell r="V91">
            <v>962.03700000000003</v>
          </cell>
          <cell r="W91">
            <v>988.21</v>
          </cell>
          <cell r="X91">
            <v>905.24599999999998</v>
          </cell>
          <cell r="Y91">
            <v>646.42599999999993</v>
          </cell>
          <cell r="Z91">
            <v>413.05700000000002</v>
          </cell>
          <cell r="AA91">
            <v>342.73900000000003</v>
          </cell>
          <cell r="AB91">
            <v>349.553</v>
          </cell>
          <cell r="AC91">
            <v>286.95</v>
          </cell>
          <cell r="AD91">
            <v>262.97699999999998</v>
          </cell>
          <cell r="AE91">
            <v>258.85500000000002</v>
          </cell>
          <cell r="AF91">
            <v>245.071</v>
          </cell>
          <cell r="AG91">
            <v>235.63</v>
          </cell>
          <cell r="AH91">
            <v>220.358</v>
          </cell>
          <cell r="AI91">
            <v>212.863</v>
          </cell>
          <cell r="AJ91">
            <v>188.64</v>
          </cell>
          <cell r="AK91">
            <v>179.61699999999999</v>
          </cell>
          <cell r="AL91">
            <v>163.21199999999999</v>
          </cell>
          <cell r="AM91">
            <v>143.31700000000001</v>
          </cell>
          <cell r="AN91">
            <v>154.25700000000001</v>
          </cell>
        </row>
        <row r="92">
          <cell r="A92" t="str">
            <v xml:space="preserve">   Generic TRx's</v>
          </cell>
          <cell r="B92">
            <v>17.585000000000001</v>
          </cell>
          <cell r="C92">
            <v>1249.2550000000001</v>
          </cell>
          <cell r="D92">
            <v>1836.673</v>
          </cell>
          <cell r="E92">
            <v>1984.0940000000001</v>
          </cell>
          <cell r="F92">
            <v>2034.08</v>
          </cell>
          <cell r="G92">
            <v>1941.018</v>
          </cell>
          <cell r="H92">
            <v>2119.895</v>
          </cell>
          <cell r="I92">
            <v>2119.953</v>
          </cell>
          <cell r="J92">
            <v>2051.7069999999999</v>
          </cell>
          <cell r="K92">
            <v>2199.335</v>
          </cell>
          <cell r="L92">
            <v>2130.759</v>
          </cell>
          <cell r="M92">
            <v>2265.19</v>
          </cell>
          <cell r="N92">
            <v>2302.527</v>
          </cell>
          <cell r="O92">
            <v>2135.739</v>
          </cell>
          <cell r="P92">
            <v>2343.6570000000002</v>
          </cell>
          <cell r="Q92">
            <v>2294.857</v>
          </cell>
          <cell r="R92">
            <v>2358.9699999999998</v>
          </cell>
          <cell r="S92">
            <v>2328.1060000000002</v>
          </cell>
          <cell r="T92">
            <v>2400.634</v>
          </cell>
          <cell r="U92">
            <v>2342.5700000000002</v>
          </cell>
          <cell r="V92">
            <v>2357.6089999999999</v>
          </cell>
          <cell r="W92">
            <v>2471.7440000000001</v>
          </cell>
          <cell r="X92">
            <v>2312.1040000000003</v>
          </cell>
          <cell r="Y92">
            <v>2901.2780000000002</v>
          </cell>
          <cell r="Z92">
            <v>3084.2520000000004</v>
          </cell>
          <cell r="AA92">
            <v>2953.181</v>
          </cell>
          <cell r="AB92">
            <v>3317.2449999999999</v>
          </cell>
          <cell r="AC92">
            <v>3209.1150000000002</v>
          </cell>
          <cell r="AD92">
            <v>3212.855</v>
          </cell>
          <cell r="AE92">
            <v>3372.4389999999999</v>
          </cell>
          <cell r="AF92">
            <v>3362.4129999999996</v>
          </cell>
          <cell r="AG92">
            <v>3427.6730000000002</v>
          </cell>
          <cell r="AH92">
            <v>3358.6820000000002</v>
          </cell>
          <cell r="AI92">
            <v>3404.9279999999999</v>
          </cell>
          <cell r="AJ92">
            <v>3459.7190000000001</v>
          </cell>
          <cell r="AK92">
            <v>3597.0920000000001</v>
          </cell>
          <cell r="AL92">
            <v>3576.2689999999998</v>
          </cell>
          <cell r="AM92">
            <v>3379.585</v>
          </cell>
          <cell r="AN92">
            <v>3840.944</v>
          </cell>
        </row>
        <row r="93">
          <cell r="A93" t="str">
            <v xml:space="preserve">   Month-end Branded % of Molecule</v>
          </cell>
          <cell r="B93">
            <v>0.59645558509445928</v>
          </cell>
          <cell r="C93">
            <v>0.42724017033749578</v>
          </cell>
          <cell r="D93">
            <v>0.38558125012539318</v>
          </cell>
          <cell r="E93">
            <v>0.36650795751588178</v>
          </cell>
          <cell r="F93">
            <v>0.35668749097802344</v>
          </cell>
          <cell r="G93">
            <v>0.34781999426023885</v>
          </cell>
          <cell r="H93">
            <v>0.33926837634314588</v>
          </cell>
          <cell r="I93">
            <v>0.33331839755286641</v>
          </cell>
          <cell r="J93">
            <v>0.3289434714346835</v>
          </cell>
          <cell r="K93">
            <v>0.32258119846043221</v>
          </cell>
          <cell r="L93">
            <v>0.31865064419965639</v>
          </cell>
          <cell r="M93">
            <v>0.30861988713535737</v>
          </cell>
          <cell r="N93">
            <v>0.30426466936713192</v>
          </cell>
          <cell r="O93">
            <v>0.30151003979942892</v>
          </cell>
          <cell r="P93">
            <v>0.29786145017096571</v>
          </cell>
          <cell r="Q93">
            <v>0.29685461398811203</v>
          </cell>
          <cell r="R93">
            <v>0.29463760207183992</v>
          </cell>
          <cell r="S93">
            <v>0.29298415333073746</v>
          </cell>
          <cell r="T93">
            <v>0.29104661436249318</v>
          </cell>
          <cell r="U93">
            <v>0.28987481026516532</v>
          </cell>
          <cell r="V93">
            <v>0.28588219301446349</v>
          </cell>
          <cell r="W93">
            <v>0.28166701283186341</v>
          </cell>
          <cell r="X93">
            <v>0.1882418686239021</v>
          </cell>
          <cell r="Y93">
            <v>0.12243801803198361</v>
          </cell>
          <cell r="Z93">
            <v>0.10498354468392534</v>
          </cell>
          <cell r="AA93">
            <v>9.5851662639289736E-2</v>
          </cell>
          <cell r="AB93">
            <v>8.3001544066959379E-2</v>
          </cell>
          <cell r="AC93">
            <v>7.6088995696571265E-2</v>
          </cell>
          <cell r="AD93">
            <v>7.1564434977181193E-2</v>
          </cell>
          <cell r="AE93">
            <v>6.815878950947124E-2</v>
          </cell>
          <cell r="AF93">
            <v>6.4559126483780663E-2</v>
          </cell>
          <cell r="AG93">
            <v>6.1756564267236462E-2</v>
          </cell>
          <cell r="AH93">
            <v>5.9018095300161104E-2</v>
          </cell>
          <cell r="AI93">
            <v>5.2177210868079145E-2</v>
          </cell>
          <cell r="AJ93">
            <v>4.7826764257672877E-2</v>
          </cell>
          <cell r="AK93">
            <v>4.390895167087263E-2</v>
          </cell>
          <cell r="AL93">
            <v>4.0890417318969328E-2</v>
          </cell>
          <cell r="AM93">
            <v>3.8733281758813569E-2</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12 Months</v>
          </cell>
        </row>
        <row r="5">
          <cell r="B5">
            <v>5281</v>
          </cell>
        </row>
        <row r="6">
          <cell r="Q6">
            <v>7.0483883741189413E-2</v>
          </cell>
        </row>
        <row r="7">
          <cell r="B7">
            <v>2.25</v>
          </cell>
        </row>
      </sheetData>
      <sheetData sheetId="1">
        <row r="16">
          <cell r="C16">
            <v>8.8999999999999915</v>
          </cell>
        </row>
        <row r="25">
          <cell r="C25">
            <v>17.326410361082139</v>
          </cell>
        </row>
        <row r="28">
          <cell r="C28">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12 Months</v>
          </cell>
        </row>
        <row r="5">
          <cell r="B5">
            <v>1451</v>
          </cell>
        </row>
        <row r="6">
          <cell r="Q6">
            <v>5.1515151515151292E-2</v>
          </cell>
        </row>
        <row r="7">
          <cell r="B7">
            <v>2.04</v>
          </cell>
        </row>
      </sheetData>
      <sheetData sheetId="1">
        <row r="16">
          <cell r="C16">
            <v>3.5700000000000012</v>
          </cell>
        </row>
        <row r="25">
          <cell r="C25">
            <v>8.2398971953069022</v>
          </cell>
        </row>
        <row r="28">
          <cell r="C28">
            <v>7.5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12 Months</v>
          </cell>
        </row>
        <row r="5">
          <cell r="B5">
            <v>794</v>
          </cell>
        </row>
        <row r="6">
          <cell r="Q6">
            <v>5.6112503480924891E-2</v>
          </cell>
        </row>
        <row r="7">
          <cell r="B7">
            <v>2.0699999999999998</v>
          </cell>
        </row>
      </sheetData>
      <sheetData sheetId="1">
        <row r="16">
          <cell r="C16">
            <v>4.0300000000000074</v>
          </cell>
        </row>
        <row r="25">
          <cell r="C25">
            <v>8.5277764722961926</v>
          </cell>
        </row>
        <row r="28">
          <cell r="C28">
            <v>8.4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12 Months</v>
          </cell>
        </row>
        <row r="5">
          <cell r="B5">
            <v>15648</v>
          </cell>
        </row>
        <row r="6">
          <cell r="Q6">
            <v>7.8899999999999998E-2</v>
          </cell>
        </row>
        <row r="7">
          <cell r="B7">
            <v>4.1980566206543966</v>
          </cell>
        </row>
      </sheetData>
      <sheetData sheetId="1" refreshError="1">
        <row r="16">
          <cell r="C16">
            <v>5.2500059999999937</v>
          </cell>
        </row>
        <row r="25">
          <cell r="C25">
            <v>4.8392675412559338</v>
          </cell>
        </row>
        <row r="28">
          <cell r="C28">
            <v>9.68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5 Months</v>
          </cell>
        </row>
        <row r="5">
          <cell r="B5">
            <v>3640</v>
          </cell>
        </row>
        <row r="6">
          <cell r="Q6">
            <v>3.6476256022023312E-2</v>
          </cell>
        </row>
        <row r="7">
          <cell r="B7">
            <v>1.59</v>
          </cell>
        </row>
      </sheetData>
      <sheetData sheetId="1">
        <row r="16">
          <cell r="C16">
            <v>5.2999999999999992E-2</v>
          </cell>
        </row>
        <row r="25">
          <cell r="C25">
            <v>0.13267133478763249</v>
          </cell>
        </row>
        <row r="28">
          <cell r="C28">
            <v>4.7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7 Months</v>
          </cell>
        </row>
        <row r="5">
          <cell r="B5">
            <v>110</v>
          </cell>
        </row>
        <row r="6">
          <cell r="Q6">
            <v>7.356076759061847E-2</v>
          </cell>
        </row>
        <row r="7">
          <cell r="B7">
            <v>1.56</v>
          </cell>
        </row>
      </sheetData>
      <sheetData sheetId="1">
        <row r="16">
          <cell r="C16">
            <v>2.0700000000000003</v>
          </cell>
        </row>
        <row r="25">
          <cell r="C25">
            <v>5.3519609764041078</v>
          </cell>
        </row>
        <row r="28">
          <cell r="C28">
            <v>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12 Months</v>
          </cell>
        </row>
        <row r="5">
          <cell r="B5">
            <v>1555</v>
          </cell>
        </row>
        <row r="6">
          <cell r="Q6">
            <v>3.0519088577033893E-2</v>
          </cell>
        </row>
        <row r="7">
          <cell r="B7">
            <v>2.5639799999999999</v>
          </cell>
        </row>
      </sheetData>
      <sheetData sheetId="1" refreshError="1">
        <row r="16">
          <cell r="C16">
            <v>4.0450000000000061</v>
          </cell>
        </row>
        <row r="25">
          <cell r="C25">
            <v>48.967316118745472</v>
          </cell>
        </row>
        <row r="28">
          <cell r="C28">
            <v>53.9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11 Months</v>
          </cell>
        </row>
        <row r="5">
          <cell r="B5">
            <v>8202</v>
          </cell>
        </row>
        <row r="6">
          <cell r="Q6">
            <v>0.10036719706242359</v>
          </cell>
        </row>
        <row r="7">
          <cell r="B7">
            <v>19.43</v>
          </cell>
        </row>
      </sheetData>
      <sheetData sheetId="1" refreshError="1">
        <row r="16">
          <cell r="C16">
            <v>4.7818181818181813</v>
          </cell>
        </row>
        <row r="25">
          <cell r="C25">
            <v>3.5651075296656995</v>
          </cell>
        </row>
        <row r="28">
          <cell r="C28">
            <v>8.8000000000000007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10 Months</v>
          </cell>
        </row>
        <row r="5">
          <cell r="B5">
            <v>4805</v>
          </cell>
        </row>
        <row r="6">
          <cell r="Q6">
            <v>5.0055617352613657E-2</v>
          </cell>
        </row>
        <row r="7">
          <cell r="B7">
            <v>2.9460894901144643</v>
          </cell>
        </row>
      </sheetData>
      <sheetData sheetId="1">
        <row r="16">
          <cell r="C16">
            <v>4.499999999999992</v>
          </cell>
        </row>
        <row r="25">
          <cell r="C25">
            <v>11.104657655736002</v>
          </cell>
        </row>
        <row r="28">
          <cell r="C28">
            <v>15.84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9 Months</v>
          </cell>
        </row>
        <row r="5">
          <cell r="B5">
            <v>632</v>
          </cell>
        </row>
        <row r="6">
          <cell r="Q6">
            <v>4.54415274463007E-2</v>
          </cell>
        </row>
        <row r="7">
          <cell r="B7">
            <v>1.47</v>
          </cell>
        </row>
      </sheetData>
      <sheetData sheetId="1">
        <row r="16">
          <cell r="C16">
            <v>4.7600000000000087</v>
          </cell>
        </row>
        <row r="25">
          <cell r="C25">
            <v>23.665326843255087</v>
          </cell>
        </row>
        <row r="28">
          <cell r="C28">
            <v>26.7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osion"/>
    </sheetNames>
    <sheetDataSet>
      <sheetData sheetId="0" refreshError="1">
        <row r="5">
          <cell r="A5" t="str">
            <v>TAGAMET 5/17/94</v>
          </cell>
          <cell r="B5">
            <v>17</v>
          </cell>
        </row>
        <row r="6">
          <cell r="A6" t="str">
            <v xml:space="preserve">   Branded TRx's</v>
          </cell>
          <cell r="B6">
            <v>967.21666980954183</v>
          </cell>
          <cell r="C6">
            <v>589.99372669916829</v>
          </cell>
          <cell r="D6">
            <v>437.31331455578368</v>
          </cell>
          <cell r="E6">
            <v>376.63123966942146</v>
          </cell>
          <cell r="F6">
            <v>315.73105324523902</v>
          </cell>
          <cell r="G6">
            <v>287.8654065620542</v>
          </cell>
          <cell r="H6">
            <v>263.83063965399498</v>
          </cell>
          <cell r="I6">
            <v>264.11275127957867</v>
          </cell>
          <cell r="J6">
            <v>227</v>
          </cell>
          <cell r="K6">
            <v>195</v>
          </cell>
          <cell r="L6">
            <v>206</v>
          </cell>
          <cell r="M6">
            <v>178</v>
          </cell>
          <cell r="N6">
            <v>181</v>
          </cell>
          <cell r="O6">
            <v>166</v>
          </cell>
          <cell r="P6">
            <v>153</v>
          </cell>
          <cell r="Q6">
            <v>144</v>
          </cell>
          <cell r="R6">
            <v>126</v>
          </cell>
          <cell r="S6">
            <v>126</v>
          </cell>
          <cell r="T6">
            <v>118</v>
          </cell>
          <cell r="U6">
            <v>118</v>
          </cell>
          <cell r="V6">
            <v>110</v>
          </cell>
          <cell r="W6">
            <v>98</v>
          </cell>
          <cell r="X6">
            <v>99</v>
          </cell>
          <cell r="Y6">
            <v>95</v>
          </cell>
          <cell r="Z6">
            <v>91</v>
          </cell>
          <cell r="AA6">
            <v>82</v>
          </cell>
          <cell r="AB6">
            <v>85</v>
          </cell>
          <cell r="AC6">
            <v>81</v>
          </cell>
          <cell r="AD6">
            <v>74</v>
          </cell>
          <cell r="AE6">
            <v>76</v>
          </cell>
          <cell r="AF6">
            <v>69</v>
          </cell>
          <cell r="AG6">
            <v>71</v>
          </cell>
          <cell r="AH6">
            <v>67</v>
          </cell>
          <cell r="AI6">
            <v>57</v>
          </cell>
          <cell r="AJ6">
            <v>61</v>
          </cell>
          <cell r="AK6">
            <v>59</v>
          </cell>
          <cell r="AL6">
            <v>57</v>
          </cell>
          <cell r="AM6">
            <v>53</v>
          </cell>
          <cell r="AN6">
            <v>54</v>
          </cell>
          <cell r="AO6">
            <v>51</v>
          </cell>
          <cell r="AP6">
            <v>49</v>
          </cell>
          <cell r="AQ6">
            <v>48</v>
          </cell>
          <cell r="AR6">
            <v>43</v>
          </cell>
          <cell r="AS6">
            <v>47</v>
          </cell>
          <cell r="AT6">
            <v>41</v>
          </cell>
          <cell r="AU6">
            <v>36</v>
          </cell>
          <cell r="AV6">
            <v>39</v>
          </cell>
          <cell r="AW6">
            <v>37</v>
          </cell>
          <cell r="AX6">
            <v>36</v>
          </cell>
          <cell r="AY6">
            <v>36</v>
          </cell>
          <cell r="AZ6">
            <v>35</v>
          </cell>
          <cell r="BA6">
            <v>34</v>
          </cell>
          <cell r="BB6">
            <v>32</v>
          </cell>
          <cell r="BC6">
            <v>33</v>
          </cell>
          <cell r="BD6">
            <v>30</v>
          </cell>
          <cell r="BE6">
            <v>31</v>
          </cell>
          <cell r="BF6">
            <v>27</v>
          </cell>
          <cell r="BG6">
            <v>26</v>
          </cell>
          <cell r="BH6">
            <v>28</v>
          </cell>
          <cell r="BI6">
            <v>25</v>
          </cell>
        </row>
        <row r="7">
          <cell r="A7" t="str">
            <v xml:space="preserve">   Generic TRx's</v>
          </cell>
          <cell r="B7">
            <v>48</v>
          </cell>
          <cell r="C7">
            <v>447.17303407423509</v>
          </cell>
          <cell r="D7">
            <v>609.79329335454656</v>
          </cell>
          <cell r="E7">
            <v>735.55940856650307</v>
          </cell>
          <cell r="F7">
            <v>755.87625642171099</v>
          </cell>
          <cell r="G7">
            <v>796.41902142706033</v>
          </cell>
          <cell r="H7">
            <v>815.08229264844488</v>
          </cell>
          <cell r="I7">
            <v>860.06539591037631</v>
          </cell>
          <cell r="J7">
            <v>902</v>
          </cell>
          <cell r="K7">
            <v>856</v>
          </cell>
          <cell r="L7">
            <v>962</v>
          </cell>
          <cell r="M7">
            <v>900</v>
          </cell>
          <cell r="N7">
            <v>970</v>
          </cell>
          <cell r="O7">
            <v>924</v>
          </cell>
          <cell r="P7">
            <v>885</v>
          </cell>
          <cell r="Q7">
            <v>878</v>
          </cell>
          <cell r="R7">
            <v>805</v>
          </cell>
          <cell r="S7">
            <v>830</v>
          </cell>
          <cell r="T7">
            <v>807</v>
          </cell>
          <cell r="U7">
            <v>796</v>
          </cell>
          <cell r="V7">
            <v>825</v>
          </cell>
          <cell r="W7">
            <v>768</v>
          </cell>
          <cell r="X7">
            <v>800</v>
          </cell>
          <cell r="Y7">
            <v>788</v>
          </cell>
          <cell r="Z7">
            <v>767</v>
          </cell>
          <cell r="AA7">
            <v>714</v>
          </cell>
          <cell r="AB7">
            <v>761</v>
          </cell>
          <cell r="AC7">
            <v>749</v>
          </cell>
          <cell r="AD7">
            <v>706</v>
          </cell>
          <cell r="AE7">
            <v>747</v>
          </cell>
          <cell r="AF7">
            <v>698</v>
          </cell>
          <cell r="AG7">
            <v>719</v>
          </cell>
          <cell r="AH7">
            <v>727</v>
          </cell>
          <cell r="AI7">
            <v>648</v>
          </cell>
          <cell r="AJ7">
            <v>700</v>
          </cell>
          <cell r="AK7">
            <v>711</v>
          </cell>
          <cell r="AL7">
            <v>703</v>
          </cell>
          <cell r="AM7">
            <v>667</v>
          </cell>
          <cell r="AN7">
            <v>688</v>
          </cell>
          <cell r="AO7">
            <v>672</v>
          </cell>
          <cell r="AP7">
            <v>666</v>
          </cell>
          <cell r="AQ7">
            <v>670</v>
          </cell>
          <cell r="AR7">
            <v>607</v>
          </cell>
          <cell r="AS7">
            <v>667</v>
          </cell>
          <cell r="AT7">
            <v>649</v>
          </cell>
          <cell r="AU7">
            <v>582</v>
          </cell>
          <cell r="AV7">
            <v>642</v>
          </cell>
          <cell r="AW7">
            <v>615</v>
          </cell>
          <cell r="AX7">
            <v>601</v>
          </cell>
          <cell r="AY7">
            <v>600</v>
          </cell>
          <cell r="AZ7">
            <v>591</v>
          </cell>
          <cell r="BA7">
            <v>579</v>
          </cell>
          <cell r="BB7">
            <v>573</v>
          </cell>
          <cell r="BC7">
            <v>586</v>
          </cell>
          <cell r="BD7">
            <v>546</v>
          </cell>
          <cell r="BE7">
            <v>570</v>
          </cell>
          <cell r="BF7">
            <v>543</v>
          </cell>
          <cell r="BG7">
            <v>519</v>
          </cell>
          <cell r="BH7">
            <v>575</v>
          </cell>
          <cell r="BI7">
            <v>532</v>
          </cell>
        </row>
        <row r="8">
          <cell r="A8" t="str">
            <v xml:space="preserve">   Month-end Branded % of Molecule</v>
          </cell>
          <cell r="B8">
            <v>0.73318084566320707</v>
          </cell>
          <cell r="C8">
            <v>0.48281084076041669</v>
          </cell>
          <cell r="D8">
            <v>0.37170795938970874</v>
          </cell>
          <cell r="E8">
            <v>0.31410503110827093</v>
          </cell>
          <cell r="F8">
            <v>0.27803394478695387</v>
          </cell>
          <cell r="G8">
            <v>0.25363985617728446</v>
          </cell>
          <cell r="H8">
            <v>0.23899990326668993</v>
          </cell>
          <cell r="I8">
            <v>0.21570673594140846</v>
          </cell>
          <cell r="J8">
            <v>0.19253933136676499</v>
          </cell>
          <cell r="K8">
            <v>0.18010680509561741</v>
          </cell>
          <cell r="L8">
            <v>0.17021784541927784</v>
          </cell>
          <cell r="M8">
            <v>0.16053720854054376</v>
          </cell>
          <cell r="N8">
            <v>0.15450989759054132</v>
          </cell>
          <cell r="O8">
            <v>0.14957882826250943</v>
          </cell>
          <cell r="P8">
            <v>0.14374109109757677</v>
          </cell>
          <cell r="Q8">
            <v>0.13787654999484766</v>
          </cell>
          <cell r="R8">
            <v>0.13330982190089932</v>
          </cell>
          <cell r="S8">
            <v>0.12943558412957767</v>
          </cell>
          <cell r="T8">
            <v>0.12843304429851612</v>
          </cell>
          <cell r="U8">
            <v>0.12254743132807719</v>
          </cell>
          <cell r="V8">
            <v>0.11519142761468915</v>
          </cell>
          <cell r="W8">
            <v>0.11141253155495272</v>
          </cell>
          <cell r="X8">
            <v>0.10869728069518315</v>
          </cell>
          <cell r="Y8">
            <v>0.10673316708229426</v>
          </cell>
          <cell r="Z8">
            <v>0.104391152880175</v>
          </cell>
          <cell r="AA8">
            <v>0.10153659522846745</v>
          </cell>
          <cell r="AB8">
            <v>9.8852955233391743E-2</v>
          </cell>
          <cell r="AC8">
            <v>9.6091476091476086E-2</v>
          </cell>
          <cell r="AD8">
            <v>9.3406821101487708E-2</v>
          </cell>
          <cell r="AE8">
            <v>9.1035470553542844E-2</v>
          </cell>
          <cell r="AF8">
            <v>8.9910687577453949E-2</v>
          </cell>
          <cell r="AG8">
            <v>8.6755301245371924E-2</v>
          </cell>
          <cell r="AH8">
            <v>8.2485318509884789E-2</v>
          </cell>
          <cell r="AI8">
            <v>8.04452085784092E-2</v>
          </cell>
          <cell r="AJ8">
            <v>7.8144715659400427E-2</v>
          </cell>
          <cell r="AK8">
            <v>7.5708678587003919E-2</v>
          </cell>
          <cell r="AL8">
            <v>7.4231464737793851E-2</v>
          </cell>
          <cell r="AM8">
            <v>7.3131883134613634E-2</v>
          </cell>
          <cell r="AN8">
            <v>7.1522997675160682E-2</v>
          </cell>
          <cell r="AO8">
            <v>6.9407070613343225E-2</v>
          </cell>
          <cell r="AP8">
            <v>6.7578252174317469E-2</v>
          </cell>
          <cell r="AQ8">
            <v>6.6473704866562011E-2</v>
          </cell>
          <cell r="AR8">
            <v>6.5960753837186706E-2</v>
          </cell>
          <cell r="AS8">
            <v>6.2250142775556822E-2</v>
          </cell>
          <cell r="AT8">
            <v>5.8790306017662768E-2</v>
          </cell>
          <cell r="AU8">
            <v>5.7671714853908519E-2</v>
          </cell>
          <cell r="AV8">
            <v>5.6979485378943671E-2</v>
          </cell>
          <cell r="AW8">
            <v>5.6617456617456617E-2</v>
          </cell>
          <cell r="AX8">
            <v>5.6565233331587493E-2</v>
          </cell>
          <cell r="AY8">
            <v>5.621364357482813E-2</v>
          </cell>
          <cell r="AZ8">
            <v>5.5660326526213694E-2</v>
          </cell>
          <cell r="BA8">
            <v>5.4015558233811767E-2</v>
          </cell>
          <cell r="BB8">
            <v>5.3132477702849686E-2</v>
          </cell>
          <cell r="BC8">
            <v>5.2637479679354227E-2</v>
          </cell>
          <cell r="BD8">
            <v>5.1793278734820675E-2</v>
          </cell>
          <cell r="BE8">
            <v>4.9248700222818943E-2</v>
          </cell>
          <cell r="BF8">
            <v>4.7556221889055471E-2</v>
          </cell>
          <cell r="BG8">
            <v>4.6954314720812185E-2</v>
          </cell>
          <cell r="BH8">
            <v>4.5585856251444422E-2</v>
          </cell>
          <cell r="BI8">
            <v>4.4730579117593212E-2</v>
          </cell>
        </row>
        <row r="10">
          <cell r="A10" t="str">
            <v>CAPOTEN 2/13/96</v>
          </cell>
          <cell r="B10">
            <v>13</v>
          </cell>
        </row>
        <row r="11">
          <cell r="A11" t="str">
            <v xml:space="preserve">   Branded TRx's</v>
          </cell>
          <cell r="B11">
            <v>802</v>
          </cell>
          <cell r="C11">
            <v>693</v>
          </cell>
          <cell r="D11">
            <v>536</v>
          </cell>
          <cell r="E11">
            <v>421</v>
          </cell>
          <cell r="F11">
            <v>343</v>
          </cell>
          <cell r="G11">
            <v>292</v>
          </cell>
          <cell r="H11">
            <v>244</v>
          </cell>
          <cell r="I11">
            <v>236</v>
          </cell>
          <cell r="J11">
            <v>212</v>
          </cell>
          <cell r="K11">
            <v>183</v>
          </cell>
          <cell r="L11">
            <v>179</v>
          </cell>
          <cell r="M11">
            <v>158</v>
          </cell>
          <cell r="N11">
            <v>154</v>
          </cell>
          <cell r="O11">
            <v>138</v>
          </cell>
          <cell r="P11">
            <v>117</v>
          </cell>
          <cell r="Q11">
            <v>119</v>
          </cell>
          <cell r="R11">
            <v>113</v>
          </cell>
          <cell r="S11">
            <v>109</v>
          </cell>
          <cell r="T11">
            <v>99</v>
          </cell>
          <cell r="U11">
            <v>99</v>
          </cell>
          <cell r="V11">
            <v>92</v>
          </cell>
          <cell r="W11">
            <v>87</v>
          </cell>
          <cell r="X11">
            <v>85</v>
          </cell>
          <cell r="Y11">
            <v>76</v>
          </cell>
          <cell r="Z11">
            <v>82</v>
          </cell>
          <cell r="AA11">
            <v>74</v>
          </cell>
          <cell r="AB11">
            <v>64</v>
          </cell>
          <cell r="AC11">
            <v>69</v>
          </cell>
          <cell r="AD11">
            <v>65</v>
          </cell>
          <cell r="AE11">
            <v>62</v>
          </cell>
          <cell r="AF11">
            <v>61</v>
          </cell>
          <cell r="AG11">
            <v>60</v>
          </cell>
          <cell r="AH11">
            <v>56</v>
          </cell>
          <cell r="AI11">
            <v>55</v>
          </cell>
          <cell r="AJ11">
            <v>55</v>
          </cell>
          <cell r="AK11">
            <v>51</v>
          </cell>
          <cell r="AL11">
            <v>52</v>
          </cell>
          <cell r="AM11">
            <v>47</v>
          </cell>
          <cell r="AN11">
            <v>42</v>
          </cell>
          <cell r="AO11">
            <v>46</v>
          </cell>
          <cell r="AP11">
            <v>42</v>
          </cell>
          <cell r="AQ11">
            <v>40</v>
          </cell>
          <cell r="AR11">
            <v>41</v>
          </cell>
          <cell r="AS11">
            <v>40</v>
          </cell>
          <cell r="AT11">
            <v>38</v>
          </cell>
          <cell r="AU11">
            <v>36</v>
          </cell>
          <cell r="AV11">
            <v>36</v>
          </cell>
          <cell r="AW11">
            <v>34</v>
          </cell>
          <cell r="AX11">
            <v>36</v>
          </cell>
          <cell r="AY11">
            <v>29.158999999999999</v>
          </cell>
          <cell r="AZ11">
            <v>28.49</v>
          </cell>
          <cell r="BA11">
            <v>29.661999999999999</v>
          </cell>
          <cell r="BB11">
            <v>26.806999999999999</v>
          </cell>
          <cell r="BC11">
            <v>27.966000000000001</v>
          </cell>
          <cell r="BD11">
            <v>27.254999999999999</v>
          </cell>
          <cell r="BE11">
            <v>25.619</v>
          </cell>
          <cell r="BF11">
            <v>25.44</v>
          </cell>
          <cell r="BG11">
            <v>23.401</v>
          </cell>
          <cell r="BH11">
            <v>23.353999999999999</v>
          </cell>
          <cell r="BI11">
            <v>22.175000000000001</v>
          </cell>
        </row>
        <row r="12">
          <cell r="A12" t="str">
            <v xml:space="preserve">   Generic TRx's</v>
          </cell>
          <cell r="B12">
            <v>58</v>
          </cell>
          <cell r="C12">
            <v>176</v>
          </cell>
          <cell r="D12">
            <v>251</v>
          </cell>
          <cell r="E12">
            <v>391</v>
          </cell>
          <cell r="F12">
            <v>468</v>
          </cell>
          <cell r="G12">
            <v>508</v>
          </cell>
          <cell r="H12">
            <v>507</v>
          </cell>
          <cell r="I12">
            <v>565</v>
          </cell>
          <cell r="J12">
            <v>574</v>
          </cell>
          <cell r="K12">
            <v>552</v>
          </cell>
          <cell r="L12">
            <v>591</v>
          </cell>
          <cell r="M12">
            <v>571</v>
          </cell>
          <cell r="N12">
            <v>596</v>
          </cell>
          <cell r="O12">
            <v>612</v>
          </cell>
          <cell r="P12">
            <v>549</v>
          </cell>
          <cell r="Q12">
            <v>609</v>
          </cell>
          <cell r="R12">
            <v>611</v>
          </cell>
          <cell r="S12">
            <v>619</v>
          </cell>
          <cell r="T12">
            <v>592</v>
          </cell>
          <cell r="U12">
            <v>617</v>
          </cell>
          <cell r="V12">
            <v>602</v>
          </cell>
          <cell r="W12">
            <v>594</v>
          </cell>
          <cell r="X12">
            <v>601</v>
          </cell>
          <cell r="Y12">
            <v>555</v>
          </cell>
          <cell r="Z12">
            <v>616</v>
          </cell>
          <cell r="AA12">
            <v>598</v>
          </cell>
          <cell r="AB12">
            <v>544</v>
          </cell>
          <cell r="AC12">
            <v>606</v>
          </cell>
          <cell r="AD12">
            <v>592</v>
          </cell>
          <cell r="AE12">
            <v>590</v>
          </cell>
          <cell r="AF12">
            <v>598</v>
          </cell>
          <cell r="AG12">
            <v>588</v>
          </cell>
          <cell r="AH12">
            <v>569</v>
          </cell>
          <cell r="AI12">
            <v>560</v>
          </cell>
          <cell r="AJ12">
            <v>577</v>
          </cell>
          <cell r="AK12">
            <v>544</v>
          </cell>
          <cell r="AL12">
            <v>569</v>
          </cell>
          <cell r="AM12">
            <v>543</v>
          </cell>
          <cell r="AN12">
            <v>520</v>
          </cell>
          <cell r="AO12">
            <v>582</v>
          </cell>
          <cell r="AP12">
            <v>545</v>
          </cell>
          <cell r="AQ12">
            <v>532</v>
          </cell>
          <cell r="AR12">
            <v>551</v>
          </cell>
          <cell r="AS12">
            <v>546</v>
          </cell>
          <cell r="AT12">
            <v>544</v>
          </cell>
          <cell r="AU12">
            <v>525</v>
          </cell>
          <cell r="AV12">
            <v>533</v>
          </cell>
          <cell r="AW12">
            <v>526</v>
          </cell>
          <cell r="AX12">
            <v>550</v>
          </cell>
          <cell r="AY12">
            <v>518.596</v>
          </cell>
          <cell r="AZ12">
            <v>522.23599999999999</v>
          </cell>
          <cell r="BA12">
            <v>552.03599999999994</v>
          </cell>
          <cell r="BB12">
            <v>515.154</v>
          </cell>
          <cell r="BC12">
            <v>570.85900000000004</v>
          </cell>
          <cell r="BD12">
            <v>537.65200000000004</v>
          </cell>
          <cell r="BE12">
            <v>529.98699999999997</v>
          </cell>
          <cell r="BF12">
            <v>541.48500000000001</v>
          </cell>
          <cell r="BG12">
            <v>511.57400000000001</v>
          </cell>
          <cell r="BH12">
            <v>534.05499999999995</v>
          </cell>
          <cell r="BI12">
            <v>513.99199999999996</v>
          </cell>
        </row>
        <row r="13">
          <cell r="A13" t="str">
            <v xml:space="preserve">   Month-end Branded % of Molecule</v>
          </cell>
          <cell r="B13">
            <v>0.87367365049967205</v>
          </cell>
          <cell r="C13">
            <v>0.74984002559590468</v>
          </cell>
          <cell r="D13">
            <v>0.60935867975767699</v>
          </cell>
          <cell r="E13">
            <v>0.47710190167166389</v>
          </cell>
          <cell r="F13">
            <v>0.39802373175672884</v>
          </cell>
          <cell r="G13">
            <v>0.34824294825150881</v>
          </cell>
          <cell r="H13">
            <v>0.31130284728213975</v>
          </cell>
          <cell r="I13">
            <v>0.2839521711768408</v>
          </cell>
          <cell r="J13">
            <v>0.26107256621721864</v>
          </cell>
          <cell r="K13">
            <v>0.24163519217951565</v>
          </cell>
          <cell r="L13">
            <v>0.22586077015110559</v>
          </cell>
          <cell r="M13">
            <v>0.21171476313056045</v>
          </cell>
          <cell r="N13">
            <v>0.1960888888888889</v>
          </cell>
          <cell r="O13">
            <v>0.18063340807174888</v>
          </cell>
          <cell r="P13">
            <v>0.17011450014432791</v>
          </cell>
          <cell r="Q13">
            <v>0.16027170919772352</v>
          </cell>
          <cell r="R13">
            <v>0.15331618592687857</v>
          </cell>
          <cell r="S13">
            <v>0.14701062783838195</v>
          </cell>
          <cell r="T13">
            <v>0.14105913084777963</v>
          </cell>
          <cell r="U13">
            <v>0.13584033216948194</v>
          </cell>
          <cell r="V13">
            <v>0.13050215485932884</v>
          </cell>
          <cell r="W13">
            <v>0.12607953159307148</v>
          </cell>
          <cell r="X13">
            <v>0.12247671784545683</v>
          </cell>
          <cell r="Y13">
            <v>0.11908489470228777</v>
          </cell>
          <cell r="Z13">
            <v>0.11435782933695758</v>
          </cell>
          <cell r="AA13">
            <v>0.10813327814569536</v>
          </cell>
          <cell r="AB13">
            <v>0.10386688294699388</v>
          </cell>
          <cell r="AC13">
            <v>0.1008193445243805</v>
          </cell>
          <cell r="AD13">
            <v>9.7276660727920586E-2</v>
          </cell>
          <cell r="AE13">
            <v>9.3990127728868764E-2</v>
          </cell>
          <cell r="AF13">
            <v>9.2576552708004287E-2</v>
          </cell>
          <cell r="AG13">
            <v>9.1322292461208918E-2</v>
          </cell>
          <cell r="AH13">
            <v>8.9527389903329757E-2</v>
          </cell>
          <cell r="AI13">
            <v>8.8372342134861545E-2</v>
          </cell>
          <cell r="AJ13">
            <v>8.6476540938362462E-2</v>
          </cell>
          <cell r="AK13">
            <v>8.4836155707059602E-2</v>
          </cell>
          <cell r="AL13">
            <v>8.2021177374225054E-2</v>
          </cell>
          <cell r="AM13">
            <v>7.7584217812644213E-2</v>
          </cell>
          <cell r="AN13">
            <v>7.4048989727960271E-2</v>
          </cell>
          <cell r="AO13">
            <v>7.2540558256404652E-2</v>
          </cell>
          <cell r="AP13">
            <v>7.085845535457938E-2</v>
          </cell>
          <cell r="AQ13">
            <v>6.963260619977038E-2</v>
          </cell>
          <cell r="AR13">
            <v>6.8827055762922751E-2</v>
          </cell>
          <cell r="AS13">
            <v>6.6978548607941585E-2</v>
          </cell>
          <cell r="AT13">
            <v>6.481643102344796E-2</v>
          </cell>
          <cell r="AU13">
            <v>6.377701665288768E-2</v>
          </cell>
          <cell r="AV13">
            <v>6.2171886981655163E-2</v>
          </cell>
          <cell r="AW13">
            <v>6.1033959621892869E-2</v>
          </cell>
          <cell r="AX13">
            <v>5.8015438322079824E-2</v>
          </cell>
          <cell r="AY13">
            <v>5.2580817523940011E-2</v>
          </cell>
          <cell r="AZ13">
            <v>5.1401241850826632E-2</v>
          </cell>
          <cell r="BA13">
            <v>5.0355906592035746E-2</v>
          </cell>
          <cell r="BB13">
            <v>4.8198259307443411E-2</v>
          </cell>
          <cell r="BC13">
            <v>4.7349104784026493E-2</v>
          </cell>
          <cell r="BD13">
            <v>4.7329605557301174E-2</v>
          </cell>
          <cell r="BE13">
            <v>4.5568129599858509E-2</v>
          </cell>
          <cell r="BF13">
            <v>4.4399423832598053E-2</v>
          </cell>
          <cell r="BG13">
            <v>4.2924156159896289E-2</v>
          </cell>
          <cell r="BH13">
            <v>4.1668967107386531E-2</v>
          </cell>
          <cell r="BI13">
            <v>4.1360952712680955E-2</v>
          </cell>
        </row>
        <row r="15">
          <cell r="A15" t="str">
            <v>ZANTAC 7/25/97</v>
          </cell>
          <cell r="B15">
            <v>25</v>
          </cell>
        </row>
        <row r="16">
          <cell r="A16" t="str">
            <v xml:space="preserve">   Branded TRx's</v>
          </cell>
          <cell r="B16">
            <v>1803</v>
          </cell>
          <cell r="C16">
            <v>1325</v>
          </cell>
          <cell r="D16">
            <v>844</v>
          </cell>
          <cell r="E16">
            <v>679</v>
          </cell>
          <cell r="F16">
            <v>544</v>
          </cell>
          <cell r="G16">
            <v>552</v>
          </cell>
          <cell r="H16">
            <v>475</v>
          </cell>
          <cell r="I16">
            <v>406</v>
          </cell>
          <cell r="J16">
            <v>433</v>
          </cell>
          <cell r="K16">
            <v>401</v>
          </cell>
          <cell r="L16">
            <v>383</v>
          </cell>
          <cell r="M16">
            <v>376</v>
          </cell>
          <cell r="N16">
            <v>355</v>
          </cell>
          <cell r="O16">
            <v>344</v>
          </cell>
          <cell r="P16">
            <v>333</v>
          </cell>
          <cell r="Q16">
            <v>335</v>
          </cell>
          <cell r="R16">
            <v>308</v>
          </cell>
          <cell r="S16">
            <v>318</v>
          </cell>
          <cell r="T16">
            <v>284</v>
          </cell>
          <cell r="U16">
            <v>266</v>
          </cell>
          <cell r="V16">
            <v>293</v>
          </cell>
          <cell r="W16">
            <v>268</v>
          </cell>
          <cell r="X16">
            <v>257</v>
          </cell>
          <cell r="Y16">
            <v>261</v>
          </cell>
          <cell r="Z16">
            <v>250</v>
          </cell>
          <cell r="AA16">
            <v>249</v>
          </cell>
          <cell r="AB16">
            <v>238</v>
          </cell>
          <cell r="AC16">
            <v>241</v>
          </cell>
          <cell r="AD16">
            <v>235</v>
          </cell>
          <cell r="AE16">
            <v>244</v>
          </cell>
          <cell r="AF16">
            <v>213.36600000000001</v>
          </cell>
          <cell r="AG16">
            <v>211.13</v>
          </cell>
          <cell r="AH16">
            <v>225.23699999999999</v>
          </cell>
          <cell r="AI16">
            <v>203.50299999999999</v>
          </cell>
          <cell r="AJ16">
            <v>213.34299999999999</v>
          </cell>
          <cell r="AK16">
            <v>207.36099999999999</v>
          </cell>
          <cell r="AL16">
            <v>199.17599999999999</v>
          </cell>
          <cell r="AM16">
            <v>206.86</v>
          </cell>
          <cell r="AN16">
            <v>197.53299999999999</v>
          </cell>
          <cell r="AO16">
            <v>204.28</v>
          </cell>
          <cell r="AP16">
            <v>197.453</v>
          </cell>
          <cell r="AQ16">
            <v>196.55600000000001</v>
          </cell>
          <cell r="AR16">
            <v>202.85599999999999</v>
          </cell>
          <cell r="AS16">
            <v>181.054</v>
          </cell>
          <cell r="AT16">
            <v>199.86799999999999</v>
          </cell>
          <cell r="AU16">
            <v>186.24100000000001</v>
          </cell>
          <cell r="AV16">
            <v>192.52199999999999</v>
          </cell>
          <cell r="AW16">
            <v>182.09800000000001</v>
          </cell>
          <cell r="AX16">
            <v>184.08500000000001</v>
          </cell>
          <cell r="AY16">
            <v>187.09100000000001</v>
          </cell>
          <cell r="AZ16">
            <v>162.30600000000001</v>
          </cell>
          <cell r="BA16">
            <v>179.2</v>
          </cell>
          <cell r="BB16">
            <v>171.321</v>
          </cell>
          <cell r="BC16">
            <v>173.959</v>
          </cell>
          <cell r="BD16">
            <v>180.827</v>
          </cell>
          <cell r="BE16">
            <v>163.46899999999999</v>
          </cell>
          <cell r="BF16">
            <v>175.529</v>
          </cell>
          <cell r="BG16">
            <v>177.23599999999999</v>
          </cell>
          <cell r="BH16">
            <v>173.2</v>
          </cell>
          <cell r="BI16">
            <v>151.14599999999999</v>
          </cell>
        </row>
        <row r="17">
          <cell r="A17" t="str">
            <v xml:space="preserve">   Generic TRx's</v>
          </cell>
          <cell r="B17">
            <v>0</v>
          </cell>
          <cell r="C17">
            <v>441</v>
          </cell>
          <cell r="D17">
            <v>935</v>
          </cell>
          <cell r="E17">
            <v>1116</v>
          </cell>
          <cell r="F17">
            <v>1108</v>
          </cell>
          <cell r="G17">
            <v>1281</v>
          </cell>
          <cell r="H17">
            <v>1319</v>
          </cell>
          <cell r="I17">
            <v>1221</v>
          </cell>
          <cell r="J17">
            <v>1376</v>
          </cell>
          <cell r="K17">
            <v>1340</v>
          </cell>
          <cell r="L17">
            <v>1334</v>
          </cell>
          <cell r="M17">
            <v>1366</v>
          </cell>
          <cell r="N17">
            <v>1362</v>
          </cell>
          <cell r="O17">
            <v>1364</v>
          </cell>
          <cell r="P17">
            <v>1369</v>
          </cell>
          <cell r="Q17">
            <v>1449</v>
          </cell>
          <cell r="R17">
            <v>1383</v>
          </cell>
          <cell r="S17">
            <v>1472</v>
          </cell>
          <cell r="T17">
            <v>1431</v>
          </cell>
          <cell r="U17">
            <v>1394</v>
          </cell>
          <cell r="V17">
            <v>1580</v>
          </cell>
          <cell r="W17">
            <v>1489</v>
          </cell>
          <cell r="X17">
            <v>1464</v>
          </cell>
          <cell r="Y17">
            <v>1525</v>
          </cell>
          <cell r="Z17">
            <v>1527</v>
          </cell>
          <cell r="AA17">
            <v>1570</v>
          </cell>
          <cell r="AB17">
            <v>1529</v>
          </cell>
          <cell r="AC17">
            <v>1581</v>
          </cell>
          <cell r="AD17">
            <v>1577</v>
          </cell>
          <cell r="AE17">
            <v>1642</v>
          </cell>
          <cell r="AF17">
            <v>1563.7670000000001</v>
          </cell>
          <cell r="AG17">
            <v>1583.4870000000001</v>
          </cell>
          <cell r="AH17">
            <v>1698.43</v>
          </cell>
          <cell r="AI17">
            <v>1576.498</v>
          </cell>
          <cell r="AJ17">
            <v>1708.2090000000001</v>
          </cell>
          <cell r="AK17">
            <v>1652.4580000000001</v>
          </cell>
          <cell r="AL17">
            <v>1639.779</v>
          </cell>
          <cell r="AM17">
            <v>1704.086</v>
          </cell>
          <cell r="AN17">
            <v>1621.7329999999999</v>
          </cell>
          <cell r="AO17">
            <v>1711.3869999999999</v>
          </cell>
          <cell r="AP17">
            <v>1660.942</v>
          </cell>
          <cell r="AQ17">
            <v>1671.704</v>
          </cell>
          <cell r="AR17">
            <v>1754.595</v>
          </cell>
          <cell r="AS17">
            <v>1588.3050000000001</v>
          </cell>
          <cell r="AT17">
            <v>1759.4559999999999</v>
          </cell>
          <cell r="AU17">
            <v>1662.595</v>
          </cell>
          <cell r="AV17">
            <v>1709.16</v>
          </cell>
          <cell r="AW17">
            <v>1634.9749999999999</v>
          </cell>
          <cell r="AX17">
            <v>1677.7</v>
          </cell>
          <cell r="AY17">
            <v>1702.2819999999999</v>
          </cell>
          <cell r="AZ17">
            <v>1587.3430000000001</v>
          </cell>
          <cell r="BA17">
            <v>1734.895</v>
          </cell>
          <cell r="BB17">
            <v>1646.9829999999999</v>
          </cell>
          <cell r="BC17">
            <v>1667.133</v>
          </cell>
          <cell r="BD17">
            <v>1724.1959999999999</v>
          </cell>
          <cell r="BE17">
            <v>1579.077</v>
          </cell>
          <cell r="BF17">
            <v>1691.87</v>
          </cell>
          <cell r="BG17">
            <v>1723.0889999999999</v>
          </cell>
          <cell r="BH17">
            <v>1727.3420000000001</v>
          </cell>
          <cell r="BI17">
            <v>1618.0809999999999</v>
          </cell>
        </row>
        <row r="18">
          <cell r="A18" t="str">
            <v xml:space="preserve">   Month-end Branded % of Molecule</v>
          </cell>
          <cell r="B18">
            <v>0.79262672811059909</v>
          </cell>
          <cell r="C18">
            <v>0.5201200637838852</v>
          </cell>
          <cell r="D18">
            <v>0.39417891017295892</v>
          </cell>
          <cell r="E18">
            <v>0.33804077573346591</v>
          </cell>
          <cell r="F18">
            <v>0.30544513266155127</v>
          </cell>
          <cell r="G18">
            <v>0.2709432565028233</v>
          </cell>
          <cell r="H18">
            <v>0.25229126800282003</v>
          </cell>
          <cell r="I18">
            <v>0.24091079460269865</v>
          </cell>
          <cell r="J18">
            <v>0.23188130112231312</v>
          </cell>
          <cell r="K18">
            <v>0.22428820453224868</v>
          </cell>
          <cell r="L18">
            <v>0.21703270355807039</v>
          </cell>
          <cell r="M18">
            <v>0.20828895129272781</v>
          </cell>
          <cell r="N18">
            <v>0.20230086770010725</v>
          </cell>
          <cell r="O18">
            <v>0.19661381875122333</v>
          </cell>
          <cell r="P18">
            <v>0.18904161174919978</v>
          </cell>
          <cell r="Q18">
            <v>0.183123351889833</v>
          </cell>
          <cell r="R18">
            <v>0.17836669485950568</v>
          </cell>
          <cell r="S18">
            <v>0.16767969126869273</v>
          </cell>
          <cell r="T18">
            <v>0.16115826260609087</v>
          </cell>
          <cell r="U18">
            <v>0.15700680272108844</v>
          </cell>
          <cell r="V18">
            <v>0.15321823981985364</v>
          </cell>
          <cell r="W18">
            <v>0.14987454159428681</v>
          </cell>
          <cell r="X18">
            <v>0.14665289644164867</v>
          </cell>
          <cell r="Y18">
            <v>0.1415987255177584</v>
          </cell>
          <cell r="Z18">
            <v>0.13750919793966151</v>
          </cell>
          <cell r="AA18">
            <v>0.13506664163694387</v>
          </cell>
          <cell r="AB18">
            <v>0.13266525696423645</v>
          </cell>
          <cell r="AC18">
            <v>0.13012313912883661</v>
          </cell>
          <cell r="AD18">
            <v>0.12942536915139655</v>
          </cell>
          <cell r="AE18">
            <v>0.12169242173795787</v>
          </cell>
          <cell r="AF18">
            <v>0.11804560614491724</v>
          </cell>
          <cell r="AG18">
            <v>0.11717520585384045</v>
          </cell>
          <cell r="AH18">
            <v>0.11481796565897415</v>
          </cell>
          <cell r="AI18">
            <v>0.11154238309005607</v>
          </cell>
          <cell r="AJ18">
            <v>0.11141496564324677</v>
          </cell>
          <cell r="AK18">
            <v>0.10884533615617181</v>
          </cell>
          <cell r="AL18">
            <v>0.10825961925399905</v>
          </cell>
          <cell r="AM18">
            <v>0.10852139984497529</v>
          </cell>
          <cell r="AN18">
            <v>0.10694645302989639</v>
          </cell>
          <cell r="AO18">
            <v>0.1063154051494507</v>
          </cell>
          <cell r="AP18">
            <v>0.1053808161740119</v>
          </cell>
          <cell r="AQ18">
            <v>0.10388524230804044</v>
          </cell>
          <cell r="AR18">
            <v>0.10256393643758202</v>
          </cell>
          <cell r="AS18">
            <v>0.10205742203059506</v>
          </cell>
          <cell r="AT18">
            <v>0.10095707557207102</v>
          </cell>
          <cell r="AU18">
            <v>0.10115577315134321</v>
          </cell>
          <cell r="AV18">
            <v>0.10039203436555792</v>
          </cell>
          <cell r="AW18">
            <v>9.909430147300044E-2</v>
          </cell>
          <cell r="AX18">
            <v>9.8998554204082712E-2</v>
          </cell>
          <cell r="AY18">
            <v>9.3876373451274531E-2</v>
          </cell>
          <cell r="AZ18">
            <v>9.3488905245207546E-2</v>
          </cell>
          <cell r="BA18">
            <v>9.4116048944107161E-2</v>
          </cell>
          <cell r="BB18">
            <v>9.4442878131280744E-2</v>
          </cell>
          <cell r="BC18">
            <v>9.4850815227982402E-2</v>
          </cell>
          <cell r="BD18">
            <v>9.4009721265883653E-2</v>
          </cell>
          <cell r="BE18">
            <v>9.3967250087345688E-2</v>
          </cell>
          <cell r="BF18">
            <v>9.338611652152376E-2</v>
          </cell>
          <cell r="BG18">
            <v>9.1487573264486172E-2</v>
          </cell>
          <cell r="BH18">
            <v>8.6438812667394768E-2</v>
          </cell>
          <cell r="BI18">
            <v>8.665459816617517E-2</v>
          </cell>
        </row>
        <row r="20">
          <cell r="A20" t="str">
            <v>VASOTEC 8/22/00</v>
          </cell>
          <cell r="B20">
            <v>22</v>
          </cell>
          <cell r="C20" t="str">
            <v>Forecasted for months 34-60</v>
          </cell>
        </row>
        <row r="21">
          <cell r="A21" t="str">
            <v xml:space="preserve">   Branded TRx's</v>
          </cell>
          <cell r="B21">
            <v>1321.56</v>
          </cell>
          <cell r="C21">
            <v>710.65700000000004</v>
          </cell>
          <cell r="D21">
            <v>519.096</v>
          </cell>
          <cell r="E21">
            <v>418.33600000000001</v>
          </cell>
          <cell r="F21">
            <v>370.46</v>
          </cell>
          <cell r="G21">
            <v>321.98099999999999</v>
          </cell>
          <cell r="H21">
            <v>261.952</v>
          </cell>
          <cell r="I21">
            <v>265.04899999999998</v>
          </cell>
          <cell r="J21">
            <v>231.816</v>
          </cell>
          <cell r="K21">
            <v>226.447</v>
          </cell>
          <cell r="L21">
            <v>206.21600000000001</v>
          </cell>
          <cell r="M21">
            <v>200.43600000000001</v>
          </cell>
          <cell r="N21">
            <v>192.72900000000001</v>
          </cell>
          <cell r="O21">
            <v>168.113</v>
          </cell>
          <cell r="P21">
            <v>175.92</v>
          </cell>
          <cell r="Q21">
            <v>159.49799999999999</v>
          </cell>
          <cell r="R21">
            <v>157.345</v>
          </cell>
          <cell r="S21">
            <v>147.16200000000001</v>
          </cell>
          <cell r="T21">
            <v>126.982</v>
          </cell>
          <cell r="U21">
            <v>132.27500000000001</v>
          </cell>
          <cell r="V21">
            <v>128.624</v>
          </cell>
          <cell r="W21">
            <v>123.018</v>
          </cell>
          <cell r="X21">
            <v>110.261</v>
          </cell>
          <cell r="Y21">
            <v>112.301</v>
          </cell>
          <cell r="Z21">
            <v>105.15600000000001</v>
          </cell>
          <cell r="AA21">
            <v>96.858999999999995</v>
          </cell>
          <cell r="AB21">
            <v>97.543999999999997</v>
          </cell>
          <cell r="AC21">
            <v>88.385999999999996</v>
          </cell>
          <cell r="AD21">
            <v>91.506</v>
          </cell>
          <cell r="AE21">
            <v>83.430999999999997</v>
          </cell>
          <cell r="AF21">
            <v>74.06</v>
          </cell>
          <cell r="AG21">
            <v>75.11</v>
          </cell>
          <cell r="AH21">
            <v>70.400999999999996</v>
          </cell>
          <cell r="AI21">
            <v>69.042000000000002</v>
          </cell>
          <cell r="AJ21" t="str">
            <v>R2 = 0.9753</v>
          </cell>
        </row>
        <row r="22">
          <cell r="A22" t="str">
            <v xml:space="preserve">   Generic TRx's</v>
          </cell>
          <cell r="B22">
            <v>35.404000000000003</v>
          </cell>
          <cell r="C22">
            <v>618.26300000000003</v>
          </cell>
          <cell r="D22">
            <v>863.726</v>
          </cell>
          <cell r="E22">
            <v>925.53599999999994</v>
          </cell>
          <cell r="F22">
            <v>993.23900000000003</v>
          </cell>
          <cell r="G22">
            <v>1085.4580000000001</v>
          </cell>
          <cell r="H22">
            <v>1016.408</v>
          </cell>
          <cell r="I22">
            <v>1140.375</v>
          </cell>
          <cell r="J22">
            <v>1102.9690000000001</v>
          </cell>
          <cell r="K22">
            <v>1171.9280000000001</v>
          </cell>
          <cell r="L22">
            <v>1144.354</v>
          </cell>
          <cell r="M22">
            <v>1181.4349999999999</v>
          </cell>
          <cell r="N22">
            <v>1205.021</v>
          </cell>
          <cell r="O22">
            <v>1126.096</v>
          </cell>
          <cell r="P22">
            <v>1240.683</v>
          </cell>
          <cell r="Q22">
            <v>1185.75</v>
          </cell>
          <cell r="R22">
            <v>1223.4780000000001</v>
          </cell>
          <cell r="S22">
            <v>1288.356</v>
          </cell>
          <cell r="T22">
            <v>1196.0029999999999</v>
          </cell>
          <cell r="U22">
            <v>1308.819</v>
          </cell>
          <cell r="V22">
            <v>1348.9970000000001</v>
          </cell>
          <cell r="W22">
            <v>1365.7159999999999</v>
          </cell>
          <cell r="X22">
            <v>1295.953</v>
          </cell>
          <cell r="Y22">
            <v>1390.838</v>
          </cell>
          <cell r="Z22">
            <v>1367.038</v>
          </cell>
          <cell r="AA22">
            <v>1304.991</v>
          </cell>
          <cell r="AB22">
            <v>1392.3610000000001</v>
          </cell>
          <cell r="AC22">
            <v>1325.26</v>
          </cell>
          <cell r="AD22">
            <v>1408.7080000000001</v>
          </cell>
          <cell r="AE22">
            <v>1408.1559999999999</v>
          </cell>
          <cell r="AF22">
            <v>1284.335</v>
          </cell>
          <cell r="AG22">
            <v>1399.88</v>
          </cell>
          <cell r="AH22">
            <v>1369.2380000000001</v>
          </cell>
          <cell r="AI22">
            <v>1394.162</v>
          </cell>
          <cell r="AJ22" t="str">
            <v>= 0.79401879054x-0.74826516038</v>
          </cell>
        </row>
        <row r="23">
          <cell r="A23" t="str">
            <v xml:space="preserve">   Month-end Branded % of Molecule</v>
          </cell>
          <cell r="B23">
            <v>0.65367069181365867</v>
          </cell>
          <cell r="C23">
            <v>0.41666097489896342</v>
          </cell>
          <cell r="D23">
            <v>0.32874468097675091</v>
          </cell>
          <cell r="E23">
            <v>0.28211396082788248</v>
          </cell>
          <cell r="F23">
            <v>0.23994464246267011</v>
          </cell>
          <cell r="G23">
            <v>0.21173350255508458</v>
          </cell>
          <cell r="H23">
            <v>0.19264701136007478</v>
          </cell>
          <cell r="I23">
            <v>0.17780305098454119</v>
          </cell>
          <cell r="J23">
            <v>0.16496005432100791</v>
          </cell>
          <cell r="K23">
            <v>0.15521758924428</v>
          </cell>
          <cell r="L23">
            <v>0.14705045090582325</v>
          </cell>
          <cell r="M23">
            <v>0.13977898776303618</v>
          </cell>
          <cell r="N23">
            <v>0.13214906377313421</v>
          </cell>
          <cell r="O23">
            <v>0.12560880049484888</v>
          </cell>
          <cell r="P23">
            <v>0.12012026891919231</v>
          </cell>
          <cell r="Q23">
            <v>0.11515711317111849</v>
          </cell>
          <cell r="R23">
            <v>0.10547823284143421</v>
          </cell>
          <cell r="S23">
            <v>9.7829962955730709E-2</v>
          </cell>
          <cell r="T23">
            <v>9.2837467545126576E-2</v>
          </cell>
          <cell r="U23">
            <v>8.8288932881773696E-2</v>
          </cell>
          <cell r="V23">
            <v>8.3803609332585141E-2</v>
          </cell>
          <cell r="W23">
            <v>7.9583621376548591E-2</v>
          </cell>
          <cell r="X23">
            <v>7.5649888297892751E-2</v>
          </cell>
          <cell r="Y23">
            <v>7.2316945929357335E-2</v>
          </cell>
          <cell r="Z23">
            <v>6.9738805805550169E-2</v>
          </cell>
          <cell r="AA23">
            <v>6.639372750621636E-2</v>
          </cell>
          <cell r="AB23">
            <v>6.3339811952974195E-2</v>
          </cell>
          <cell r="AC23">
            <v>6.1385287082538209E-2</v>
          </cell>
          <cell r="AD23">
            <v>5.7289676380368304E-2</v>
          </cell>
          <cell r="AE23">
            <v>5.4923758266477968E-2</v>
          </cell>
          <cell r="AF23">
            <v>5.18249904079097E-2</v>
          </cell>
          <cell r="AG23">
            <v>4.9450291863876075E-2</v>
          </cell>
          <cell r="AH23">
            <v>4.7637756362737836E-2</v>
          </cell>
          <cell r="AI23">
            <v>4.6783466626849277E-2</v>
          </cell>
          <cell r="AJ23">
            <v>4.6003349461288603E-2</v>
          </cell>
          <cell r="AK23">
            <v>4.5252963424836666E-2</v>
          </cell>
          <cell r="AL23">
            <v>4.4530565295050291E-2</v>
          </cell>
          <cell r="AM23">
            <v>4.3834548339806351E-2</v>
          </cell>
          <cell r="AN23">
            <v>4.3163429056163327E-2</v>
          </cell>
          <cell r="AO23">
            <v>4.2515835437733178E-2</v>
          </cell>
          <cell r="AP23">
            <v>4.1890496567799418E-2</v>
          </cell>
          <cell r="AQ23">
            <v>4.1286233365704444E-2</v>
          </cell>
          <cell r="AR23">
            <v>4.0701950339306903E-2</v>
          </cell>
          <cell r="AS23">
            <v>4.0136628217481006E-2</v>
          </cell>
          <cell r="AT23">
            <v>3.9589317354426876E-2</v>
          </cell>
          <cell r="AU23">
            <v>3.9059131812570071E-2</v>
          </cell>
          <cell r="AV23">
            <v>3.8545244043529686E-2</v>
          </cell>
          <cell r="AW23">
            <v>3.8046880097415262E-2</v>
          </cell>
          <cell r="AX23">
            <v>3.7563315299891174E-2</v>
          </cell>
          <cell r="AY23">
            <v>3.7093870344285622E-2</v>
          </cell>
          <cell r="AZ23">
            <v>3.6637907752730889E-2</v>
          </cell>
          <cell r="BA23">
            <v>3.6194828666086067E-2</v>
          </cell>
          <cell r="BB23">
            <v>3.576406992735167E-2</v>
          </cell>
          <cell r="BC23">
            <v>3.5345101427567929E-2</v>
          </cell>
          <cell r="BD23">
            <v>3.4937423686891948E-2</v>
          </cell>
          <cell r="BE23">
            <v>3.4540565646760467E-2</v>
          </cell>
          <cell r="BF23">
            <v>3.4154082651836816E-2</v>
          </cell>
          <cell r="BG23">
            <v>3.377755460287233E-2</v>
          </cell>
          <cell r="BH23">
            <v>3.3410584263735846E-2</v>
          </cell>
          <cell r="BI23">
            <v>3.3052795707720906E-2</v>
          </cell>
        </row>
        <row r="25">
          <cell r="A25" t="str">
            <v>CARDURA 10/18/00</v>
          </cell>
          <cell r="B25">
            <v>18</v>
          </cell>
          <cell r="C25" t="str">
            <v>Forecasted for months 32-60</v>
          </cell>
        </row>
        <row r="26">
          <cell r="A26" t="str">
            <v xml:space="preserve">   Branded TRx's</v>
          </cell>
          <cell r="B26">
            <v>958.21900000000005</v>
          </cell>
          <cell r="C26">
            <v>515.93600000000004</v>
          </cell>
          <cell r="D26">
            <v>377.78899999999999</v>
          </cell>
          <cell r="E26">
            <v>316.16800000000001</v>
          </cell>
          <cell r="F26">
            <v>246.67099999999999</v>
          </cell>
          <cell r="G26">
            <v>241.803</v>
          </cell>
          <cell r="H26">
            <v>208.67599999999999</v>
          </cell>
          <cell r="I26">
            <v>194.083</v>
          </cell>
          <cell r="J26">
            <v>166.535</v>
          </cell>
          <cell r="K26">
            <v>157.142</v>
          </cell>
          <cell r="L26">
            <v>145.84399999999999</v>
          </cell>
          <cell r="M26">
            <v>126.878</v>
          </cell>
          <cell r="N26">
            <v>129.6</v>
          </cell>
          <cell r="O26">
            <v>116.45399999999999</v>
          </cell>
          <cell r="P26">
            <v>114.949</v>
          </cell>
          <cell r="Q26">
            <v>103.848</v>
          </cell>
          <cell r="R26">
            <v>87.372</v>
          </cell>
          <cell r="S26">
            <v>89.826999999999998</v>
          </cell>
          <cell r="T26">
            <v>86.12</v>
          </cell>
          <cell r="U26">
            <v>81.572999999999993</v>
          </cell>
          <cell r="V26">
            <v>73.228999999999999</v>
          </cell>
          <cell r="W26">
            <v>74.2</v>
          </cell>
          <cell r="X26">
            <v>70.266000000000005</v>
          </cell>
          <cell r="Y26">
            <v>63.923999999999999</v>
          </cell>
          <cell r="Z26">
            <v>65.91</v>
          </cell>
          <cell r="AA26">
            <v>59.588999999999999</v>
          </cell>
          <cell r="AB26">
            <v>62.034999999999997</v>
          </cell>
          <cell r="AC26">
            <v>56.097000000000001</v>
          </cell>
          <cell r="AD26">
            <v>49.204000000000001</v>
          </cell>
          <cell r="AE26">
            <v>52.030999999999999</v>
          </cell>
          <cell r="AF26">
            <v>48.204000000000001</v>
          </cell>
          <cell r="AG26">
            <v>48.048999999999999</v>
          </cell>
          <cell r="AH26" t="str">
            <v>R2 = 0.9918</v>
          </cell>
        </row>
        <row r="27">
          <cell r="A27" t="str">
            <v xml:space="preserve">   Generic TRx's</v>
          </cell>
          <cell r="B27">
            <v>44.939</v>
          </cell>
          <cell r="C27">
            <v>476.60899999999998</v>
          </cell>
          <cell r="D27">
            <v>650.49400000000003</v>
          </cell>
          <cell r="E27">
            <v>733.18600000000004</v>
          </cell>
          <cell r="F27">
            <v>697.62300000000005</v>
          </cell>
          <cell r="G27">
            <v>792.26400000000001</v>
          </cell>
          <cell r="H27">
            <v>770.827</v>
          </cell>
          <cell r="I27">
            <v>816.26800000000003</v>
          </cell>
          <cell r="J27">
            <v>772.91800000000001</v>
          </cell>
          <cell r="K27">
            <v>792.53599999999994</v>
          </cell>
          <cell r="L27">
            <v>797.18499999999995</v>
          </cell>
          <cell r="M27">
            <v>739</v>
          </cell>
          <cell r="N27">
            <v>806.947</v>
          </cell>
          <cell r="O27">
            <v>758.37699999999995</v>
          </cell>
          <cell r="P27">
            <v>785.68600000000004</v>
          </cell>
          <cell r="Q27">
            <v>794.54300000000001</v>
          </cell>
          <cell r="R27">
            <v>720.84299999999996</v>
          </cell>
          <cell r="S27">
            <v>775.56600000000003</v>
          </cell>
          <cell r="T27">
            <v>789.50400000000002</v>
          </cell>
          <cell r="U27">
            <v>784.58799999999997</v>
          </cell>
          <cell r="V27">
            <v>728.08299999999997</v>
          </cell>
          <cell r="W27">
            <v>778.096</v>
          </cell>
          <cell r="X27">
            <v>756.83</v>
          </cell>
          <cell r="Y27">
            <v>721.99400000000003</v>
          </cell>
          <cell r="Z27">
            <v>767.17399999999998</v>
          </cell>
          <cell r="AA27">
            <v>725.02300000000002</v>
          </cell>
          <cell r="AB27">
            <v>772.67100000000005</v>
          </cell>
          <cell r="AC27">
            <v>759.57</v>
          </cell>
          <cell r="AD27">
            <v>687.96400000000006</v>
          </cell>
          <cell r="AE27">
            <v>742.45100000000002</v>
          </cell>
          <cell r="AF27">
            <v>722.303</v>
          </cell>
          <cell r="AG27">
            <v>728.71699999999998</v>
          </cell>
          <cell r="AH27" t="str">
            <v>= 0.74948443447x-0.69936275431</v>
          </cell>
        </row>
        <row r="28">
          <cell r="A28" t="str">
            <v xml:space="preserve">   Month-end Branded % of Molecule</v>
          </cell>
          <cell r="B28">
            <v>0.6950802686463009</v>
          </cell>
          <cell r="C28">
            <v>0.4270739746572888</v>
          </cell>
          <cell r="D28">
            <v>0.32741667608136454</v>
          </cell>
          <cell r="E28">
            <v>0.27827718849296063</v>
          </cell>
          <cell r="F28">
            <v>0.24420006536040692</v>
          </cell>
          <cell r="G28">
            <v>0.22163233927404052</v>
          </cell>
          <cell r="H28">
            <v>0.20031847318839316</v>
          </cell>
          <cell r="I28">
            <v>0.18345935296124602</v>
          </cell>
          <cell r="J28">
            <v>0.17015782772201002</v>
          </cell>
          <cell r="K28">
            <v>0.1589986386639323</v>
          </cell>
          <cell r="L28">
            <v>0.1499483015336468</v>
          </cell>
          <cell r="M28">
            <v>0.14148862123262951</v>
          </cell>
          <cell r="N28">
            <v>0.13530855545429138</v>
          </cell>
          <cell r="O28">
            <v>0.12978688178791872</v>
          </cell>
          <cell r="P28">
            <v>0.12041562630728335</v>
          </cell>
          <cell r="Q28">
            <v>0.11129222416969428</v>
          </cell>
          <cell r="R28">
            <v>0.10545127734380286</v>
          </cell>
          <cell r="S28">
            <v>0.10051591933098007</v>
          </cell>
          <cell r="T28">
            <v>9.5858571484075686E-2</v>
          </cell>
          <cell r="U28">
            <v>9.2555396689471506E-2</v>
          </cell>
          <cell r="V28">
            <v>8.8726273659025384E-2</v>
          </cell>
          <cell r="W28">
            <v>8.581182451479738E-2</v>
          </cell>
          <cell r="X28">
            <v>8.2828632289666915E-2</v>
          </cell>
          <cell r="Y28">
            <v>7.9973216005156361E-2</v>
          </cell>
          <cell r="Z28">
            <v>7.7260370885203086E-2</v>
          </cell>
          <cell r="AA28">
            <v>7.494656721679642E-2</v>
          </cell>
          <cell r="AB28">
            <v>7.1023242808726905E-2</v>
          </cell>
          <cell r="AC28">
            <v>6.7607846076259276E-2</v>
          </cell>
          <cell r="AD28">
            <v>6.5970809133331018E-2</v>
          </cell>
          <cell r="AE28">
            <v>6.3754635641465107E-2</v>
          </cell>
          <cell r="AF28">
            <v>6.2137848873973486E-2</v>
          </cell>
          <cell r="AG28">
            <v>6.1142418627524668E-2</v>
          </cell>
          <cell r="AH28">
            <v>5.9981972123639551E-2</v>
          </cell>
          <cell r="AI28">
            <v>5.8873629488316682E-2</v>
          </cell>
          <cell r="AJ28">
            <v>5.7813770197786989E-2</v>
          </cell>
          <cell r="AK28">
            <v>5.6799109858274154E-2</v>
          </cell>
          <cell r="AL28">
            <v>5.5826661533957801E-2</v>
          </cell>
          <cell r="AM28">
            <v>5.4893702342089623E-2</v>
          </cell>
          <cell r="AN28">
            <v>5.3997744491672078E-2</v>
          </cell>
          <cell r="AO28">
            <v>5.3136510086736734E-2</v>
          </cell>
          <cell r="AP28">
            <v>5.2307909131832343E-2</v>
          </cell>
          <cell r="AQ28">
            <v>5.151002027178242E-2</v>
          </cell>
          <cell r="AR28">
            <v>5.0741073874683164E-2</v>
          </cell>
          <cell r="AS28">
            <v>4.9999437130038009E-2</v>
          </cell>
          <cell r="AT28">
            <v>4.9283600885644756E-2</v>
          </cell>
          <cell r="AU28">
            <v>4.8592167989541787E-2</v>
          </cell>
          <cell r="AV28">
            <v>4.792384293870907E-2</v>
          </cell>
          <cell r="AW28">
            <v>4.7277422665668332E-2</v>
          </cell>
          <cell r="AX28">
            <v>4.6651788318728585E-2</v>
          </cell>
          <cell r="AY28">
            <v>4.6045897912250479E-2</v>
          </cell>
          <cell r="AZ28">
            <v>4.5458779740657491E-2</v>
          </cell>
          <cell r="BA28">
            <v>4.4889526464573996E-2</v>
          </cell>
          <cell r="BB28">
            <v>4.4337289789879532E-2</v>
          </cell>
          <cell r="BC28">
            <v>4.3801275671011129E-2</v>
          </cell>
          <cell r="BD28">
            <v>4.3280739978831084E-2</v>
          </cell>
          <cell r="BE28">
            <v>4.2774984581055248E-2</v>
          </cell>
          <cell r="BF28">
            <v>4.228335378981702E-2</v>
          </cell>
          <cell r="BG28">
            <v>4.1805231136599265E-2</v>
          </cell>
          <cell r="BH28">
            <v>4.1340036439635609E-2</v>
          </cell>
          <cell r="BI28">
            <v>4.0887223133093689E-2</v>
          </cell>
        </row>
        <row r="30">
          <cell r="A30" t="str">
            <v>PEPCID 4/15/01</v>
          </cell>
          <cell r="B30">
            <v>15</v>
          </cell>
          <cell r="C30" t="str">
            <v>Forecasted for months 26-60</v>
          </cell>
        </row>
        <row r="31">
          <cell r="A31" t="str">
            <v xml:space="preserve">   Branded TRx's</v>
          </cell>
          <cell r="B31">
            <v>574.03600000000006</v>
          </cell>
          <cell r="C31">
            <v>293.10000000000002</v>
          </cell>
          <cell r="D31">
            <v>183.41</v>
          </cell>
          <cell r="E31">
            <v>140.047</v>
          </cell>
          <cell r="F31">
            <v>118.348</v>
          </cell>
          <cell r="G31">
            <v>94.828999999999994</v>
          </cell>
          <cell r="H31">
            <v>94.265999999999991</v>
          </cell>
          <cell r="I31">
            <v>82.272999999999996</v>
          </cell>
          <cell r="J31">
            <v>78.878</v>
          </cell>
          <cell r="K31">
            <v>70.634</v>
          </cell>
          <cell r="L31">
            <v>58.056000000000004</v>
          </cell>
          <cell r="M31">
            <v>59.138999999999996</v>
          </cell>
          <cell r="N31">
            <v>54.892999999999994</v>
          </cell>
          <cell r="O31">
            <v>52.558</v>
          </cell>
          <cell r="P31">
            <v>48.529000000000003</v>
          </cell>
          <cell r="Q31">
            <v>48.827999999999996</v>
          </cell>
          <cell r="R31">
            <v>46.024999999999999</v>
          </cell>
          <cell r="S31">
            <v>42.443000000000005</v>
          </cell>
          <cell r="T31">
            <v>42.917000000000002</v>
          </cell>
          <cell r="U31">
            <v>39.351000000000006</v>
          </cell>
          <cell r="V31">
            <v>40.698999999999998</v>
          </cell>
          <cell r="W31">
            <v>38.749000000000002</v>
          </cell>
          <cell r="X31">
            <v>33.748999999999995</v>
          </cell>
          <cell r="Y31">
            <v>35.341999999999999</v>
          </cell>
          <cell r="Z31">
            <v>32.942999999999998</v>
          </cell>
          <cell r="AA31">
            <v>32.14</v>
          </cell>
          <cell r="AB31" t="str">
            <v>R2 = 0.9955</v>
          </cell>
        </row>
        <row r="32">
          <cell r="A32" t="str">
            <v xml:space="preserve">   Generic TRx's</v>
          </cell>
          <cell r="B32">
            <v>59.12</v>
          </cell>
          <cell r="C32">
            <v>379.79700000000003</v>
          </cell>
          <cell r="D32">
            <v>467.77499999999998</v>
          </cell>
          <cell r="E32">
            <v>524.54899999999998</v>
          </cell>
          <cell r="F32">
            <v>559.18299999999999</v>
          </cell>
          <cell r="G32">
            <v>531.56700000000001</v>
          </cell>
          <cell r="H32">
            <v>592.29700000000003</v>
          </cell>
          <cell r="I32">
            <v>571.16899999999998</v>
          </cell>
          <cell r="J32">
            <v>577.95799999999997</v>
          </cell>
          <cell r="K32">
            <v>615.47299999999996</v>
          </cell>
          <cell r="L32">
            <v>572.87599999999998</v>
          </cell>
          <cell r="M32">
            <v>615.75199999999995</v>
          </cell>
          <cell r="N32">
            <v>621.19299999999998</v>
          </cell>
          <cell r="O32">
            <v>618.83399999999995</v>
          </cell>
          <cell r="P32">
            <v>579.52599999999995</v>
          </cell>
          <cell r="Q32">
            <v>618.101</v>
          </cell>
          <cell r="R32">
            <v>612.346</v>
          </cell>
          <cell r="S32">
            <v>578.42100000000005</v>
          </cell>
          <cell r="T32">
            <v>607.79999999999995</v>
          </cell>
          <cell r="U32">
            <v>581.49</v>
          </cell>
          <cell r="V32">
            <v>613.08900000000006</v>
          </cell>
          <cell r="W32">
            <v>618.12800000000004</v>
          </cell>
          <cell r="X32">
            <v>563.03800000000001</v>
          </cell>
          <cell r="Y32">
            <v>615.85699999999997</v>
          </cell>
          <cell r="Z32">
            <v>601.38</v>
          </cell>
          <cell r="AA32">
            <v>605.11800000000005</v>
          </cell>
          <cell r="AB32" t="str">
            <v>= 0.59089556740x-0.76280190096</v>
          </cell>
        </row>
        <row r="33">
          <cell r="A33" t="str">
            <v xml:space="preserve">   Month-end Branded % of Molecule</v>
          </cell>
          <cell r="B33">
            <v>0.66393630273809723</v>
          </cell>
          <cell r="C33">
            <v>0.35987952407781393</v>
          </cell>
          <cell r="D33">
            <v>0.24582890313813618</v>
          </cell>
          <cell r="E33">
            <v>0.19252648966901048</v>
          </cell>
          <cell r="F33">
            <v>0.16348844682255984</v>
          </cell>
          <cell r="G33">
            <v>0.14402201439648915</v>
          </cell>
          <cell r="H33">
            <v>0.13174503080212388</v>
          </cell>
          <cell r="I33">
            <v>0.12298993038118629</v>
          </cell>
          <cell r="J33">
            <v>0.11133160528778958</v>
          </cell>
          <cell r="K33">
            <v>9.7711609147489178E-2</v>
          </cell>
          <cell r="L33">
            <v>8.9747998005855298E-2</v>
          </cell>
          <cell r="M33">
            <v>8.4407062444438352E-2</v>
          </cell>
          <cell r="N33">
            <v>7.9742303770451176E-2</v>
          </cell>
          <cell r="O33">
            <v>7.7792322426386007E-2</v>
          </cell>
          <cell r="P33">
            <v>7.5180079444997008E-2</v>
          </cell>
          <cell r="Q33">
            <v>7.15709650645137E-2</v>
          </cell>
          <cell r="R33">
            <v>6.9156957087634405E-2</v>
          </cell>
          <cell r="S33">
            <v>6.7129030710587845E-2</v>
          </cell>
          <cell r="T33">
            <v>6.4698582369030755E-2</v>
          </cell>
          <cell r="U33">
            <v>6.2802588047188634E-2</v>
          </cell>
          <cell r="V33">
            <v>6.0616557243841872E-2</v>
          </cell>
          <cell r="W33">
            <v>5.7828891951910551E-2</v>
          </cell>
          <cell r="X33">
            <v>5.5361999253196736E-2</v>
          </cell>
          <cell r="Y33">
            <v>5.3118499722291809E-2</v>
          </cell>
          <cell r="Z33">
            <v>5.1182740226536884E-2</v>
          </cell>
          <cell r="AA33">
            <v>5.0717686642164056E-2</v>
          </cell>
          <cell r="AB33">
            <v>4.9222806565436872E-2</v>
          </cell>
          <cell r="AC33">
            <v>4.7825963918597426E-2</v>
          </cell>
          <cell r="AD33">
            <v>4.6517443074533496E-2</v>
          </cell>
          <cell r="AE33">
            <v>4.5288794355872762E-2</v>
          </cell>
          <cell r="AF33">
            <v>4.4132632226977747E-2</v>
          </cell>
          <cell r="AG33">
            <v>4.3042471151330725E-2</v>
          </cell>
          <cell r="AH33">
            <v>4.2012591123229685E-2</v>
          </cell>
          <cell r="AI33">
            <v>4.103792676963422E-2</v>
          </cell>
          <cell r="AJ33">
            <v>4.0113975316806126E-2</v>
          </cell>
          <cell r="AK33">
            <v>3.92367197637278E-2</v>
          </cell>
          <cell r="AL33">
            <v>3.8402564395799324E-2</v>
          </cell>
          <cell r="AM33">
            <v>3.7608280375742285E-2</v>
          </cell>
          <cell r="AN33">
            <v>3.6850959612458593E-2</v>
          </cell>
          <cell r="AO33">
            <v>3.6127975467864976E-2</v>
          </cell>
          <cell r="AP33">
            <v>3.5436949142045544E-2</v>
          </cell>
          <cell r="AQ33">
            <v>3.4775720797293228E-2</v>
          </cell>
          <cell r="AR33">
            <v>3.4142324655754522E-2</v>
          </cell>
          <cell r="AS33">
            <v>3.3534967443945622E-2</v>
          </cell>
          <cell r="AT33">
            <v>3.2952009668291336E-2</v>
          </cell>
          <cell r="AU33">
            <v>3.2391949295067751E-2</v>
          </cell>
          <cell r="AV33">
            <v>3.1853407480318244E-2</v>
          </cell>
          <cell r="AW33">
            <v>3.133511605400472E-2</v>
          </cell>
          <cell r="AX33">
            <v>3.0835906510606578E-2</v>
          </cell>
          <cell r="AY33">
            <v>3.0354700297734623E-2</v>
          </cell>
          <cell r="AZ33">
            <v>2.989050022676594E-2</v>
          </cell>
          <cell r="BA33">
            <v>2.9442382856359386E-2</v>
          </cell>
          <cell r="BB33">
            <v>2.9009491722027599E-2</v>
          </cell>
          <cell r="BC33">
            <v>2.859103130356043E-2</v>
          </cell>
          <cell r="BD33">
            <v>2.8186261637684579E-2</v>
          </cell>
          <cell r="BE33">
            <v>2.779449349644553E-2</v>
          </cell>
          <cell r="BF33">
            <v>2.7415084062844139E-2</v>
          </cell>
          <cell r="BG33">
            <v>2.7047433044604784E-2</v>
          </cell>
          <cell r="BH33">
            <v>2.6690979174881606E-2</v>
          </cell>
          <cell r="BI33">
            <v>2.6345197055459346E-2</v>
          </cell>
        </row>
        <row r="35">
          <cell r="A35" t="str">
            <v>PROZAC 8/2/01</v>
          </cell>
          <cell r="B35">
            <v>2</v>
          </cell>
          <cell r="C35" t="str">
            <v>Forecasted for months 22-60</v>
          </cell>
        </row>
        <row r="36">
          <cell r="A36" t="str">
            <v xml:space="preserve">   Branded TRx's</v>
          </cell>
          <cell r="B36">
            <v>1176.2449999999999</v>
          </cell>
          <cell r="C36">
            <v>582.67499999999995</v>
          </cell>
          <cell r="D36">
            <v>516.56799999999998</v>
          </cell>
          <cell r="E36">
            <v>435.44099999999997</v>
          </cell>
          <cell r="F36">
            <v>408.476</v>
          </cell>
          <cell r="G36">
            <v>371.87799999999999</v>
          </cell>
          <cell r="H36">
            <v>308.55799999999999</v>
          </cell>
          <cell r="I36">
            <v>307.24700000000001</v>
          </cell>
          <cell r="J36">
            <v>289.3</v>
          </cell>
          <cell r="K36">
            <v>275.83300000000003</v>
          </cell>
          <cell r="L36">
            <v>248.92</v>
          </cell>
          <cell r="M36">
            <v>252.89</v>
          </cell>
          <cell r="N36">
            <v>237.244</v>
          </cell>
          <cell r="O36">
            <v>219.20099999999999</v>
          </cell>
          <cell r="P36">
            <v>222.887</v>
          </cell>
          <cell r="Q36">
            <v>206.48</v>
          </cell>
          <cell r="R36">
            <v>210.60499999999999</v>
          </cell>
          <cell r="S36">
            <v>180.77699999999999</v>
          </cell>
          <cell r="T36">
            <v>154.51900000000001</v>
          </cell>
          <cell r="U36">
            <v>162.34299999999999</v>
          </cell>
          <cell r="V36">
            <v>153.209</v>
          </cell>
          <cell r="W36">
            <v>152.15199999999999</v>
          </cell>
          <cell r="X36" t="str">
            <v>R2 = 0.9833</v>
          </cell>
        </row>
        <row r="37">
          <cell r="A37" t="str">
            <v xml:space="preserve">   Generic TRx's</v>
          </cell>
          <cell r="B37">
            <v>1070.8810000000001</v>
          </cell>
          <cell r="C37">
            <v>1547.3820000000001</v>
          </cell>
          <cell r="D37">
            <v>1815.172</v>
          </cell>
          <cell r="E37">
            <v>1768.17</v>
          </cell>
          <cell r="F37">
            <v>1829.816</v>
          </cell>
          <cell r="G37">
            <v>1939.3630000000001</v>
          </cell>
          <cell r="H37">
            <v>1769.1759999999999</v>
          </cell>
          <cell r="I37">
            <v>1946.3150000000001</v>
          </cell>
          <cell r="J37">
            <v>1991.415</v>
          </cell>
          <cell r="K37">
            <v>2000.2339999999999</v>
          </cell>
          <cell r="L37">
            <v>1883.163</v>
          </cell>
          <cell r="M37">
            <v>2009.5530000000001</v>
          </cell>
          <cell r="N37">
            <v>1982.239</v>
          </cell>
          <cell r="O37">
            <v>1899.384</v>
          </cell>
          <cell r="P37">
            <v>2007.93</v>
          </cell>
          <cell r="Q37">
            <v>1915.3330000000001</v>
          </cell>
          <cell r="R37">
            <v>2026.8710000000001</v>
          </cell>
          <cell r="S37">
            <v>2060.8429999999998</v>
          </cell>
          <cell r="T37">
            <v>1874.703</v>
          </cell>
          <cell r="U37">
            <v>2044.4079999999999</v>
          </cell>
          <cell r="V37">
            <v>2000.9269999999999</v>
          </cell>
          <cell r="W37">
            <v>2041.9549999999999</v>
          </cell>
          <cell r="X37" t="str">
            <v>= 0.45517246722x-0.58287638336</v>
          </cell>
        </row>
        <row r="38">
          <cell r="A38" t="str">
            <v xml:space="preserve">   Month-end Branded % of Molecule</v>
          </cell>
          <cell r="B38">
            <v>0.50759737600268839</v>
          </cell>
          <cell r="C38">
            <v>0.26977708571559733</v>
          </cell>
          <cell r="D38">
            <v>0.22002408691168848</v>
          </cell>
          <cell r="E38">
            <v>0.19658134949765246</v>
          </cell>
          <cell r="F38">
            <v>0.18101115841914228</v>
          </cell>
          <cell r="G38">
            <v>0.16015195886709574</v>
          </cell>
          <cell r="H38">
            <v>0.14763202464386424</v>
          </cell>
          <cell r="I38">
            <v>0.13569845958610885</v>
          </cell>
          <cell r="J38">
            <v>0.12646972057041209</v>
          </cell>
          <cell r="K38">
            <v>0.12091006444358758</v>
          </cell>
          <cell r="L38">
            <v>0.11639935157398702</v>
          </cell>
          <cell r="M38">
            <v>0.11145745881570562</v>
          </cell>
          <cell r="N38">
            <v>0.10667289278738823</v>
          </cell>
          <cell r="O38">
            <v>0.1032172173177222</v>
          </cell>
          <cell r="P38">
            <v>9.9747337973140907E-2</v>
          </cell>
          <cell r="Q38">
            <v>9.7089778253404868E-2</v>
          </cell>
          <cell r="R38">
            <v>9.32258989407347E-2</v>
          </cell>
          <cell r="S38">
            <v>8.0372467272291165E-2</v>
          </cell>
          <cell r="T38">
            <v>7.5960926002435536E-2</v>
          </cell>
          <cell r="U38">
            <v>7.3407264744550837E-2</v>
          </cell>
          <cell r="V38">
            <v>7.1002634117551464E-2</v>
          </cell>
          <cell r="W38">
            <v>6.9718778239469287E-2</v>
          </cell>
          <cell r="X38">
            <v>6.8143029368185601E-2</v>
          </cell>
          <cell r="Y38">
            <v>6.6660389994437602E-2</v>
          </cell>
          <cell r="Z38">
            <v>6.5262205257058239E-2</v>
          </cell>
          <cell r="AA38">
            <v>6.3940897547925993E-2</v>
          </cell>
          <cell r="AB38">
            <v>6.2689800756616385E-2</v>
          </cell>
          <cell r="AC38">
            <v>6.1503024576596774E-2</v>
          </cell>
          <cell r="AD38">
            <v>6.0375342646467683E-2</v>
          </cell>
          <cell r="AE38">
            <v>5.9302099740059497E-2</v>
          </cell>
          <cell r="AF38">
            <v>5.8279134293542742E-2</v>
          </cell>
          <cell r="AG38">
            <v>5.7302713366939782E-2</v>
          </cell>
          <cell r="AH38">
            <v>5.6369477752543272E-2</v>
          </cell>
          <cell r="AI38">
            <v>5.5476395414324725E-2</v>
          </cell>
          <cell r="AJ38">
            <v>5.4620721806867022E-2</v>
          </cell>
          <cell r="AK38">
            <v>5.3799965906146968E-2</v>
          </cell>
          <cell r="AL38">
            <v>5.3011861007058798E-2</v>
          </cell>
          <cell r="AM38">
            <v>5.2254339518294564E-2</v>
          </cell>
          <cell r="AN38">
            <v>5.1525511124824619E-2</v>
          </cell>
          <cell r="AO38">
            <v>5.0823643799838662E-2</v>
          </cell>
          <cell r="AP38">
            <v>5.0147147237742322E-2</v>
          </cell>
          <cell r="AQ38">
            <v>4.9494558352343336E-2</v>
          </cell>
          <cell r="AR38">
            <v>4.8864528543299535E-2</v>
          </cell>
          <cell r="AS38">
            <v>4.8255812482027774E-2</v>
          </cell>
          <cell r="AT38">
            <v>4.7667258207754512E-2</v>
          </cell>
          <cell r="AU38">
            <v>4.7097798356924514E-2</v>
          </cell>
          <cell r="AV38">
            <v>4.6546442376110275E-2</v>
          </cell>
          <cell r="AW38">
            <v>4.6012269590940909E-2</v>
          </cell>
          <cell r="AX38">
            <v>4.5494423022235483E-2</v>
          </cell>
          <cell r="AY38">
            <v>4.4992103856158573E-2</v>
          </cell>
          <cell r="AZ38">
            <v>4.4504566488351986E-2</v>
          </cell>
          <cell r="BA38">
            <v>4.4031114073076659E-2</v>
          </cell>
          <cell r="BB38">
            <v>4.3571094517772579E-2</v>
          </cell>
          <cell r="BC38">
            <v>4.3123896871402445E-2</v>
          </cell>
          <cell r="BD38">
            <v>4.2688948061720418E-2</v>
          </cell>
          <cell r="BE38">
            <v>4.2265709942393877E-2</v>
          </cell>
          <cell r="BF38">
            <v>4.1853676615861091E-2</v>
          </cell>
          <cell r="BG38">
            <v>4.1452372002064461E-2</v>
          </cell>
          <cell r="BH38">
            <v>4.1061347626863538E-2</v>
          </cell>
          <cell r="BI38">
            <v>4.0680180607094878E-2</v>
          </cell>
        </row>
        <row r="40">
          <cell r="A40" t="str">
            <v>MEVACOR 12/15/01</v>
          </cell>
          <cell r="B40">
            <v>15</v>
          </cell>
          <cell r="C40" t="str">
            <v>Forecasted for months 18-60</v>
          </cell>
        </row>
        <row r="41">
          <cell r="A41" t="str">
            <v xml:space="preserve">   Branded TRx's</v>
          </cell>
          <cell r="B41">
            <v>151.43</v>
          </cell>
          <cell r="C41">
            <v>81.44</v>
          </cell>
          <cell r="D41">
            <v>56.701000000000001</v>
          </cell>
          <cell r="E41">
            <v>51.098999999999997</v>
          </cell>
          <cell r="F41">
            <v>42.82</v>
          </cell>
          <cell r="G41">
            <v>37.920999999999999</v>
          </cell>
          <cell r="H41">
            <v>31.747</v>
          </cell>
          <cell r="I41">
            <v>30.692</v>
          </cell>
          <cell r="J41">
            <v>27.026</v>
          </cell>
          <cell r="K41">
            <v>23.849</v>
          </cell>
          <cell r="L41">
            <v>24.084</v>
          </cell>
          <cell r="M41">
            <v>21.477</v>
          </cell>
          <cell r="N41">
            <v>21.048999999999999</v>
          </cell>
          <cell r="O41">
            <v>19.702999999999999</v>
          </cell>
          <cell r="P41">
            <v>17.46</v>
          </cell>
          <cell r="Q41">
            <v>18.433</v>
          </cell>
          <cell r="R41">
            <v>16.870999999999999</v>
          </cell>
          <cell r="S41">
            <v>16.355</v>
          </cell>
          <cell r="T41" t="str">
            <v>R2 = 0.9691</v>
          </cell>
        </row>
        <row r="42">
          <cell r="A42" t="str">
            <v xml:space="preserve">   Generic TRx's</v>
          </cell>
          <cell r="B42">
            <v>9.7439999999999998</v>
          </cell>
          <cell r="C42">
            <v>103.503</v>
          </cell>
          <cell r="D42">
            <v>103.121</v>
          </cell>
          <cell r="E42">
            <v>132.149</v>
          </cell>
          <cell r="F42">
            <v>163.30099999999999</v>
          </cell>
          <cell r="G42">
            <v>178.71299999999999</v>
          </cell>
          <cell r="H42">
            <v>178.78100000000001</v>
          </cell>
          <cell r="I42">
            <v>190.23099999999999</v>
          </cell>
          <cell r="J42">
            <v>197.21100000000001</v>
          </cell>
          <cell r="K42">
            <v>199.31200000000001</v>
          </cell>
          <cell r="L42">
            <v>246.36</v>
          </cell>
          <cell r="M42">
            <v>225.60300000000001</v>
          </cell>
          <cell r="N42">
            <v>256.565</v>
          </cell>
          <cell r="O42">
            <v>286.35500000000002</v>
          </cell>
          <cell r="P42">
            <v>287.459</v>
          </cell>
          <cell r="Q42">
            <v>354.72800000000001</v>
          </cell>
          <cell r="R42">
            <v>381.05099999999999</v>
          </cell>
          <cell r="S42">
            <v>405.79500000000002</v>
          </cell>
          <cell r="T42" t="str">
            <v>= 0.85295198331x-0.97807344963</v>
          </cell>
        </row>
        <row r="43">
          <cell r="A43" t="str">
            <v xml:space="preserve">   Month-end Branded % of Molecule</v>
          </cell>
          <cell r="B43">
            <v>0.67280717214121255</v>
          </cell>
          <cell r="C43">
            <v>0.40068162371470423</v>
          </cell>
          <cell r="D43">
            <v>0.31422158743113654</v>
          </cell>
          <cell r="E43">
            <v>0.24120821123407357</v>
          </cell>
          <cell r="F43">
            <v>0.19098768790434176</v>
          </cell>
          <cell r="G43">
            <v>0.16309503186144833</v>
          </cell>
          <cell r="H43">
            <v>0.14471863548815508</v>
          </cell>
          <cell r="I43">
            <v>0.12965675262826848</v>
          </cell>
          <cell r="J43">
            <v>0.11371306979467945</v>
          </cell>
          <cell r="K43">
            <v>9.7108011466658553E-2</v>
          </cell>
          <cell r="L43">
            <v>8.8036496858116708E-2</v>
          </cell>
          <cell r="M43">
            <v>8.1049144834894254E-2</v>
          </cell>
          <cell r="N43">
            <v>6.9820035910579906E-2</v>
          </cell>
          <cell r="O43">
            <v>6.0825530257276474E-2</v>
          </cell>
          <cell r="P43">
            <v>5.293328220858895E-2</v>
          </cell>
          <cell r="Q43">
            <v>4.5784954408280301E-2</v>
          </cell>
          <cell r="R43">
            <v>4.0515954696660778E-2</v>
          </cell>
          <cell r="S43">
            <v>3.8104530331464999E-2</v>
          </cell>
          <cell r="T43">
            <v>3.661310631704412E-2</v>
          </cell>
          <cell r="U43">
            <v>3.523519828236877E-2</v>
          </cell>
          <cell r="V43">
            <v>3.3958280307989787E-2</v>
          </cell>
          <cell r="W43">
            <v>3.2771606801952777E-2</v>
          </cell>
          <cell r="X43">
            <v>3.1665906772929846E-2</v>
          </cell>
          <cell r="Y43">
            <v>3.0633139048509003E-2</v>
          </cell>
          <cell r="Z43">
            <v>2.9666294714848714E-2</v>
          </cell>
          <cell r="AA43">
            <v>2.8759236476686018E-2</v>
          </cell>
          <cell r="AB43">
            <v>2.7906567127927363E-2</v>
          </cell>
          <cell r="AC43">
            <v>2.710352115622865E-2</v>
          </cell>
          <cell r="AD43">
            <v>2.6345874867753194E-2</v>
          </cell>
          <cell r="AE43">
            <v>2.5629871441103291E-2</v>
          </cell>
          <cell r="AF43">
            <v>2.4952158093966798E-2</v>
          </cell>
          <cell r="AG43">
            <v>2.4309733137511325E-2</v>
          </cell>
          <cell r="AH43">
            <v>2.3699901148845227E-2</v>
          </cell>
          <cell r="AI43">
            <v>2.3120234844931215E-2</v>
          </cell>
          <cell r="AJ43">
            <v>2.2568542517070075E-2</v>
          </cell>
          <cell r="AK43">
            <v>2.20428401018463E-2</v>
          </cell>
          <cell r="AL43">
            <v>2.1541327135928521E-2</v>
          </cell>
          <cell r="AM43">
            <v>2.1062365978615629E-2</v>
          </cell>
          <cell r="AN43">
            <v>2.060446379527758E-2</v>
          </cell>
          <cell r="AO43">
            <v>2.0166256882767401E-2</v>
          </cell>
          <cell r="AP43">
            <v>1.9746496989009536E-2</v>
          </cell>
          <cell r="AQ43">
            <v>1.934403933678959E-2</v>
          </cell>
          <cell r="AR43">
            <v>1.8957832108995064E-2</v>
          </cell>
          <cell r="AS43">
            <v>1.858690719129856E-2</v>
          </cell>
          <cell r="AT43">
            <v>1.8230372000196123E-2</v>
          </cell>
          <cell r="AU43">
            <v>1.7887402250721229E-2</v>
          </cell>
          <cell r="AV43">
            <v>1.7557235540088749E-2</v>
          </cell>
          <cell r="AW43">
            <v>1.7239165641809565E-2</v>
          </cell>
          <cell r="AX43">
            <v>1.6932537420117098E-2</v>
          </cell>
          <cell r="AY43">
            <v>1.6636742287394111E-2</v>
          </cell>
          <cell r="AZ43">
            <v>1.6351214138111358E-2</v>
          </cell>
          <cell r="BA43">
            <v>1.6075425701936909E-2</v>
          </cell>
          <cell r="BB43">
            <v>1.580888526643064E-2</v>
          </cell>
          <cell r="BC43">
            <v>1.5551133726332459E-2</v>
          </cell>
          <cell r="BD43">
            <v>1.5301741922076777E-2</v>
          </cell>
          <cell r="BE43">
            <v>1.5060308234975247E-2</v>
          </cell>
          <cell r="BF43">
            <v>1.4826456410633213E-2</v>
          </cell>
          <cell r="BG43">
            <v>1.459983358571054E-2</v>
          </cell>
          <cell r="BH43">
            <v>1.4380108496193337E-2</v>
          </cell>
          <cell r="BI43">
            <v>1.416696984798216E-2</v>
          </cell>
        </row>
        <row r="45">
          <cell r="A45" t="str">
            <v>PRINIVIL/ZESTRIL 6/29/02</v>
          </cell>
          <cell r="B45">
            <v>29</v>
          </cell>
          <cell r="C45" t="str">
            <v>Forecasted for months 12-60</v>
          </cell>
        </row>
        <row r="46">
          <cell r="A46" t="str">
            <v xml:space="preserve">   Branded TRx's</v>
          </cell>
          <cell r="B46">
            <v>3714.5920000000001</v>
          </cell>
          <cell r="C46">
            <v>1971.3739999999998</v>
          </cell>
          <cell r="D46">
            <v>821.82799999999997</v>
          </cell>
          <cell r="E46">
            <v>613.09400000000005</v>
          </cell>
          <cell r="F46">
            <v>497.88400000000001</v>
          </cell>
          <cell r="G46">
            <v>405.40599999999995</v>
          </cell>
          <cell r="H46">
            <v>389.84800000000001</v>
          </cell>
          <cell r="I46">
            <v>338.67700000000002</v>
          </cell>
          <cell r="J46">
            <v>283.30399999999997</v>
          </cell>
          <cell r="K46">
            <v>288.358</v>
          </cell>
          <cell r="L46">
            <v>250.44400000000002</v>
          </cell>
          <cell r="M46">
            <v>234.19799999999998</v>
          </cell>
          <cell r="N46" t="str">
            <v>R2 = 0.9882</v>
          </cell>
        </row>
        <row r="47">
          <cell r="A47" t="str">
            <v xml:space="preserve">   Generic TRx's</v>
          </cell>
          <cell r="B47">
            <v>0.184</v>
          </cell>
          <cell r="C47">
            <v>1968.787</v>
          </cell>
          <cell r="D47">
            <v>3185.203</v>
          </cell>
          <cell r="E47">
            <v>3175.989</v>
          </cell>
          <cell r="F47">
            <v>3562.9609999999998</v>
          </cell>
          <cell r="G47">
            <v>3455.2649999999999</v>
          </cell>
          <cell r="H47">
            <v>3745.27</v>
          </cell>
          <cell r="I47">
            <v>3821.3620000000001</v>
          </cell>
          <cell r="J47">
            <v>3532.7049999999999</v>
          </cell>
          <cell r="K47">
            <v>3889.2280000000001</v>
          </cell>
          <cell r="L47">
            <v>3844.616</v>
          </cell>
          <cell r="M47">
            <v>3966.692</v>
          </cell>
          <cell r="N47" t="str">
            <v>= 0.44641813651x-0.87299818562</v>
          </cell>
        </row>
        <row r="48">
          <cell r="A48" t="str">
            <v xml:space="preserve">   Month-end Branded % of Molecule</v>
          </cell>
          <cell r="B48">
            <v>0.51605970853651661</v>
          </cell>
          <cell r="C48">
            <v>0.2147787081608529</v>
          </cell>
          <cell r="D48">
            <v>0.16332849646253886</v>
          </cell>
          <cell r="E48">
            <v>0.1238279366957066</v>
          </cell>
          <cell r="F48">
            <v>0.10562511541083359</v>
          </cell>
          <cell r="G48">
            <v>9.4612084449511996E-2</v>
          </cell>
          <cell r="H48">
            <v>8.1838339282021527E-2</v>
          </cell>
          <cell r="I48">
            <v>7.4500719795374315E-2</v>
          </cell>
          <cell r="J48">
            <v>6.918430447039263E-2</v>
          </cell>
          <cell r="K48">
            <v>6.1424943266049227E-2</v>
          </cell>
          <cell r="L48">
            <v>5.5925487173015875E-2</v>
          </cell>
          <cell r="M48">
            <v>5.100568218572233E-2</v>
          </cell>
          <cell r="N48">
            <v>4.756322617701806E-2</v>
          </cell>
          <cell r="O48">
            <v>4.4583497445559395E-2</v>
          </cell>
          <cell r="P48">
            <v>4.1977473388070688E-2</v>
          </cell>
          <cell r="Q48">
            <v>3.9677771325156715E-2</v>
          </cell>
          <cell r="R48">
            <v>3.7632420634512373E-2</v>
          </cell>
          <cell r="S48">
            <v>3.5800674650451392E-2</v>
          </cell>
          <cell r="T48">
            <v>3.4150121783437147E-2</v>
          </cell>
          <cell r="U48">
            <v>3.2654647845607149E-2</v>
          </cell>
          <cell r="V48">
            <v>3.1292970085487724E-2</v>
          </cell>
          <cell r="W48">
            <v>3.0047563770579946E-2</v>
          </cell>
          <cell r="X48">
            <v>2.8903863667405997E-2</v>
          </cell>
          <cell r="Y48">
            <v>2.7849661472904935E-2</v>
          </cell>
          <cell r="Z48">
            <v>2.6874645180601103E-2</v>
          </cell>
          <cell r="AA48">
            <v>2.5970042764371769E-2</v>
          </cell>
          <cell r="AB48">
            <v>2.5128343559068143E-2</v>
          </cell>
          <cell r="AC48">
            <v>2.4343078220499012E-2</v>
          </cell>
          <cell r="AD48">
            <v>2.3608643349424519E-2</v>
          </cell>
          <cell r="AE48">
            <v>2.2920160524250201E-2</v>
          </cell>
          <cell r="AF48">
            <v>2.2273362097269947E-2</v>
          </cell>
          <cell r="AG48">
            <v>2.1664497994191477E-2</v>
          </cell>
          <cell r="AH48">
            <v>2.10902591337234E-2</v>
          </cell>
          <cell r="AI48">
            <v>2.0547714100969429E-2</v>
          </cell>
          <cell r="AJ48">
            <v>2.003425646703267E-2</v>
          </cell>
          <cell r="AK48">
            <v>1.9547560718554104E-2</v>
          </cell>
          <cell r="AL48">
            <v>1.9085545194974594E-2</v>
          </cell>
          <cell r="AM48">
            <v>1.8646340763841956E-2</v>
          </cell>
          <cell r="AN48">
            <v>1.8228264221232981E-2</v>
          </cell>
          <cell r="AO48">
            <v>1.7829795604060204E-2</v>
          </cell>
          <cell r="AP48">
            <v>1.7449558757444996E-2</v>
          </cell>
          <cell r="AQ48">
            <v>1.7086304623654791E-2</v>
          </cell>
          <cell r="AR48">
            <v>1.6738896816932428E-2</v>
          </cell>
          <cell r="AS48">
            <v>1.6406299126618069E-2</v>
          </cell>
          <cell r="AT48">
            <v>1.6087564653619983E-2</v>
          </cell>
          <cell r="AU48">
            <v>1.5781826335842672E-2</v>
          </cell>
          <cell r="AV48">
            <v>1.5488288659176503E-2</v>
          </cell>
          <cell r="AW48">
            <v>1.5206220384059785E-2</v>
          </cell>
          <cell r="AX48">
            <v>1.4934948144973535E-2</v>
          </cell>
          <cell r="AY48">
            <v>1.4673850802718708E-2</v>
          </cell>
          <cell r="AZ48">
            <v>1.4422354447897506E-2</v>
          </cell>
          <cell r="BA48">
            <v>1.417992796941895E-2</v>
          </cell>
          <cell r="BB48">
            <v>1.3946079114666703E-2</v>
          </cell>
          <cell r="BC48">
            <v>1.3720350978675747E-2</v>
          </cell>
          <cell r="BD48">
            <v>1.3502318868643988E-2</v>
          </cell>
          <cell r="BE48">
            <v>1.3291587497659537E-2</v>
          </cell>
          <cell r="BF48">
            <v>1.3087788467901682E-2</v>
          </cell>
          <cell r="BG48">
            <v>1.2890578008974638E-2</v>
          </cell>
          <cell r="BH48">
            <v>1.2699634941620318E-2</v>
          </cell>
          <cell r="BI48">
            <v>1.2514658840965136E-2</v>
          </cell>
        </row>
        <row r="49">
          <cell r="B49" t="str">
            <v>jan</v>
          </cell>
          <cell r="C49" t="str">
            <v>feb</v>
          </cell>
          <cell r="D49" t="str">
            <v>mar</v>
          </cell>
          <cell r="E49" t="str">
            <v>apr</v>
          </cell>
          <cell r="F49" t="str">
            <v>may</v>
          </cell>
          <cell r="G49" t="str">
            <v>jun</v>
          </cell>
          <cell r="H49" t="str">
            <v>jul</v>
          </cell>
          <cell r="I49" t="str">
            <v>aug</v>
          </cell>
          <cell r="J49" t="str">
            <v>sep</v>
          </cell>
          <cell r="K49" t="str">
            <v>oct</v>
          </cell>
          <cell r="L49" t="str">
            <v>nov</v>
          </cell>
          <cell r="M49" t="str">
            <v>dec</v>
          </cell>
          <cell r="N49" t="str">
            <v>jan</v>
          </cell>
          <cell r="O49" t="str">
            <v>feb</v>
          </cell>
          <cell r="P49" t="str">
            <v>mar</v>
          </cell>
          <cell r="Q49" t="str">
            <v>apr</v>
          </cell>
          <cell r="R49" t="str">
            <v>may</v>
          </cell>
          <cell r="S49" t="str">
            <v>jun</v>
          </cell>
          <cell r="T49" t="str">
            <v>jul</v>
          </cell>
          <cell r="U49" t="str">
            <v>aug</v>
          </cell>
          <cell r="V49" t="str">
            <v>sep</v>
          </cell>
          <cell r="W49" t="str">
            <v>oct</v>
          </cell>
          <cell r="X49" t="str">
            <v>nov</v>
          </cell>
          <cell r="Y49" t="str">
            <v>dec</v>
          </cell>
          <cell r="Z49" t="str">
            <v>jan</v>
          </cell>
          <cell r="AA49" t="str">
            <v>feb</v>
          </cell>
          <cell r="AB49" t="str">
            <v>mar</v>
          </cell>
          <cell r="AC49" t="str">
            <v>apr</v>
          </cell>
          <cell r="AD49" t="str">
            <v>may</v>
          </cell>
          <cell r="AE49" t="str">
            <v>jun</v>
          </cell>
          <cell r="AF49" t="str">
            <v>jul</v>
          </cell>
          <cell r="AG49" t="str">
            <v>aug</v>
          </cell>
          <cell r="AH49" t="str">
            <v>sep</v>
          </cell>
          <cell r="AI49" t="str">
            <v>oct</v>
          </cell>
          <cell r="AJ49" t="str">
            <v>nov</v>
          </cell>
          <cell r="AK49" t="str">
            <v>dec</v>
          </cell>
        </row>
        <row r="50">
          <cell r="B50">
            <v>2010</v>
          </cell>
          <cell r="C50">
            <v>2010</v>
          </cell>
          <cell r="D50">
            <v>2010</v>
          </cell>
          <cell r="E50">
            <v>2010</v>
          </cell>
          <cell r="F50">
            <v>2010</v>
          </cell>
          <cell r="G50">
            <v>2010</v>
          </cell>
          <cell r="H50">
            <v>2010</v>
          </cell>
          <cell r="I50">
            <v>2010</v>
          </cell>
          <cell r="J50">
            <v>2010</v>
          </cell>
          <cell r="K50">
            <v>2010</v>
          </cell>
          <cell r="L50">
            <v>2010</v>
          </cell>
          <cell r="M50">
            <v>2010</v>
          </cell>
          <cell r="N50">
            <v>2011</v>
          </cell>
          <cell r="O50">
            <v>2011</v>
          </cell>
          <cell r="P50">
            <v>2011</v>
          </cell>
          <cell r="Q50">
            <v>2011</v>
          </cell>
          <cell r="R50">
            <v>2011</v>
          </cell>
          <cell r="S50">
            <v>2011</v>
          </cell>
          <cell r="T50">
            <v>2011</v>
          </cell>
          <cell r="U50">
            <v>2011</v>
          </cell>
          <cell r="V50">
            <v>2011</v>
          </cell>
          <cell r="W50">
            <v>2011</v>
          </cell>
          <cell r="X50">
            <v>2011</v>
          </cell>
          <cell r="Y50">
            <v>2011</v>
          </cell>
          <cell r="Z50">
            <v>2012</v>
          </cell>
          <cell r="AA50">
            <v>2012</v>
          </cell>
          <cell r="AB50">
            <v>2012</v>
          </cell>
          <cell r="AC50">
            <v>2012</v>
          </cell>
          <cell r="AD50">
            <v>2012</v>
          </cell>
          <cell r="AE50">
            <v>2012</v>
          </cell>
          <cell r="AF50">
            <v>2012</v>
          </cell>
          <cell r="AG50">
            <v>2012</v>
          </cell>
          <cell r="AH50">
            <v>2012</v>
          </cell>
          <cell r="AI50">
            <v>2012</v>
          </cell>
          <cell r="AJ50">
            <v>2012</v>
          </cell>
          <cell r="AK50">
            <v>2012</v>
          </cell>
        </row>
        <row r="51">
          <cell r="A51" t="str">
            <v>Adjusted for 2/11/10 expiry (Coz/Hyz)</v>
          </cell>
          <cell r="B51">
            <v>1</v>
          </cell>
          <cell r="C51">
            <v>0.51605970853651661</v>
          </cell>
          <cell r="D51">
            <v>0.2147787081608529</v>
          </cell>
          <cell r="E51">
            <v>0.16332849646253886</v>
          </cell>
          <cell r="F51">
            <v>0.1238279366957066</v>
          </cell>
          <cell r="G51">
            <v>0.10562511541083359</v>
          </cell>
          <cell r="H51">
            <v>9.4612084449511996E-2</v>
          </cell>
          <cell r="I51">
            <v>8.1838339282021527E-2</v>
          </cell>
          <cell r="J51">
            <v>7.4500719795374315E-2</v>
          </cell>
          <cell r="K51">
            <v>6.918430447039263E-2</v>
          </cell>
          <cell r="L51">
            <v>6.1424943266049227E-2</v>
          </cell>
          <cell r="M51">
            <v>5.5925487173015875E-2</v>
          </cell>
          <cell r="N51">
            <v>5.100568218572233E-2</v>
          </cell>
          <cell r="O51">
            <v>4.756322617701806E-2</v>
          </cell>
          <cell r="P51">
            <v>4.4583497445559395E-2</v>
          </cell>
          <cell r="Q51">
            <v>4.1977473388070688E-2</v>
          </cell>
          <cell r="R51">
            <v>3.9677771325156715E-2</v>
          </cell>
          <cell r="S51">
            <v>3.7632420634512373E-2</v>
          </cell>
          <cell r="T51">
            <v>3.5800674650451392E-2</v>
          </cell>
          <cell r="U51">
            <v>3.4150121783437147E-2</v>
          </cell>
          <cell r="V51">
            <v>3.2654647845607149E-2</v>
          </cell>
          <cell r="W51">
            <v>3.1292970085487724E-2</v>
          </cell>
          <cell r="X51">
            <v>3.0047563770579946E-2</v>
          </cell>
          <cell r="Y51">
            <v>2.8903863667405997E-2</v>
          </cell>
          <cell r="Z51">
            <v>2.7849661472904935E-2</v>
          </cell>
          <cell r="AA51">
            <v>2.6874645180601103E-2</v>
          </cell>
          <cell r="AB51">
            <v>2.5970042764371769E-2</v>
          </cell>
          <cell r="AC51">
            <v>2.5128343559068143E-2</v>
          </cell>
          <cell r="AD51">
            <v>2.4343078220499012E-2</v>
          </cell>
          <cell r="AE51">
            <v>2.3608643349424519E-2</v>
          </cell>
          <cell r="AF51">
            <v>2.2920160524250201E-2</v>
          </cell>
          <cell r="AG51">
            <v>2.2273362097269947E-2</v>
          </cell>
          <cell r="AH51">
            <v>2.1664497994191477E-2</v>
          </cell>
          <cell r="AI51">
            <v>2.10902591337234E-2</v>
          </cell>
          <cell r="AJ51">
            <v>2.0547714100969429E-2</v>
          </cell>
          <cell r="AK51">
            <v>2.003425646703267E-2</v>
          </cell>
        </row>
        <row r="52">
          <cell r="C52">
            <v>2010</v>
          </cell>
          <cell r="D52">
            <v>0.21342548697523456</v>
          </cell>
        </row>
        <row r="53">
          <cell r="C53">
            <v>2011</v>
          </cell>
          <cell r="D53">
            <v>3.7940826079917403E-2</v>
          </cell>
        </row>
        <row r="54">
          <cell r="C54">
            <v>2012</v>
          </cell>
          <cell r="D54">
            <v>2.3525388738692223E-2</v>
          </cell>
        </row>
        <row r="55">
          <cell r="A55" t="str">
            <v>PRILOSEC (omeprazole) 11/15/02</v>
          </cell>
          <cell r="B55">
            <v>15</v>
          </cell>
        </row>
        <row r="56">
          <cell r="A56" t="str">
            <v xml:space="preserve">   Branded TRx's</v>
          </cell>
          <cell r="B56">
            <v>2021.569</v>
          </cell>
          <cell r="C56">
            <v>1730.547</v>
          </cell>
          <cell r="D56">
            <v>1210.42</v>
          </cell>
          <cell r="E56">
            <v>985.51900000000001</v>
          </cell>
          <cell r="F56">
            <v>1001.407</v>
          </cell>
          <cell r="G56">
            <v>952.13099999999997</v>
          </cell>
          <cell r="H56">
            <v>887.84900000000005</v>
          </cell>
          <cell r="I56">
            <v>859.19</v>
          </cell>
          <cell r="J56">
            <v>880.97699999999998</v>
          </cell>
          <cell r="K56">
            <v>829.63300000000004</v>
          </cell>
          <cell r="L56">
            <v>719.24599999999998</v>
          </cell>
          <cell r="M56">
            <v>495.45699999999999</v>
          </cell>
          <cell r="N56">
            <v>413.363</v>
          </cell>
          <cell r="O56">
            <v>444.512</v>
          </cell>
          <cell r="P56">
            <v>388.18400000000003</v>
          </cell>
          <cell r="Q56">
            <v>349.55099999999999</v>
          </cell>
          <cell r="R56">
            <v>376.37900000000002</v>
          </cell>
          <cell r="S56">
            <v>342.48099999999999</v>
          </cell>
          <cell r="T56">
            <v>327.983</v>
          </cell>
          <cell r="U56">
            <v>351.03699999999998</v>
          </cell>
          <cell r="V56">
            <v>341.69499999999999</v>
          </cell>
          <cell r="W56">
            <v>320.791</v>
          </cell>
          <cell r="X56">
            <v>194.827</v>
          </cell>
          <cell r="Y56">
            <v>176.20500000000001</v>
          </cell>
          <cell r="Z56">
            <v>173.173</v>
          </cell>
          <cell r="AA56">
            <v>177.88900000000001</v>
          </cell>
          <cell r="AB56">
            <v>171.77500000000001</v>
          </cell>
        </row>
        <row r="57">
          <cell r="A57" t="str">
            <v xml:space="preserve">   Generic TRx's</v>
          </cell>
          <cell r="B57">
            <v>3.0000000000000001E-3</v>
          </cell>
          <cell r="C57">
            <v>444.80900000000003</v>
          </cell>
          <cell r="D57">
            <v>994.70500000000004</v>
          </cell>
          <cell r="E57">
            <v>979.87400000000002</v>
          </cell>
          <cell r="F57">
            <v>1119.701</v>
          </cell>
          <cell r="G57">
            <v>1124.971</v>
          </cell>
          <cell r="H57">
            <v>1186.529</v>
          </cell>
          <cell r="I57">
            <v>1185.125</v>
          </cell>
          <cell r="J57">
            <v>1219.9870000000001</v>
          </cell>
          <cell r="K57">
            <v>1217.123</v>
          </cell>
          <cell r="L57">
            <v>1171.7919999999999</v>
          </cell>
          <cell r="M57">
            <v>969.83199999999999</v>
          </cell>
          <cell r="N57">
            <v>842.12099999999998</v>
          </cell>
          <cell r="O57">
            <v>915.63099999999997</v>
          </cell>
          <cell r="P57">
            <v>851.22299999999996</v>
          </cell>
          <cell r="Q57">
            <v>786.66</v>
          </cell>
          <cell r="R57">
            <v>865.33199999999999</v>
          </cell>
          <cell r="S57">
            <v>810.3</v>
          </cell>
          <cell r="T57">
            <v>819.94399999999996</v>
          </cell>
          <cell r="U57">
            <v>864.94200000000001</v>
          </cell>
          <cell r="V57">
            <v>881.99900000000002</v>
          </cell>
          <cell r="W57">
            <v>944.45399999999995</v>
          </cell>
          <cell r="X57">
            <v>1080.7070000000001</v>
          </cell>
          <cell r="Y57">
            <v>1105.0050000000001</v>
          </cell>
          <cell r="Z57">
            <v>1113.5450000000001</v>
          </cell>
          <cell r="AA57">
            <v>1173.0909999999999</v>
          </cell>
          <cell r="AB57">
            <v>1126.0329999999999</v>
          </cell>
        </row>
        <row r="58">
          <cell r="A58" t="str">
            <v xml:space="preserve">   Month-end Branded % of Molecule</v>
          </cell>
          <cell r="B58">
            <v>0.89401486039312572</v>
          </cell>
          <cell r="C58">
            <v>0.67137992380288847</v>
          </cell>
          <cell r="D58">
            <v>0.52653866977675201</v>
          </cell>
          <cell r="E58">
            <v>0.48621693717926412</v>
          </cell>
          <cell r="F58">
            <v>0.46532641292360316</v>
          </cell>
          <cell r="G58">
            <v>0.44321061404607515</v>
          </cell>
          <cell r="H58">
            <v>0.42417315395927779</v>
          </cell>
          <cell r="I58">
            <v>0.41979490403420372</v>
          </cell>
          <cell r="J58">
            <v>0.41242176424638116</v>
          </cell>
          <cell r="K58">
            <v>0.39333672609588005</v>
          </cell>
          <cell r="L58">
            <v>0.36191437842617835</v>
          </cell>
          <cell r="M58">
            <v>0.33403007160097514</v>
          </cell>
          <cell r="N58">
            <v>0.32798063332424693</v>
          </cell>
          <cell r="O58">
            <v>0.32032313284991637</v>
          </cell>
          <cell r="P58">
            <v>0.31054445622149685</v>
          </cell>
          <cell r="Q58">
            <v>0.30527914708724679</v>
          </cell>
          <cell r="R58">
            <v>0.30021399110959651</v>
          </cell>
          <cell r="S58">
            <v>0.29141638139216275</v>
          </cell>
          <cell r="T58">
            <v>0.28724492429055981</v>
          </cell>
          <cell r="U58">
            <v>0.28394461060970055</v>
          </cell>
          <cell r="V58">
            <v>0.26617205162521063</v>
          </cell>
          <cell r="W58">
            <v>0.20293697326686028</v>
          </cell>
          <cell r="X58">
            <v>0.14511894816219376</v>
          </cell>
          <cell r="Y58">
            <v>0.13605443766336128</v>
          </cell>
          <cell r="Z58">
            <v>0.13309408431139577</v>
          </cell>
          <cell r="AA58">
            <v>0.132009054707285</v>
          </cell>
        </row>
        <row r="60">
          <cell r="A60" t="str">
            <v>RELAFEN (nabumetone) 8/15/01</v>
          </cell>
          <cell r="B60">
            <v>15</v>
          </cell>
        </row>
        <row r="61">
          <cell r="A61" t="str">
            <v xml:space="preserve">   Branded TRx's</v>
          </cell>
          <cell r="B61">
            <v>373.84</v>
          </cell>
          <cell r="C61">
            <v>260.40800000000002</v>
          </cell>
          <cell r="D61">
            <v>177.87</v>
          </cell>
          <cell r="E61">
            <v>115.01</v>
          </cell>
          <cell r="F61">
            <v>95.024000000000001</v>
          </cell>
          <cell r="G61">
            <v>73.974999999999994</v>
          </cell>
          <cell r="H61">
            <v>57.048000000000002</v>
          </cell>
          <cell r="I61">
            <v>52.353999999999999</v>
          </cell>
          <cell r="J61">
            <v>46.402999999999999</v>
          </cell>
          <cell r="K61">
            <v>41.97</v>
          </cell>
          <cell r="L61">
            <v>34.686</v>
          </cell>
          <cell r="M61">
            <v>33.941000000000003</v>
          </cell>
          <cell r="N61">
            <v>29.978999999999999</v>
          </cell>
          <cell r="O61">
            <v>26.847000000000001</v>
          </cell>
          <cell r="P61">
            <v>25.718</v>
          </cell>
          <cell r="Q61">
            <v>22.452999999999999</v>
          </cell>
          <cell r="R61">
            <v>23.091000000000001</v>
          </cell>
          <cell r="S61">
            <v>20.292999999999999</v>
          </cell>
          <cell r="T61">
            <v>17.558</v>
          </cell>
          <cell r="U61">
            <v>18.048999999999999</v>
          </cell>
          <cell r="V61">
            <v>17.28</v>
          </cell>
          <cell r="W61">
            <v>16.75</v>
          </cell>
          <cell r="X61">
            <v>15.923</v>
          </cell>
          <cell r="Y61">
            <v>15.367000000000001</v>
          </cell>
          <cell r="Z61">
            <v>14.462</v>
          </cell>
          <cell r="AA61">
            <v>13.849</v>
          </cell>
          <cell r="AB61">
            <v>13.555</v>
          </cell>
          <cell r="AC61">
            <v>11.058999999999999</v>
          </cell>
          <cell r="AD61">
            <v>11.616</v>
          </cell>
          <cell r="AE61">
            <v>10.384</v>
          </cell>
          <cell r="AF61">
            <v>9.1359999999999992</v>
          </cell>
          <cell r="AG61">
            <v>10.090999999999999</v>
          </cell>
          <cell r="AH61">
            <v>8.7530000000000001</v>
          </cell>
          <cell r="AI61">
            <v>8.4700000000000006</v>
          </cell>
          <cell r="AJ61">
            <v>8.6020000000000003</v>
          </cell>
          <cell r="AK61">
            <v>8.2379999999999995</v>
          </cell>
          <cell r="AL61">
            <v>8.1020000000000003</v>
          </cell>
          <cell r="AM61">
            <v>7.952</v>
          </cell>
          <cell r="AN61">
            <v>8.5449999999999999</v>
          </cell>
          <cell r="AO61">
            <v>8.5830000000000002</v>
          </cell>
          <cell r="AP61">
            <v>8.9269999999999996</v>
          </cell>
          <cell r="AQ61">
            <v>9.1419999999999995</v>
          </cell>
        </row>
        <row r="62">
          <cell r="A62" t="str">
            <v xml:space="preserve">   Generic TRx's</v>
          </cell>
          <cell r="B62">
            <v>7.1580000000000004</v>
          </cell>
          <cell r="C62">
            <v>95.894000000000005</v>
          </cell>
          <cell r="D62">
            <v>218.322</v>
          </cell>
          <cell r="E62">
            <v>250.96899999999999</v>
          </cell>
          <cell r="F62">
            <v>269.04899999999998</v>
          </cell>
          <cell r="G62">
            <v>299.51799999999997</v>
          </cell>
          <cell r="H62">
            <v>279.27199999999999</v>
          </cell>
          <cell r="I62">
            <v>301.73500000000001</v>
          </cell>
          <cell r="J62">
            <v>313.43</v>
          </cell>
          <cell r="K62">
            <v>312.65600000000001</v>
          </cell>
          <cell r="L62">
            <v>289.35599999999999</v>
          </cell>
          <cell r="M62">
            <v>302.49700000000001</v>
          </cell>
          <cell r="N62">
            <v>299.65800000000002</v>
          </cell>
          <cell r="O62">
            <v>285.22800000000001</v>
          </cell>
          <cell r="P62">
            <v>306.14299999999997</v>
          </cell>
          <cell r="Q62">
            <v>282.483</v>
          </cell>
          <cell r="R62">
            <v>292.93</v>
          </cell>
          <cell r="S62">
            <v>298.66300000000001</v>
          </cell>
          <cell r="T62">
            <v>268.96600000000001</v>
          </cell>
          <cell r="U62">
            <v>295.18099999999998</v>
          </cell>
          <cell r="V62">
            <v>290.34800000000001</v>
          </cell>
          <cell r="W62">
            <v>296.81799999999998</v>
          </cell>
          <cell r="X62">
            <v>291.33199999999999</v>
          </cell>
          <cell r="Y62">
            <v>298.483</v>
          </cell>
          <cell r="Z62">
            <v>289.976</v>
          </cell>
          <cell r="AA62">
            <v>294.84100000000001</v>
          </cell>
          <cell r="AB62">
            <v>307.37900000000002</v>
          </cell>
          <cell r="AC62">
            <v>278.584</v>
          </cell>
          <cell r="AD62">
            <v>304.99</v>
          </cell>
          <cell r="AE62">
            <v>295.88900000000001</v>
          </cell>
          <cell r="AF62">
            <v>276.74099999999999</v>
          </cell>
          <cell r="AG62">
            <v>314.94400000000002</v>
          </cell>
          <cell r="AH62">
            <v>294.11</v>
          </cell>
          <cell r="AI62">
            <v>288.036</v>
          </cell>
          <cell r="AJ62">
            <v>302.53199999999998</v>
          </cell>
          <cell r="AK62">
            <v>296.20600000000002</v>
          </cell>
          <cell r="AL62">
            <v>304.72899999999998</v>
          </cell>
          <cell r="AM62">
            <v>303.99299999999999</v>
          </cell>
          <cell r="AN62">
            <v>365.79700000000003</v>
          </cell>
          <cell r="AO62">
            <v>372.82900000000001</v>
          </cell>
          <cell r="AP62">
            <v>413.32299999999998</v>
          </cell>
          <cell r="AQ62">
            <v>463.517</v>
          </cell>
        </row>
        <row r="63">
          <cell r="A63" t="str">
            <v xml:space="preserve">   Month-end Branded % of Molecule</v>
          </cell>
          <cell r="B63">
            <v>0.8602305710023056</v>
          </cell>
          <cell r="C63">
            <v>0.58243387987146744</v>
          </cell>
          <cell r="D63">
            <v>0.38427072139979096</v>
          </cell>
          <cell r="E63">
            <v>0.2876973147118288</v>
          </cell>
          <cell r="F63">
            <v>0.22913068118649726</v>
          </cell>
          <cell r="G63">
            <v>0.18458805347323873</v>
          </cell>
          <cell r="H63">
            <v>0.15845969562969195</v>
          </cell>
          <cell r="I63">
            <v>0.13833023775706588</v>
          </cell>
          <cell r="J63">
            <v>0.12369219227415428</v>
          </cell>
          <cell r="K63">
            <v>0.11295066217944563</v>
          </cell>
          <cell r="L63">
            <v>0.10390473594961241</v>
          </cell>
          <cell r="M63">
            <v>9.5965169087565208E-2</v>
          </cell>
          <cell r="N63">
            <v>8.855374373550752E-2</v>
          </cell>
          <cell r="O63">
            <v>8.1630783183421957E-2</v>
          </cell>
          <cell r="P63">
            <v>7.5645770944272675E-2</v>
          </cell>
          <cell r="Q63">
            <v>7.3344853186291498E-2</v>
          </cell>
          <cell r="R63">
            <v>6.8323734560464394E-2</v>
          </cell>
          <cell r="S63">
            <v>6.2514038448833978E-2</v>
          </cell>
          <cell r="T63">
            <v>5.9369341429986303E-2</v>
          </cell>
          <cell r="U63">
            <v>5.690351094775295E-2</v>
          </cell>
          <cell r="V63">
            <v>5.4781421644698292E-2</v>
          </cell>
          <cell r="W63">
            <v>5.262852697145564E-2</v>
          </cell>
          <cell r="X63">
            <v>5.0377955418166011E-2</v>
          </cell>
          <cell r="Y63">
            <v>4.8244507414020657E-2</v>
          </cell>
          <cell r="Z63">
            <v>4.6174697616158458E-2</v>
          </cell>
          <cell r="AA63">
            <v>4.3524389159244246E-2</v>
          </cell>
          <cell r="AB63">
            <v>4.0312687834622003E-2</v>
          </cell>
          <cell r="AC63">
            <v>3.7402123549894514E-2</v>
          </cell>
          <cell r="AD63">
            <v>3.5319861481925056E-2</v>
          </cell>
          <cell r="AE63">
            <v>3.2964620450899262E-2</v>
          </cell>
          <cell r="AF63">
            <v>3.147261798753339E-2</v>
          </cell>
          <cell r="AG63">
            <v>3.0011243864449314E-2</v>
          </cell>
          <cell r="AH63">
            <v>2.8735219872899669E-2</v>
          </cell>
          <cell r="AI63">
            <v>2.8095582910934114E-2</v>
          </cell>
          <cell r="AJ63">
            <v>2.7356403250278605E-2</v>
          </cell>
          <cell r="AK63">
            <v>2.6471183832165564E-2</v>
          </cell>
          <cell r="AL63">
            <v>2.5695609306375405E-2</v>
          </cell>
          <cell r="AM63">
            <v>2.4038048221808078E-2</v>
          </cell>
          <cell r="AN63">
            <v>2.2663459273784856E-2</v>
          </cell>
          <cell r="AO63">
            <v>2.1787766498851505E-2</v>
          </cell>
          <cell r="AP63">
            <v>2.019087974308002E-2</v>
          </cell>
        </row>
        <row r="65">
          <cell r="A65" t="str">
            <v>Remeron without Soltabs (mirtazapine) 1/27/2003</v>
          </cell>
          <cell r="B65">
            <v>27</v>
          </cell>
        </row>
        <row r="66">
          <cell r="A66" t="str">
            <v xml:space="preserve">   Branded TRx's</v>
          </cell>
          <cell r="B66">
            <v>413.51100000000002</v>
          </cell>
          <cell r="C66">
            <v>287.62099999999998</v>
          </cell>
          <cell r="D66">
            <v>217.43600000000001</v>
          </cell>
          <cell r="E66">
            <v>171.18299999999999</v>
          </cell>
          <cell r="F66">
            <v>153.762</v>
          </cell>
          <cell r="G66">
            <v>137.60900000000001</v>
          </cell>
          <cell r="H66">
            <v>111.81699999999999</v>
          </cell>
          <cell r="I66">
            <v>84.941000000000003</v>
          </cell>
          <cell r="J66">
            <v>70.296999999999997</v>
          </cell>
          <cell r="K66">
            <v>62.59</v>
          </cell>
          <cell r="L66">
            <v>51.534999999999997</v>
          </cell>
          <cell r="M66">
            <v>51.828000000000003</v>
          </cell>
          <cell r="N66">
            <v>43.69</v>
          </cell>
          <cell r="O66">
            <v>36.969000000000001</v>
          </cell>
          <cell r="P66">
            <v>37.302</v>
          </cell>
          <cell r="Q66">
            <v>32.633000000000003</v>
          </cell>
          <cell r="R66">
            <v>30.155000000000001</v>
          </cell>
          <cell r="S66">
            <v>30.643999999999998</v>
          </cell>
          <cell r="T66">
            <v>28.829000000000001</v>
          </cell>
          <cell r="U66">
            <v>28.695</v>
          </cell>
          <cell r="V66">
            <v>26.835999999999999</v>
          </cell>
          <cell r="W66">
            <v>25.355</v>
          </cell>
          <cell r="X66">
            <v>19.850999999999999</v>
          </cell>
          <cell r="Y66">
            <v>17.321000000000002</v>
          </cell>
          <cell r="Z66">
            <v>15.928000000000001</v>
          </cell>
          <cell r="AA66">
            <v>14.346</v>
          </cell>
          <cell r="AB66">
            <v>14.081</v>
          </cell>
        </row>
        <row r="67">
          <cell r="A67" t="str">
            <v xml:space="preserve">   Generic TRx's</v>
          </cell>
          <cell r="B67">
            <v>2.1000000000000001E-2</v>
          </cell>
          <cell r="C67">
            <v>92.569000000000003</v>
          </cell>
          <cell r="D67">
            <v>196.81200000000001</v>
          </cell>
          <cell r="E67">
            <v>244.94399999999999</v>
          </cell>
          <cell r="F67">
            <v>270.791</v>
          </cell>
          <cell r="G67">
            <v>279.25700000000001</v>
          </cell>
          <cell r="H67">
            <v>328.245</v>
          </cell>
          <cell r="I67">
            <v>355.09199999999998</v>
          </cell>
          <cell r="J67">
            <v>384.01400000000001</v>
          </cell>
          <cell r="K67">
            <v>417.71100000000001</v>
          </cell>
          <cell r="L67">
            <v>401.27499999999998</v>
          </cell>
          <cell r="M67">
            <v>455.01299999999998</v>
          </cell>
          <cell r="N67">
            <v>493.82</v>
          </cell>
          <cell r="O67">
            <v>500.78500000000003</v>
          </cell>
          <cell r="P67">
            <v>572.41499999999996</v>
          </cell>
          <cell r="Q67">
            <v>548.37199999999996</v>
          </cell>
          <cell r="R67">
            <v>549.18700000000001</v>
          </cell>
          <cell r="S67">
            <v>574.24300000000005</v>
          </cell>
          <cell r="T67">
            <v>576.17499999999995</v>
          </cell>
          <cell r="U67">
            <v>592.04700000000003</v>
          </cell>
          <cell r="V67">
            <v>585.27099999999996</v>
          </cell>
          <cell r="W67">
            <v>591.57600000000002</v>
          </cell>
          <cell r="X67">
            <v>605.92700000000002</v>
          </cell>
          <cell r="Y67">
            <v>634.94600000000003</v>
          </cell>
          <cell r="Z67">
            <v>652.50199999999995</v>
          </cell>
          <cell r="AA67">
            <v>613.32799999999997</v>
          </cell>
          <cell r="AB67">
            <v>680.07</v>
          </cell>
        </row>
        <row r="68">
          <cell r="A68" t="str">
            <v xml:space="preserve">   Month-end Branded % of Molecule</v>
          </cell>
          <cell r="B68">
            <v>0.78276677195337352</v>
          </cell>
          <cell r="C68">
            <v>0.54632776282475359</v>
          </cell>
          <cell r="D68">
            <v>0.42267798338747187</v>
          </cell>
          <cell r="E68">
            <v>0.36700562459642244</v>
          </cell>
          <cell r="F68">
            <v>0.3333638224984658</v>
          </cell>
          <cell r="G68">
            <v>0.2613322355796468</v>
          </cell>
          <cell r="H68">
            <v>0.19913966110492351</v>
          </cell>
          <cell r="I68">
            <v>0.1584545419216257</v>
          </cell>
          <cell r="J68">
            <v>0.13263645536338553</v>
          </cell>
          <cell r="K68">
            <v>0.11555141802677193</v>
          </cell>
          <cell r="L68">
            <v>0.1033003289141088</v>
          </cell>
          <cell r="M68">
            <v>8.3271352927935624E-2</v>
          </cell>
          <cell r="N68">
            <v>7.0000052070780555E-2</v>
          </cell>
          <cell r="O68">
            <v>6.1854638355163562E-2</v>
          </cell>
          <cell r="P68">
            <v>5.6689928447160552E-2</v>
          </cell>
          <cell r="Q68">
            <v>5.2463096732177958E-2</v>
          </cell>
          <cell r="R68">
            <v>5.0794370219106551E-2</v>
          </cell>
          <cell r="S68">
            <v>4.7951849965693794E-2</v>
          </cell>
          <cell r="T68">
            <v>4.6366076293969868E-2</v>
          </cell>
          <cell r="U68">
            <v>4.408352441104426E-2</v>
          </cell>
          <cell r="V68">
            <v>4.1371008061337151E-2</v>
          </cell>
          <cell r="W68">
            <v>3.2647813634743714E-2</v>
          </cell>
          <cell r="X68">
            <v>2.7052817647784135E-2</v>
          </cell>
          <cell r="Y68">
            <v>2.4095635707544708E-2</v>
          </cell>
          <cell r="Z68">
            <v>2.2958779871012185E-2</v>
          </cell>
          <cell r="AA68">
            <v>2.0519901504472776E-2</v>
          </cell>
        </row>
        <row r="70">
          <cell r="A70" t="str">
            <v>Remeron + Remeron Soltabs (mirtazapine) 1/27/2003</v>
          </cell>
          <cell r="B70">
            <v>27</v>
          </cell>
        </row>
        <row r="71">
          <cell r="A71" t="str">
            <v xml:space="preserve">   Branded TRx's</v>
          </cell>
          <cell r="B71">
            <v>668.23300000000006</v>
          </cell>
          <cell r="C71">
            <v>520.02499999999998</v>
          </cell>
          <cell r="D71">
            <v>469.60599999999999</v>
          </cell>
          <cell r="E71">
            <v>420.50400000000002</v>
          </cell>
          <cell r="F71">
            <v>407.34699999999998</v>
          </cell>
          <cell r="G71">
            <v>381.62800000000004</v>
          </cell>
          <cell r="H71">
            <v>354.25599999999997</v>
          </cell>
          <cell r="I71">
            <v>315.59399999999999</v>
          </cell>
          <cell r="J71">
            <v>293.59100000000001</v>
          </cell>
          <cell r="K71">
            <v>286.24</v>
          </cell>
          <cell r="L71">
            <v>256.06700000000001</v>
          </cell>
          <cell r="M71">
            <v>265.58199999999999</v>
          </cell>
          <cell r="N71">
            <v>212.911</v>
          </cell>
          <cell r="O71">
            <v>168.126</v>
          </cell>
          <cell r="P71">
            <v>163.44200000000001</v>
          </cell>
          <cell r="Q71">
            <v>140.13200000000001</v>
          </cell>
          <cell r="R71">
            <v>129.357</v>
          </cell>
          <cell r="S71">
            <v>129.65799999999999</v>
          </cell>
          <cell r="T71">
            <v>121.197</v>
          </cell>
          <cell r="U71">
            <v>118.584</v>
          </cell>
          <cell r="V71">
            <v>112.839</v>
          </cell>
          <cell r="W71">
            <v>106.435</v>
          </cell>
          <cell r="X71">
            <v>93.881</v>
          </cell>
          <cell r="Y71">
            <v>77.894000000000005</v>
          </cell>
          <cell r="Z71">
            <v>60.272999999999996</v>
          </cell>
          <cell r="AA71">
            <v>49.222999999999999</v>
          </cell>
          <cell r="AB71">
            <v>49.161000000000001</v>
          </cell>
        </row>
        <row r="72">
          <cell r="A72" t="str">
            <v xml:space="preserve">   Generic TRx's</v>
          </cell>
          <cell r="B72">
            <v>2.1000000000000001E-2</v>
          </cell>
          <cell r="C72">
            <v>92.569000000000003</v>
          </cell>
          <cell r="D72">
            <v>196.81200000000001</v>
          </cell>
          <cell r="E72">
            <v>244.94399999999999</v>
          </cell>
          <cell r="F72">
            <v>270.791</v>
          </cell>
          <cell r="G72">
            <v>279.25700000000001</v>
          </cell>
          <cell r="H72">
            <v>328.245</v>
          </cell>
          <cell r="I72">
            <v>355.09199999999998</v>
          </cell>
          <cell r="J72">
            <v>384.01400000000001</v>
          </cell>
          <cell r="K72">
            <v>417.71100000000001</v>
          </cell>
          <cell r="L72">
            <v>401.27499999999998</v>
          </cell>
          <cell r="M72">
            <v>455.01299999999998</v>
          </cell>
          <cell r="N72">
            <v>493.82</v>
          </cell>
          <cell r="O72">
            <v>500.78500000000003</v>
          </cell>
          <cell r="P72">
            <v>572.41499999999996</v>
          </cell>
          <cell r="Q72">
            <v>548.37199999999996</v>
          </cell>
          <cell r="R72">
            <v>549.18700000000001</v>
          </cell>
          <cell r="S72">
            <v>574.24300000000005</v>
          </cell>
          <cell r="T72">
            <v>576.17499999999995</v>
          </cell>
          <cell r="U72">
            <v>592.04700000000003</v>
          </cell>
          <cell r="V72">
            <v>585.27099999999996</v>
          </cell>
          <cell r="W72">
            <v>591.57600000000002</v>
          </cell>
          <cell r="X72">
            <v>605.92700000000002</v>
          </cell>
          <cell r="Y72">
            <v>634.94600000000003</v>
          </cell>
          <cell r="Z72">
            <v>652.50199999999995</v>
          </cell>
          <cell r="AA72">
            <v>613.32799999999997</v>
          </cell>
          <cell r="AB72">
            <v>680.07</v>
          </cell>
        </row>
        <row r="73">
          <cell r="A73" t="str">
            <v xml:space="preserve">   Month-end Branded % of Molecule</v>
          </cell>
          <cell r="B73">
            <v>0.86522227255079609</v>
          </cell>
          <cell r="C73">
            <v>0.71803681980214074</v>
          </cell>
          <cell r="D73">
            <v>0.63919674852940078</v>
          </cell>
          <cell r="E73">
            <v>0.60375449311462037</v>
          </cell>
          <cell r="F73">
            <v>0.57982784149295596</v>
          </cell>
          <cell r="G73">
            <v>0.52472809894590844</v>
          </cell>
          <cell r="H73">
            <v>0.47548095420600051</v>
          </cell>
          <cell r="I73">
            <v>0.43697086080916442</v>
          </cell>
          <cell r="J73">
            <v>0.40919490831812866</v>
          </cell>
          <cell r="K73">
            <v>0.39136429764884717</v>
          </cell>
          <cell r="L73">
            <v>0.37049100640836369</v>
          </cell>
          <cell r="M73">
            <v>0.30811006762437976</v>
          </cell>
          <cell r="N73">
            <v>0.25658732884094232</v>
          </cell>
          <cell r="O73">
            <v>0.22479272107283646</v>
          </cell>
          <cell r="P73">
            <v>0.2055033521613677</v>
          </cell>
          <cell r="Q73">
            <v>0.19194528651735002</v>
          </cell>
          <cell r="R73">
            <v>0.18482223172432394</v>
          </cell>
          <cell r="S73">
            <v>0.17484061098680004</v>
          </cell>
          <cell r="T73">
            <v>0.16755173478944388</v>
          </cell>
          <cell r="U73">
            <v>0.16216706624508248</v>
          </cell>
          <cell r="V73">
            <v>0.15339855869645161</v>
          </cell>
          <cell r="W73">
            <v>0.13598134895343714</v>
          </cell>
          <cell r="X73">
            <v>0.11171973115093976</v>
          </cell>
          <cell r="Y73">
            <v>8.7032421576598157E-2</v>
          </cell>
          <cell r="Z73">
            <v>7.5389462791657078E-2</v>
          </cell>
          <cell r="AA73">
            <v>6.8045554505281894E-2</v>
          </cell>
        </row>
        <row r="75">
          <cell r="A75" t="str">
            <v>Paxil (paroxetine) without Paxil CR 9/8/2003</v>
          </cell>
          <cell r="B75">
            <v>8</v>
          </cell>
        </row>
        <row r="76">
          <cell r="A76" t="str">
            <v xml:space="preserve">   Branded TRx's</v>
          </cell>
          <cell r="B76">
            <v>1213.806</v>
          </cell>
          <cell r="C76">
            <v>514.61500000000001</v>
          </cell>
          <cell r="D76">
            <v>390.99799999999999</v>
          </cell>
          <cell r="E76">
            <v>361.04599999999999</v>
          </cell>
          <cell r="F76">
            <v>289.62099999999998</v>
          </cell>
          <cell r="G76">
            <v>238.565</v>
          </cell>
          <cell r="H76">
            <v>238.333</v>
          </cell>
          <cell r="I76">
            <v>207.89599999999999</v>
          </cell>
          <cell r="J76">
            <v>192.61500000000001</v>
          </cell>
          <cell r="K76">
            <v>189.452</v>
          </cell>
          <cell r="L76">
            <v>170.18700000000001</v>
          </cell>
          <cell r="M76">
            <v>159.08099999999999</v>
          </cell>
          <cell r="N76">
            <v>145.82599999999999</v>
          </cell>
          <cell r="O76">
            <v>137.75200000000001</v>
          </cell>
          <cell r="P76">
            <v>129.46</v>
          </cell>
          <cell r="Q76">
            <v>126.539</v>
          </cell>
          <cell r="R76">
            <v>118.453</v>
          </cell>
          <cell r="S76">
            <v>102.55800000000001</v>
          </cell>
          <cell r="T76">
            <v>102.392</v>
          </cell>
        </row>
        <row r="77">
          <cell r="A77" t="str">
            <v xml:space="preserve">   Generic TRx's</v>
          </cell>
          <cell r="B77">
            <v>580.548</v>
          </cell>
          <cell r="C77">
            <v>1311.6420000000001</v>
          </cell>
          <cell r="D77">
            <v>1267.3710000000001</v>
          </cell>
          <cell r="E77">
            <v>1439.489</v>
          </cell>
          <cell r="F77">
            <v>1443.1590000000001</v>
          </cell>
          <cell r="G77">
            <v>1350.854</v>
          </cell>
          <cell r="H77">
            <v>1491.1590000000001</v>
          </cell>
          <cell r="I77">
            <v>1392.5429999999999</v>
          </cell>
          <cell r="J77">
            <v>1364.5889999999999</v>
          </cell>
          <cell r="K77">
            <v>1407.2570000000001</v>
          </cell>
          <cell r="L77">
            <v>1387.2739999999999</v>
          </cell>
          <cell r="M77">
            <v>1408.605</v>
          </cell>
          <cell r="N77">
            <v>1357.2629999999999</v>
          </cell>
          <cell r="O77">
            <v>1352.5060000000001</v>
          </cell>
          <cell r="P77">
            <v>1347.6890000000001</v>
          </cell>
          <cell r="Q77">
            <v>1377.2529999999999</v>
          </cell>
          <cell r="R77">
            <v>1359.867</v>
          </cell>
          <cell r="S77">
            <v>1247.98</v>
          </cell>
          <cell r="T77">
            <v>1563.078</v>
          </cell>
        </row>
        <row r="78">
          <cell r="A78" t="str">
            <v xml:space="preserve">   Month-end Branded % of Molecule</v>
          </cell>
          <cell r="B78">
            <v>0.56984692704434825</v>
          </cell>
          <cell r="C78">
            <v>0.27036430954323065</v>
          </cell>
          <cell r="D78">
            <v>0.22579457109260936</v>
          </cell>
          <cell r="E78">
            <v>0.19186853576157833</v>
          </cell>
          <cell r="F78">
            <v>0.16287864124116144</v>
          </cell>
          <cell r="G78">
            <v>0.14661130303176717</v>
          </cell>
          <cell r="H78">
            <v>0.13581468509135938</v>
          </cell>
          <cell r="I78">
            <v>0.12827731553440525</v>
          </cell>
          <cell r="J78">
            <v>0.12232366108637156</v>
          </cell>
          <cell r="K78">
            <v>0.11619574186264794</v>
          </cell>
          <cell r="L78">
            <v>0.1071828752224893</v>
          </cell>
          <cell r="M78">
            <v>0.10032269130256471</v>
          </cell>
          <cell r="N78">
            <v>9.5803198318062624E-2</v>
          </cell>
          <cell r="O78">
            <v>9.1165079339741106E-2</v>
          </cell>
          <cell r="P78">
            <v>8.6697481702028775E-2</v>
          </cell>
          <cell r="Q78">
            <v>8.3088027820272664E-2</v>
          </cell>
          <cell r="R78">
            <v>7.9082391941680069E-2</v>
          </cell>
          <cell r="S78">
            <v>7.1462052018519753E-2</v>
          </cell>
        </row>
        <row r="80">
          <cell r="A80" t="str">
            <v>Paxil + Paxil CR (Paroxetine) 9/8/2003</v>
          </cell>
          <cell r="B80">
            <v>8</v>
          </cell>
        </row>
        <row r="81">
          <cell r="A81" t="str">
            <v xml:space="preserve">   Branded TRx's</v>
          </cell>
          <cell r="B81">
            <v>2090.0070000000001</v>
          </cell>
          <cell r="C81">
            <v>1446.4569999999999</v>
          </cell>
          <cell r="D81">
            <v>1266.855</v>
          </cell>
          <cell r="E81">
            <v>1326.4449999999999</v>
          </cell>
          <cell r="F81">
            <v>1226.412</v>
          </cell>
          <cell r="G81">
            <v>1105.2429999999999</v>
          </cell>
          <cell r="H81">
            <v>1206.318</v>
          </cell>
          <cell r="I81">
            <v>1115.79</v>
          </cell>
          <cell r="J81">
            <v>1087.27</v>
          </cell>
          <cell r="K81">
            <v>1106.424</v>
          </cell>
          <cell r="L81">
            <v>1068.4389999999999</v>
          </cell>
          <cell r="M81">
            <v>1065.568</v>
          </cell>
          <cell r="N81">
            <v>1024.5309999999999</v>
          </cell>
          <cell r="O81">
            <v>1003.95</v>
          </cell>
          <cell r="P81">
            <v>991.77800000000002</v>
          </cell>
          <cell r="Q81">
            <v>1005.761</v>
          </cell>
          <cell r="R81">
            <v>973.60299999999995</v>
          </cell>
          <cell r="S81">
            <v>886.005</v>
          </cell>
          <cell r="T81">
            <v>771.18399999999997</v>
          </cell>
        </row>
        <row r="82">
          <cell r="A82" t="str">
            <v xml:space="preserve">   Generic TRx's</v>
          </cell>
          <cell r="B82">
            <v>580.548</v>
          </cell>
          <cell r="C82">
            <v>1311.6420000000001</v>
          </cell>
          <cell r="D82">
            <v>1267.3710000000001</v>
          </cell>
          <cell r="E82">
            <v>1439.489</v>
          </cell>
          <cell r="F82">
            <v>1443.1590000000001</v>
          </cell>
          <cell r="G82">
            <v>1350.854</v>
          </cell>
          <cell r="H82">
            <v>1491.1590000000001</v>
          </cell>
          <cell r="I82">
            <v>1392.5429999999999</v>
          </cell>
          <cell r="J82">
            <v>1364.5889999999999</v>
          </cell>
          <cell r="K82">
            <v>1407.2570000000001</v>
          </cell>
          <cell r="L82">
            <v>1387.2739999999999</v>
          </cell>
          <cell r="M82">
            <v>1408.605</v>
          </cell>
          <cell r="N82">
            <v>1357.2629999999999</v>
          </cell>
          <cell r="O82">
            <v>1352.5060000000001</v>
          </cell>
          <cell r="P82">
            <v>1347.6890000000001</v>
          </cell>
          <cell r="Q82">
            <v>1377.2529999999999</v>
          </cell>
          <cell r="R82">
            <v>1359.867</v>
          </cell>
          <cell r="S82">
            <v>1247.98</v>
          </cell>
          <cell r="T82">
            <v>1563.078</v>
          </cell>
        </row>
        <row r="83">
          <cell r="A83" t="str">
            <v xml:space="preserve">   Month-end Branded % of Molecule</v>
          </cell>
          <cell r="B83">
            <v>0.71212503032468333</v>
          </cell>
          <cell r="C83">
            <v>0.51829357219228689</v>
          </cell>
          <cell r="D83">
            <v>0.49412109155412626</v>
          </cell>
          <cell r="E83">
            <v>0.47432738061264662</v>
          </cell>
          <cell r="F83">
            <v>0.4570465752083796</v>
          </cell>
          <cell r="G83">
            <v>0.44920137091105555</v>
          </cell>
          <cell r="H83">
            <v>0.44660368760772889</v>
          </cell>
          <cell r="I83">
            <v>0.44446979859060237</v>
          </cell>
          <cell r="J83">
            <v>0.4425547451189491</v>
          </cell>
          <cell r="K83">
            <v>0.43882981030008444</v>
          </cell>
          <cell r="L83">
            <v>0.43390145662902557</v>
          </cell>
          <cell r="M83">
            <v>0.43054018417999212</v>
          </cell>
          <cell r="N83">
            <v>0.4290639040657272</v>
          </cell>
          <cell r="O83">
            <v>0.42548290359751739</v>
          </cell>
          <cell r="P83">
            <v>0.42342540347351926</v>
          </cell>
          <cell r="Q83">
            <v>0.42078849672802515</v>
          </cell>
          <cell r="R83">
            <v>0.41672339961484162</v>
          </cell>
          <cell r="S83">
            <v>0.39105290156317951</v>
          </cell>
        </row>
        <row r="85">
          <cell r="A85" t="str">
            <v>Glucophage (Metformin) 1/28/2002</v>
          </cell>
          <cell r="B85">
            <v>28</v>
          </cell>
        </row>
        <row r="86">
          <cell r="A86" t="str">
            <v xml:space="preserve">   Branded TRx's</v>
          </cell>
          <cell r="B86">
            <v>2264.6439999999998</v>
          </cell>
          <cell r="C86">
            <v>912.577</v>
          </cell>
          <cell r="D86">
            <v>523.25900000000001</v>
          </cell>
          <cell r="E86">
            <v>413.52699999999999</v>
          </cell>
          <cell r="F86">
            <v>352.81700000000001</v>
          </cell>
          <cell r="G86">
            <v>295.90499999999997</v>
          </cell>
          <cell r="H86">
            <v>284.53199999999998</v>
          </cell>
          <cell r="I86">
            <v>257.83</v>
          </cell>
          <cell r="J86">
            <v>233.72499999999999</v>
          </cell>
          <cell r="K86">
            <v>231.16800000000001</v>
          </cell>
          <cell r="L86">
            <v>210.25800000000001</v>
          </cell>
          <cell r="M86">
            <v>215.74</v>
          </cell>
          <cell r="N86">
            <v>194.506</v>
          </cell>
          <cell r="O86">
            <v>171.57499999999999</v>
          </cell>
          <cell r="P86">
            <v>179.51599999999999</v>
          </cell>
          <cell r="Q86">
            <v>169.54900000000001</v>
          </cell>
          <cell r="R86">
            <v>170.73699999999999</v>
          </cell>
          <cell r="S86">
            <v>164.65299999999999</v>
          </cell>
          <cell r="T86">
            <v>163.376</v>
          </cell>
          <cell r="U86">
            <v>157.292</v>
          </cell>
          <cell r="V86">
            <v>154.25800000000001</v>
          </cell>
          <cell r="W86">
            <v>152.75200000000001</v>
          </cell>
          <cell r="X86">
            <v>140.22200000000001</v>
          </cell>
          <cell r="Y86">
            <v>152.75899999999999</v>
          </cell>
          <cell r="Z86">
            <v>140.49199999999999</v>
          </cell>
          <cell r="AA86">
            <v>127.929</v>
          </cell>
          <cell r="AB86">
            <v>137.715</v>
          </cell>
          <cell r="AC86">
            <v>105.38500000000001</v>
          </cell>
          <cell r="AD86">
            <v>95.94</v>
          </cell>
          <cell r="AE86">
            <v>96.013999999999996</v>
          </cell>
          <cell r="AF86">
            <v>91.608000000000004</v>
          </cell>
          <cell r="AG86">
            <v>90.135000000000005</v>
          </cell>
          <cell r="AH86">
            <v>85.474999999999994</v>
          </cell>
          <cell r="AI86">
            <v>83.497</v>
          </cell>
          <cell r="AJ86">
            <v>75.164000000000001</v>
          </cell>
          <cell r="AK86">
            <v>75.031999999999996</v>
          </cell>
          <cell r="AL86">
            <v>69.936999999999998</v>
          </cell>
          <cell r="AM86">
            <v>62.572000000000003</v>
          </cell>
          <cell r="AN86">
            <v>68.016999999999996</v>
          </cell>
        </row>
        <row r="87">
          <cell r="A87" t="str">
            <v xml:space="preserve">   Generic TRx's</v>
          </cell>
          <cell r="B87">
            <v>17.585000000000001</v>
          </cell>
          <cell r="C87">
            <v>1249.2550000000001</v>
          </cell>
          <cell r="D87">
            <v>1836.673</v>
          </cell>
          <cell r="E87">
            <v>1984.0940000000001</v>
          </cell>
          <cell r="F87">
            <v>2034.08</v>
          </cell>
          <cell r="G87">
            <v>1941.018</v>
          </cell>
          <cell r="H87">
            <v>2119.895</v>
          </cell>
          <cell r="I87">
            <v>2119.953</v>
          </cell>
          <cell r="J87">
            <v>2051.7069999999999</v>
          </cell>
          <cell r="K87">
            <v>2199.335</v>
          </cell>
          <cell r="L87">
            <v>2130.759</v>
          </cell>
          <cell r="M87">
            <v>2265.19</v>
          </cell>
          <cell r="N87">
            <v>2302.527</v>
          </cell>
          <cell r="O87">
            <v>2135.739</v>
          </cell>
          <cell r="P87">
            <v>2343.6570000000002</v>
          </cell>
          <cell r="Q87">
            <v>2294.857</v>
          </cell>
          <cell r="R87">
            <v>2358.9699999999998</v>
          </cell>
          <cell r="S87">
            <v>2328.1060000000002</v>
          </cell>
          <cell r="T87">
            <v>2400.634</v>
          </cell>
          <cell r="U87">
            <v>2342.5680000000002</v>
          </cell>
          <cell r="V87">
            <v>2357.6089999999999</v>
          </cell>
          <cell r="W87">
            <v>2471.7440000000001</v>
          </cell>
          <cell r="X87">
            <v>2312.1010000000001</v>
          </cell>
          <cell r="Y87">
            <v>2562.748</v>
          </cell>
          <cell r="Z87">
            <v>2537.6660000000002</v>
          </cell>
          <cell r="AA87">
            <v>2405.8510000000001</v>
          </cell>
          <cell r="AB87">
            <v>2691.5859999999998</v>
          </cell>
          <cell r="AC87">
            <v>2607.4050000000002</v>
          </cell>
          <cell r="AD87">
            <v>2605.8319999999999</v>
          </cell>
          <cell r="AE87">
            <v>2737.6529999999998</v>
          </cell>
          <cell r="AF87">
            <v>2728.1129999999998</v>
          </cell>
          <cell r="AG87">
            <v>2776.59</v>
          </cell>
          <cell r="AH87">
            <v>2724.4050000000002</v>
          </cell>
          <cell r="AI87">
            <v>2761.779</v>
          </cell>
          <cell r="AJ87">
            <v>2807.136</v>
          </cell>
          <cell r="AK87">
            <v>2911.0509999999999</v>
          </cell>
          <cell r="AL87">
            <v>2901.1149999999998</v>
          </cell>
          <cell r="AM87">
            <v>2743.08</v>
          </cell>
          <cell r="AN87">
            <v>3130.4009999999998</v>
          </cell>
        </row>
        <row r="88">
          <cell r="A88" t="str">
            <v xml:space="preserve">   Month-end Branded % of Molecule</v>
          </cell>
          <cell r="B88">
            <v>0.46211069311832531</v>
          </cell>
          <cell r="C88">
            <v>0.23403400710436784</v>
          </cell>
          <cell r="D88">
            <v>0.17570915231505455</v>
          </cell>
          <cell r="E88">
            <v>0.14946496470015411</v>
          </cell>
          <cell r="F88">
            <v>0.13338212503455471</v>
          </cell>
          <cell r="G88">
            <v>0.11920568264749942</v>
          </cell>
          <cell r="H88">
            <v>0.10910009133624156</v>
          </cell>
          <cell r="I88">
            <v>0.10269381960945814</v>
          </cell>
          <cell r="J88">
            <v>9.5561569283326708E-2</v>
          </cell>
          <cell r="K88">
            <v>9.0180467454653357E-2</v>
          </cell>
          <cell r="L88">
            <v>8.7139633593180041E-2</v>
          </cell>
          <cell r="M88">
            <v>7.849550548256766E-2</v>
          </cell>
          <cell r="N88">
            <v>7.4614902445669429E-2</v>
          </cell>
          <cell r="O88">
            <v>7.1344011341916286E-2</v>
          </cell>
          <cell r="P88">
            <v>6.8959131969098489E-2</v>
          </cell>
          <cell r="Q88">
            <v>6.757778395865037E-2</v>
          </cell>
          <cell r="R88">
            <v>6.6149860321056769E-2</v>
          </cell>
          <cell r="S88">
            <v>6.3870469429196192E-2</v>
          </cell>
          <cell r="T88">
            <v>6.2974837635326089E-2</v>
          </cell>
          <cell r="U88">
            <v>6.1511817634567922E-2</v>
          </cell>
          <cell r="V88">
            <v>5.8407770706118037E-2</v>
          </cell>
          <cell r="W88">
            <v>5.7251913560774845E-2</v>
          </cell>
          <cell r="X88">
            <v>5.6310368265461465E-2</v>
          </cell>
          <cell r="Y88">
            <v>5.2714792659953671E-2</v>
          </cell>
          <cell r="Z88">
            <v>5.0627612671914526E-2</v>
          </cell>
          <cell r="AA88">
            <v>4.8783677218632859E-2</v>
          </cell>
          <cell r="AB88">
            <v>3.9528786760144569E-2</v>
          </cell>
          <cell r="AC88">
            <v>3.5733370289971297E-2</v>
          </cell>
          <cell r="AD88">
            <v>3.3987026206006597E-2</v>
          </cell>
          <cell r="AE88">
            <v>3.2581748689150009E-2</v>
          </cell>
          <cell r="AF88">
            <v>3.1510501114090504E-2</v>
          </cell>
          <cell r="AG88">
            <v>3.0488890605376677E-2</v>
          </cell>
          <cell r="AH88">
            <v>2.9416577493758523E-2</v>
          </cell>
          <cell r="AI88">
            <v>2.6293040824885233E-2</v>
          </cell>
          <cell r="AJ88">
            <v>2.5188541698787897E-2</v>
          </cell>
          <cell r="AK88">
            <v>2.3645823760361829E-2</v>
          </cell>
          <cell r="AL88">
            <v>2.2389135383565236E-2</v>
          </cell>
          <cell r="AM88">
            <v>2.1326928760857962E-2</v>
          </cell>
        </row>
        <row r="90">
          <cell r="A90" t="str">
            <v>Total Glucophage and Total Metformin 1/28/02</v>
          </cell>
          <cell r="B90">
            <v>28</v>
          </cell>
        </row>
        <row r="91">
          <cell r="A91" t="str">
            <v xml:space="preserve">   Branded TRx's</v>
          </cell>
          <cell r="B91">
            <v>3025.9439999999995</v>
          </cell>
          <cell r="C91">
            <v>1632.1689999999999</v>
          </cell>
          <cell r="D91">
            <v>1320.0120000000002</v>
          </cell>
          <cell r="E91">
            <v>1233.17</v>
          </cell>
          <cell r="F91">
            <v>1170.73</v>
          </cell>
          <cell r="G91">
            <v>1073.1400000000001</v>
          </cell>
          <cell r="H91">
            <v>1127.8689999999999</v>
          </cell>
          <cell r="I91">
            <v>1085.729</v>
          </cell>
          <cell r="J91">
            <v>1023.94</v>
          </cell>
          <cell r="K91">
            <v>1076.7850000000001</v>
          </cell>
          <cell r="L91">
            <v>1012.544</v>
          </cell>
          <cell r="M91">
            <v>1058.229</v>
          </cell>
          <cell r="N91">
            <v>1024.444</v>
          </cell>
          <cell r="O91">
            <v>932.77</v>
          </cell>
          <cell r="P91">
            <v>1010.8869999999999</v>
          </cell>
          <cell r="Q91">
            <v>972.33500000000004</v>
          </cell>
          <cell r="R91">
            <v>995.66300000000001</v>
          </cell>
          <cell r="S91">
            <v>971.74</v>
          </cell>
          <cell r="T91">
            <v>994.31299999999999</v>
          </cell>
          <cell r="U91">
            <v>961.06799999999998</v>
          </cell>
          <cell r="V91">
            <v>962.03700000000003</v>
          </cell>
          <cell r="W91">
            <v>988.21</v>
          </cell>
          <cell r="X91">
            <v>905.24599999999998</v>
          </cell>
          <cell r="Y91">
            <v>646.42599999999993</v>
          </cell>
          <cell r="Z91">
            <v>413.05700000000002</v>
          </cell>
          <cell r="AA91">
            <v>342.73900000000003</v>
          </cell>
          <cell r="AB91">
            <v>349.553</v>
          </cell>
          <cell r="AC91">
            <v>286.95</v>
          </cell>
          <cell r="AD91">
            <v>262.97699999999998</v>
          </cell>
          <cell r="AE91">
            <v>258.85500000000002</v>
          </cell>
          <cell r="AF91">
            <v>245.071</v>
          </cell>
          <cell r="AG91">
            <v>235.63</v>
          </cell>
          <cell r="AH91">
            <v>220.358</v>
          </cell>
          <cell r="AI91">
            <v>212.863</v>
          </cell>
          <cell r="AJ91">
            <v>188.64</v>
          </cell>
          <cell r="AK91">
            <v>179.61699999999999</v>
          </cell>
          <cell r="AL91">
            <v>163.21199999999999</v>
          </cell>
          <cell r="AM91">
            <v>143.31700000000001</v>
          </cell>
          <cell r="AN91">
            <v>154.25700000000001</v>
          </cell>
        </row>
        <row r="92">
          <cell r="A92" t="str">
            <v xml:space="preserve">   Generic TRx's</v>
          </cell>
          <cell r="B92">
            <v>17.585000000000001</v>
          </cell>
          <cell r="C92">
            <v>1249.2550000000001</v>
          </cell>
          <cell r="D92">
            <v>1836.673</v>
          </cell>
          <cell r="E92">
            <v>1984.0940000000001</v>
          </cell>
          <cell r="F92">
            <v>2034.08</v>
          </cell>
          <cell r="G92">
            <v>1941.018</v>
          </cell>
          <cell r="H92">
            <v>2119.895</v>
          </cell>
          <cell r="I92">
            <v>2119.953</v>
          </cell>
          <cell r="J92">
            <v>2051.7069999999999</v>
          </cell>
          <cell r="K92">
            <v>2199.335</v>
          </cell>
          <cell r="L92">
            <v>2130.759</v>
          </cell>
          <cell r="M92">
            <v>2265.19</v>
          </cell>
          <cell r="N92">
            <v>2302.527</v>
          </cell>
          <cell r="O92">
            <v>2135.739</v>
          </cell>
          <cell r="P92">
            <v>2343.6570000000002</v>
          </cell>
          <cell r="Q92">
            <v>2294.857</v>
          </cell>
          <cell r="R92">
            <v>2358.9699999999998</v>
          </cell>
          <cell r="S92">
            <v>2328.1060000000002</v>
          </cell>
          <cell r="T92">
            <v>2400.634</v>
          </cell>
          <cell r="U92">
            <v>2342.5700000000002</v>
          </cell>
          <cell r="V92">
            <v>2357.6089999999999</v>
          </cell>
          <cell r="W92">
            <v>2471.7440000000001</v>
          </cell>
          <cell r="X92">
            <v>2312.1040000000003</v>
          </cell>
          <cell r="Y92">
            <v>2901.2780000000002</v>
          </cell>
          <cell r="Z92">
            <v>3084.2520000000004</v>
          </cell>
          <cell r="AA92">
            <v>2953.181</v>
          </cell>
          <cell r="AB92">
            <v>3317.2449999999999</v>
          </cell>
          <cell r="AC92">
            <v>3209.1150000000002</v>
          </cell>
          <cell r="AD92">
            <v>3212.855</v>
          </cell>
          <cell r="AE92">
            <v>3372.4389999999999</v>
          </cell>
          <cell r="AF92">
            <v>3362.4129999999996</v>
          </cell>
          <cell r="AG92">
            <v>3427.6730000000002</v>
          </cell>
          <cell r="AH92">
            <v>3358.6820000000002</v>
          </cell>
          <cell r="AI92">
            <v>3404.9279999999999</v>
          </cell>
          <cell r="AJ92">
            <v>3459.7190000000001</v>
          </cell>
          <cell r="AK92">
            <v>3597.0920000000001</v>
          </cell>
          <cell r="AL92">
            <v>3576.2689999999998</v>
          </cell>
          <cell r="AM92">
            <v>3379.585</v>
          </cell>
          <cell r="AN92">
            <v>3840.944</v>
          </cell>
        </row>
        <row r="93">
          <cell r="A93" t="str">
            <v xml:space="preserve">   Month-end Branded % of Molecule</v>
          </cell>
          <cell r="B93">
            <v>0.59645558509445928</v>
          </cell>
          <cell r="C93">
            <v>0.42724017033749578</v>
          </cell>
          <cell r="D93">
            <v>0.38558125012539318</v>
          </cell>
          <cell r="E93">
            <v>0.36650795751588178</v>
          </cell>
          <cell r="F93">
            <v>0.35668749097802344</v>
          </cell>
          <cell r="G93">
            <v>0.34781999426023885</v>
          </cell>
          <cell r="H93">
            <v>0.33926837634314588</v>
          </cell>
          <cell r="I93">
            <v>0.33331839755286641</v>
          </cell>
          <cell r="J93">
            <v>0.3289434714346835</v>
          </cell>
          <cell r="K93">
            <v>0.32258119846043221</v>
          </cell>
          <cell r="L93">
            <v>0.31865064419965639</v>
          </cell>
          <cell r="M93">
            <v>0.30861988713535737</v>
          </cell>
          <cell r="N93">
            <v>0.30426466936713192</v>
          </cell>
          <cell r="O93">
            <v>0.30151003979942892</v>
          </cell>
          <cell r="P93">
            <v>0.29786145017096571</v>
          </cell>
          <cell r="Q93">
            <v>0.29685461398811203</v>
          </cell>
          <cell r="R93">
            <v>0.29463760207183992</v>
          </cell>
          <cell r="S93">
            <v>0.29298415333073746</v>
          </cell>
          <cell r="T93">
            <v>0.29104661436249318</v>
          </cell>
          <cell r="U93">
            <v>0.28987481026516532</v>
          </cell>
          <cell r="V93">
            <v>0.28588219301446349</v>
          </cell>
          <cell r="W93">
            <v>0.28166701283186341</v>
          </cell>
          <cell r="X93">
            <v>0.1882418686239021</v>
          </cell>
          <cell r="Y93">
            <v>0.12243801803198361</v>
          </cell>
          <cell r="Z93">
            <v>0.10498354468392534</v>
          </cell>
          <cell r="AA93">
            <v>9.5851662639289736E-2</v>
          </cell>
          <cell r="AB93">
            <v>8.3001544066959379E-2</v>
          </cell>
          <cell r="AC93">
            <v>7.6088995696571265E-2</v>
          </cell>
          <cell r="AD93">
            <v>7.1564434977181193E-2</v>
          </cell>
          <cell r="AE93">
            <v>6.815878950947124E-2</v>
          </cell>
          <cell r="AF93">
            <v>6.4559126483780663E-2</v>
          </cell>
          <cell r="AG93">
            <v>6.1756564267236462E-2</v>
          </cell>
          <cell r="AH93">
            <v>5.9018095300161104E-2</v>
          </cell>
          <cell r="AI93">
            <v>5.2177210868079145E-2</v>
          </cell>
          <cell r="AJ93">
            <v>4.7826764257672877E-2</v>
          </cell>
          <cell r="AK93">
            <v>4.390895167087263E-2</v>
          </cell>
          <cell r="AL93">
            <v>4.0890417318969328E-2</v>
          </cell>
          <cell r="AM93">
            <v>3.8733281758813569E-2</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6 Months</v>
          </cell>
        </row>
        <row r="5">
          <cell r="B5">
            <v>31746</v>
          </cell>
        </row>
        <row r="6">
          <cell r="Q6">
            <v>6.656580937972767E-2</v>
          </cell>
        </row>
        <row r="7">
          <cell r="B7">
            <v>9.43</v>
          </cell>
        </row>
      </sheetData>
      <sheetData sheetId="1" refreshError="1">
        <row r="16">
          <cell r="C16">
            <v>2.9500000000000006</v>
          </cell>
        </row>
        <row r="25">
          <cell r="C25">
            <v>0.87972759492967612</v>
          </cell>
        </row>
        <row r="28">
          <cell r="C28">
            <v>3.6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12 Months</v>
          </cell>
        </row>
        <row r="5">
          <cell r="B5">
            <v>13384</v>
          </cell>
        </row>
        <row r="6">
          <cell r="Q6">
            <v>8.43E-2</v>
          </cell>
        </row>
        <row r="7">
          <cell r="B7">
            <v>3.5842214584578596</v>
          </cell>
        </row>
      </sheetData>
      <sheetData sheetId="1" refreshError="1">
        <row r="16">
          <cell r="C16">
            <v>6.9041699999999961</v>
          </cell>
        </row>
        <row r="25">
          <cell r="C25">
            <v>5.0724309885973007</v>
          </cell>
        </row>
        <row r="28">
          <cell r="C28">
            <v>9.5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6 Months</v>
          </cell>
        </row>
        <row r="5">
          <cell r="B5">
            <v>93</v>
          </cell>
        </row>
        <row r="6">
          <cell r="Q6">
            <v>0.11764705882352922</v>
          </cell>
        </row>
        <row r="7">
          <cell r="B7">
            <v>1.5869999999999997</v>
          </cell>
        </row>
      </sheetData>
      <sheetData sheetId="1" refreshError="1">
        <row r="16">
          <cell r="C16">
            <v>2.9999999999999987</v>
          </cell>
        </row>
        <row r="25">
          <cell r="C25">
            <v>5.3911142244826298</v>
          </cell>
        </row>
        <row r="28">
          <cell r="C28">
            <v>8.4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12 Months</v>
          </cell>
        </row>
        <row r="5">
          <cell r="B5">
            <v>1925</v>
          </cell>
        </row>
        <row r="6">
          <cell r="Q6">
            <v>2.5505866349260664E-2</v>
          </cell>
        </row>
        <row r="7">
          <cell r="B7">
            <v>2.95</v>
          </cell>
        </row>
      </sheetData>
      <sheetData sheetId="1" refreshError="1">
        <row r="16">
          <cell r="C16">
            <v>5.9999999999999778</v>
          </cell>
        </row>
        <row r="25">
          <cell r="C25">
            <v>7.0968362721773204</v>
          </cell>
        </row>
        <row r="28">
          <cell r="C28">
            <v>4.5999999999999996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2 Months</v>
          </cell>
        </row>
        <row r="5">
          <cell r="B5">
            <v>169638</v>
          </cell>
        </row>
        <row r="6">
          <cell r="Q6">
            <v>2.6577181208053746E-2</v>
          </cell>
        </row>
        <row r="7">
          <cell r="B7">
            <v>3.7830556832785107</v>
          </cell>
        </row>
      </sheetData>
      <sheetData sheetId="1" refreshError="1">
        <row r="16">
          <cell r="C16">
            <v>0.99000000000000554</v>
          </cell>
        </row>
        <row r="25">
          <cell r="C25">
            <v>2.6059135372345925</v>
          </cell>
        </row>
        <row r="28">
          <cell r="C28">
            <v>1.4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12 Months</v>
          </cell>
        </row>
        <row r="5">
          <cell r="B5">
            <v>4254</v>
          </cell>
        </row>
        <row r="6">
          <cell r="Q6">
            <v>2.6222537207654106E-2</v>
          </cell>
        </row>
        <row r="7">
          <cell r="B7">
            <v>1.6</v>
          </cell>
        </row>
      </sheetData>
      <sheetData sheetId="1">
        <row r="16">
          <cell r="C16">
            <v>0.74000000000000199</v>
          </cell>
        </row>
        <row r="25">
          <cell r="C25">
            <v>10.127979498665745</v>
          </cell>
        </row>
        <row r="28">
          <cell r="C28">
            <v>9.3000000000000007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12 Months</v>
          </cell>
        </row>
        <row r="5">
          <cell r="B5">
            <v>311</v>
          </cell>
        </row>
        <row r="6">
          <cell r="Q6">
            <v>0.12139737991266442</v>
          </cell>
        </row>
        <row r="7">
          <cell r="B7">
            <v>1.71</v>
          </cell>
        </row>
      </sheetData>
      <sheetData sheetId="1">
        <row r="16">
          <cell r="C16">
            <v>1.3899999999999997</v>
          </cell>
        </row>
        <row r="25">
          <cell r="C25">
            <v>17.800400193640396</v>
          </cell>
        </row>
        <row r="28">
          <cell r="C28">
            <v>16.5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ow r="3">
          <cell r="B3" t="str">
            <v xml:space="preserve">  9 Months</v>
          </cell>
        </row>
        <row r="5">
          <cell r="B5">
            <v>2729</v>
          </cell>
        </row>
        <row r="6">
          <cell r="Q6">
            <v>2.9427719012747433E-2</v>
          </cell>
        </row>
        <row r="7">
          <cell r="B7">
            <v>1.63</v>
          </cell>
        </row>
      </sheetData>
      <sheetData sheetId="1">
        <row r="16">
          <cell r="C16">
            <v>2.1699999999999964</v>
          </cell>
        </row>
        <row r="25">
          <cell r="C25">
            <v>17.117029374233631</v>
          </cell>
        </row>
        <row r="28">
          <cell r="C28">
            <v>5.0999999999999996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bate Discount Rates"/>
      <sheetName val="COBRA"/>
      <sheetName val="COBRA Juvisync"/>
    </sheetNames>
    <sheetDataSet>
      <sheetData sheetId="0">
        <row r="5">
          <cell r="A5" t="str">
            <v>Atozet</v>
          </cell>
          <cell r="B5" t="str">
            <v>launch</v>
          </cell>
          <cell r="D5">
            <v>0</v>
          </cell>
          <cell r="E5">
            <v>0.20993617801199052</v>
          </cell>
          <cell r="F5">
            <v>0.45174862311486319</v>
          </cell>
          <cell r="G5">
            <v>0.44706159581317678</v>
          </cell>
          <cell r="H5">
            <v>0.44662698939066625</v>
          </cell>
          <cell r="I5">
            <v>0.44753054175336193</v>
          </cell>
        </row>
        <row r="6">
          <cell r="A6" t="str">
            <v>Bridion</v>
          </cell>
          <cell r="B6" t="str">
            <v>launch</v>
          </cell>
          <cell r="D6">
            <v>0</v>
          </cell>
          <cell r="E6">
            <v>7.1500000000000022E-2</v>
          </cell>
          <cell r="F6">
            <v>7.1500000000000077E-2</v>
          </cell>
          <cell r="G6">
            <v>7.150000000000005E-2</v>
          </cell>
          <cell r="H6">
            <v>7.1500000000000064E-2</v>
          </cell>
          <cell r="I6">
            <v>7.1500000000000258E-2</v>
          </cell>
        </row>
        <row r="7">
          <cell r="A7" t="str">
            <v>Elonva</v>
          </cell>
          <cell r="B7" t="str">
            <v>launch</v>
          </cell>
          <cell r="C7" t="str">
            <v>is this still set to launch?</v>
          </cell>
          <cell r="D7">
            <v>0</v>
          </cell>
          <cell r="E7">
            <v>0</v>
          </cell>
          <cell r="F7">
            <v>0.42</v>
          </cell>
          <cell r="G7">
            <v>0.42299573558667103</v>
          </cell>
          <cell r="H7">
            <v>0.42600285961892609</v>
          </cell>
          <cell r="I7">
            <v>0.4290000612488501</v>
          </cell>
        </row>
        <row r="8">
          <cell r="A8" t="str">
            <v>Grazax</v>
          </cell>
          <cell r="B8" t="str">
            <v>launch</v>
          </cell>
          <cell r="D8">
            <v>0</v>
          </cell>
          <cell r="E8">
            <v>0</v>
          </cell>
          <cell r="F8">
            <v>0.15000000000000002</v>
          </cell>
          <cell r="G8">
            <v>0.3</v>
          </cell>
          <cell r="H8">
            <v>0.30000000000000016</v>
          </cell>
          <cell r="I8">
            <v>0.30000000000000016</v>
          </cell>
        </row>
        <row r="9">
          <cell r="A9" t="str">
            <v>Odanacatib</v>
          </cell>
          <cell r="B9" t="str">
            <v>launch</v>
          </cell>
          <cell r="D9">
            <v>0</v>
          </cell>
          <cell r="E9">
            <v>0</v>
          </cell>
          <cell r="F9">
            <v>0.11415611256260993</v>
          </cell>
          <cell r="G9">
            <v>0.15510218299778558</v>
          </cell>
          <cell r="H9">
            <v>0.22147683435521309</v>
          </cell>
          <cell r="I9">
            <v>0.23684578886147611</v>
          </cell>
        </row>
        <row r="10">
          <cell r="A10" t="str">
            <v>Suvorexant</v>
          </cell>
          <cell r="B10" t="str">
            <v>launch</v>
          </cell>
          <cell r="D10">
            <v>0</v>
          </cell>
          <cell r="E10">
            <v>0</v>
          </cell>
          <cell r="F10">
            <v>0.17089999999999997</v>
          </cell>
          <cell r="G10">
            <v>0.22850000000000001</v>
          </cell>
          <cell r="H10">
            <v>0.24330000000000004</v>
          </cell>
          <cell r="I10">
            <v>0.2545</v>
          </cell>
        </row>
        <row r="11">
          <cell r="A11" t="str">
            <v>Asmanex</v>
          </cell>
          <cell r="B11" t="str">
            <v>basic</v>
          </cell>
          <cell r="D11">
            <v>0.58708336998116828</v>
          </cell>
          <cell r="E11">
            <v>0.56749629170086202</v>
          </cell>
          <cell r="F11">
            <v>0.55582269159367326</v>
          </cell>
          <cell r="G11">
            <v>0.55846095494094061</v>
          </cell>
          <cell r="H11">
            <v>0.55967970103352738</v>
          </cell>
          <cell r="I11">
            <v>0.56075339414742209</v>
          </cell>
        </row>
        <row r="12">
          <cell r="A12" t="str">
            <v>Dulera</v>
          </cell>
          <cell r="B12" t="str">
            <v>basic</v>
          </cell>
          <cell r="D12">
            <v>0.37611716539154283</v>
          </cell>
          <cell r="E12">
            <v>0.38067494065173074</v>
          </cell>
          <cell r="F12">
            <v>0.37988220831384339</v>
          </cell>
          <cell r="G12">
            <v>0.38468554667684457</v>
          </cell>
          <cell r="H12">
            <v>0.40878824634883626</v>
          </cell>
          <cell r="I12">
            <v>0.41351976247672179</v>
          </cell>
        </row>
        <row r="13">
          <cell r="A13" t="str">
            <v>Foradil</v>
          </cell>
          <cell r="B13" t="str">
            <v>basic</v>
          </cell>
          <cell r="D13">
            <v>0.66623152656598339</v>
          </cell>
          <cell r="E13">
            <v>0.70320308395765752</v>
          </cell>
          <cell r="F13">
            <v>0.69404255569402495</v>
          </cell>
          <cell r="G13">
            <v>0.69844853716970845</v>
          </cell>
          <cell r="H13">
            <v>0.7021926104313585</v>
          </cell>
          <cell r="I13">
            <v>0.70490771911783334</v>
          </cell>
        </row>
        <row r="14">
          <cell r="A14" t="str">
            <v>Isentress</v>
          </cell>
          <cell r="B14" t="str">
            <v>basic</v>
          </cell>
          <cell r="D14">
            <v>0.25986707501305412</v>
          </cell>
          <cell r="E14">
            <v>0.25155193708791485</v>
          </cell>
          <cell r="F14">
            <v>0.28558100872448761</v>
          </cell>
          <cell r="G14">
            <v>0.29708249919948904</v>
          </cell>
          <cell r="H14">
            <v>0.30623445887738787</v>
          </cell>
          <cell r="I14">
            <v>0.31553272288376738</v>
          </cell>
        </row>
        <row r="15">
          <cell r="A15" t="str">
            <v>Janumet/Janumet XR</v>
          </cell>
          <cell r="B15" t="str">
            <v>basic</v>
          </cell>
          <cell r="D15">
            <v>0.277618994791338</v>
          </cell>
          <cell r="E15">
            <v>0.33106748707239209</v>
          </cell>
          <cell r="F15">
            <v>0.33414979324709859</v>
          </cell>
          <cell r="G15">
            <v>0.34313443535524651</v>
          </cell>
          <cell r="H15">
            <v>0.35004963802289507</v>
          </cell>
          <cell r="I15">
            <v>0.35482958187000579</v>
          </cell>
        </row>
        <row r="16">
          <cell r="A16" t="str">
            <v>Januvia</v>
          </cell>
          <cell r="B16" t="str">
            <v>basic</v>
          </cell>
          <cell r="D16">
            <v>0.2834871490100897</v>
          </cell>
          <cell r="E16">
            <v>0.33242191776850771</v>
          </cell>
          <cell r="F16">
            <v>0.34428357076071653</v>
          </cell>
          <cell r="G16">
            <v>0.35426157051657836</v>
          </cell>
          <cell r="H16">
            <v>0.36167519266769638</v>
          </cell>
          <cell r="I16">
            <v>0.36627408622139102</v>
          </cell>
        </row>
        <row r="17">
          <cell r="A17" t="str">
            <v>Januvia+Janumet+Janumet XR+Juvisync</v>
          </cell>
          <cell r="B17" t="str">
            <v>basic</v>
          </cell>
          <cell r="D17">
            <v>0.28381029864011992</v>
          </cell>
          <cell r="E17">
            <v>0.33213883924467352</v>
          </cell>
          <cell r="F17">
            <v>0.34141548939227978</v>
          </cell>
          <cell r="G17">
            <v>0.35108572752474115</v>
          </cell>
          <cell r="H17">
            <v>0.35835607006105358</v>
          </cell>
          <cell r="I17">
            <v>0.36333084089933793</v>
          </cell>
        </row>
        <row r="18">
          <cell r="A18" t="str">
            <v>Juvisync</v>
          </cell>
          <cell r="B18" t="str">
            <v>basic</v>
          </cell>
          <cell r="D18">
            <v>0.62025566787673259</v>
          </cell>
          <cell r="E18">
            <v>0.47691482701691396</v>
          </cell>
          <cell r="F18">
            <v>0.46560855923330596</v>
          </cell>
          <cell r="G18">
            <v>0.47976896785612333</v>
          </cell>
          <cell r="H18">
            <v>0.4948318539570602</v>
          </cell>
          <cell r="I18">
            <v>0.73222623346111748</v>
          </cell>
        </row>
        <row r="19">
          <cell r="A19" t="str">
            <v>Maxalt</v>
          </cell>
          <cell r="B19" t="str">
            <v>basic</v>
          </cell>
          <cell r="D19">
            <v>0.31328952664846188</v>
          </cell>
          <cell r="E19">
            <v>0.48800000742443095</v>
          </cell>
          <cell r="F19">
            <v>0.54318274489744411</v>
          </cell>
          <cell r="G19">
            <v>0.54318274489744411</v>
          </cell>
          <cell r="H19">
            <v>0.543182744897444</v>
          </cell>
          <cell r="I19">
            <v>0.54120612459182837</v>
          </cell>
        </row>
        <row r="20">
          <cell r="A20" t="str">
            <v>Nasonex</v>
          </cell>
          <cell r="B20" t="str">
            <v>basic</v>
          </cell>
          <cell r="D20">
            <v>0.50369867869000862</v>
          </cell>
          <cell r="E20">
            <v>0.48412077521826041</v>
          </cell>
          <cell r="F20">
            <v>0.49707351732961264</v>
          </cell>
          <cell r="G20">
            <v>0.50071642876502531</v>
          </cell>
          <cell r="H20">
            <v>0.50416533089965143</v>
          </cell>
          <cell r="I20">
            <v>0.50654097173721957</v>
          </cell>
        </row>
        <row r="21">
          <cell r="A21" t="str">
            <v>Nuvaring</v>
          </cell>
          <cell r="B21" t="str">
            <v>basic</v>
          </cell>
          <cell r="D21">
            <v>0.39802018253913357</v>
          </cell>
          <cell r="E21">
            <v>0.40088617562424661</v>
          </cell>
          <cell r="F21">
            <v>0.40867726292625889</v>
          </cell>
          <cell r="G21">
            <v>0.4130069166281668</v>
          </cell>
          <cell r="H21">
            <v>0.41544367798542953</v>
          </cell>
          <cell r="I21">
            <v>0.41724110290585142</v>
          </cell>
        </row>
        <row r="22">
          <cell r="A22" t="str">
            <v>Proventil</v>
          </cell>
          <cell r="B22" t="str">
            <v>basic</v>
          </cell>
          <cell r="D22">
            <v>0.66247742878139315</v>
          </cell>
          <cell r="E22">
            <v>0.6348834093448138</v>
          </cell>
          <cell r="F22">
            <v>0.63931810677540379</v>
          </cell>
          <cell r="G22">
            <v>0.64135034055265361</v>
          </cell>
          <cell r="H22">
            <v>0.64376282742671809</v>
          </cell>
          <cell r="I22">
            <v>0.64658514786399945</v>
          </cell>
        </row>
        <row r="23">
          <cell r="A23" t="str">
            <v>Saphris</v>
          </cell>
          <cell r="B23" t="str">
            <v>basic</v>
          </cell>
          <cell r="D23">
            <v>0.31240583068124828</v>
          </cell>
          <cell r="E23">
            <v>0.31044867065814757</v>
          </cell>
          <cell r="F23">
            <v>0.30835426003827959</v>
          </cell>
          <cell r="G23">
            <v>0.31239986844450435</v>
          </cell>
          <cell r="H23">
            <v>0.31494029401685825</v>
          </cell>
          <cell r="I23">
            <v>0.31351874233088811</v>
          </cell>
        </row>
        <row r="24">
          <cell r="A24" t="str">
            <v>Vytorin</v>
          </cell>
          <cell r="B24" t="str">
            <v>basic</v>
          </cell>
          <cell r="D24">
            <v>0.31185426695401625</v>
          </cell>
          <cell r="E24">
            <v>0.36403856014773223</v>
          </cell>
          <cell r="F24">
            <v>0.36362873079698843</v>
          </cell>
          <cell r="G24">
            <v>0.36859052247254043</v>
          </cell>
          <cell r="H24">
            <v>0.37209419615910655</v>
          </cell>
          <cell r="I24">
            <v>0.36040863950582136</v>
          </cell>
        </row>
        <row r="25">
          <cell r="A25" t="str">
            <v>Zetia</v>
          </cell>
          <cell r="B25" t="str">
            <v>basic</v>
          </cell>
          <cell r="D25">
            <v>0.26842548518025605</v>
          </cell>
          <cell r="E25">
            <v>0.27007782462163055</v>
          </cell>
          <cell r="F25">
            <v>0.28476222776042776</v>
          </cell>
          <cell r="G25">
            <v>0.28958879262061682</v>
          </cell>
          <cell r="H25">
            <v>0.29124609354540681</v>
          </cell>
          <cell r="I25">
            <v>0.33024387474612216</v>
          </cell>
        </row>
        <row r="26">
          <cell r="A26" t="str">
            <v>Zetia/Vytorin</v>
          </cell>
          <cell r="B26" t="str">
            <v>basic</v>
          </cell>
          <cell r="D26">
            <v>0.28487909913190984</v>
          </cell>
          <cell r="E26">
            <v>0.30015039774477892</v>
          </cell>
          <cell r="F26">
            <v>0.30632932964696674</v>
          </cell>
          <cell r="G26">
            <v>0.30544235542730935</v>
          </cell>
          <cell r="H26">
            <v>0.30228534353608372</v>
          </cell>
          <cell r="I26">
            <v>0.34103051641226406</v>
          </cell>
        </row>
        <row r="27">
          <cell r="A27" t="str">
            <v>Zioptan</v>
          </cell>
          <cell r="B27" t="str">
            <v>basic</v>
          </cell>
          <cell r="D27">
            <v>0.13734377504176801</v>
          </cell>
          <cell r="E27">
            <v>0.31203500482535512</v>
          </cell>
          <cell r="F27">
            <v>0.36712323307471573</v>
          </cell>
          <cell r="G27">
            <v>0.35975608459985109</v>
          </cell>
          <cell r="H27">
            <v>0.34849999999999987</v>
          </cell>
          <cell r="I27">
            <v>0.36499999999999999</v>
          </cell>
        </row>
        <row r="28">
          <cell r="A28" t="str">
            <v>Avelox oral</v>
          </cell>
          <cell r="B28" t="str">
            <v>short term</v>
          </cell>
          <cell r="D28">
            <v>0.36383519351965538</v>
          </cell>
          <cell r="E28">
            <v>0.36597386842559154</v>
          </cell>
          <cell r="F28">
            <v>0.34934654039245683</v>
          </cell>
          <cell r="G28">
            <v>0.4238633162347118</v>
          </cell>
          <cell r="H28">
            <v>0.16840500315975335</v>
          </cell>
          <cell r="I28">
            <v>9.6950085827980606E-2</v>
          </cell>
        </row>
        <row r="29">
          <cell r="A29" t="str">
            <v>Azasite</v>
          </cell>
          <cell r="B29" t="str">
            <v>short term</v>
          </cell>
          <cell r="D29">
            <v>0.26238108312685765</v>
          </cell>
          <cell r="E29">
            <v>0.25000000000000006</v>
          </cell>
          <cell r="F29">
            <v>0.24999999999999986</v>
          </cell>
          <cell r="G29">
            <v>0.25000000000000017</v>
          </cell>
          <cell r="H29">
            <v>0.24999999999999994</v>
          </cell>
          <cell r="I29">
            <v>0.24999999999999992</v>
          </cell>
        </row>
        <row r="30">
          <cell r="A30" t="str">
            <v>Sylatron</v>
          </cell>
          <cell r="B30" t="str">
            <v>short term</v>
          </cell>
          <cell r="C30" t="str">
            <v>did patient expire? Move to mature?</v>
          </cell>
          <cell r="D30">
            <v>0.1652338220330182</v>
          </cell>
          <cell r="E30">
            <v>0.14999999180945298</v>
          </cell>
          <cell r="F30">
            <v>0.15000000000000013</v>
          </cell>
          <cell r="G30">
            <v>0.14999999999999991</v>
          </cell>
          <cell r="H30">
            <v>0.14999999999999991</v>
          </cell>
          <cell r="I30">
            <v>0.15000000000000027</v>
          </cell>
        </row>
        <row r="31">
          <cell r="A31" t="str">
            <v>Emend IV</v>
          </cell>
          <cell r="B31" t="str">
            <v>short term</v>
          </cell>
          <cell r="D31">
            <v>0.13462364846744285</v>
          </cell>
          <cell r="E31">
            <v>0.14147277710284442</v>
          </cell>
          <cell r="F31">
            <v>0.14435779753573458</v>
          </cell>
          <cell r="G31">
            <v>0.14755018655387028</v>
          </cell>
          <cell r="H31">
            <v>0.15068835462588259</v>
          </cell>
          <cell r="I31">
            <v>0.15390537298313059</v>
          </cell>
        </row>
        <row r="32">
          <cell r="A32" t="str">
            <v>Emend Oral</v>
          </cell>
          <cell r="B32" t="str">
            <v>short term</v>
          </cell>
          <cell r="D32">
            <v>0.19232763245500611</v>
          </cell>
          <cell r="E32">
            <v>0.19315550713670895</v>
          </cell>
          <cell r="F32">
            <v>0.19310966633041099</v>
          </cell>
          <cell r="G32">
            <v>0.20440731051710148</v>
          </cell>
          <cell r="H32">
            <v>0.22992723302522702</v>
          </cell>
          <cell r="I32">
            <v>0.24411592296846926</v>
          </cell>
        </row>
        <row r="33">
          <cell r="A33" t="str">
            <v>Emend Total</v>
          </cell>
          <cell r="B33" t="str">
            <v>short term</v>
          </cell>
          <cell r="D33">
            <v>0.15121567752005394</v>
          </cell>
          <cell r="E33">
            <v>0.15278478483437843</v>
          </cell>
          <cell r="F33">
            <v>0.15239083112831728</v>
          </cell>
          <cell r="G33">
            <v>0.15108754433534907</v>
          </cell>
          <cell r="H33">
            <v>0.15181659421576502</v>
          </cell>
          <cell r="I33">
            <v>0.1549007340500928</v>
          </cell>
        </row>
        <row r="34">
          <cell r="A34" t="str">
            <v>Follistim</v>
          </cell>
          <cell r="B34" t="str">
            <v>short term</v>
          </cell>
          <cell r="D34">
            <v>0.40198572284358436</v>
          </cell>
          <cell r="E34">
            <v>0.4105276329707897</v>
          </cell>
          <cell r="F34">
            <v>0.41465612801476642</v>
          </cell>
          <cell r="G34">
            <v>0.41768373194995739</v>
          </cell>
          <cell r="H34">
            <v>0.42175686274509794</v>
          </cell>
          <cell r="I34">
            <v>0.42478431372549014</v>
          </cell>
        </row>
        <row r="35">
          <cell r="A35" t="str">
            <v>Ganirelix</v>
          </cell>
          <cell r="B35" t="str">
            <v>short term</v>
          </cell>
          <cell r="D35">
            <v>8.6465998390196155E-2</v>
          </cell>
          <cell r="E35">
            <v>9.2999997307082596E-2</v>
          </cell>
          <cell r="F35">
            <v>9.3999999999999959E-2</v>
          </cell>
          <cell r="G35">
            <v>9.4000000000000014E-2</v>
          </cell>
          <cell r="H35">
            <v>9.5999999999999988E-2</v>
          </cell>
          <cell r="I35">
            <v>9.6000000000000002E-2</v>
          </cell>
        </row>
        <row r="36">
          <cell r="A36" t="str">
            <v>Implanon/Nexplanon</v>
          </cell>
          <cell r="B36" t="str">
            <v>short term</v>
          </cell>
          <cell r="D36">
            <v>0.32459217685677283</v>
          </cell>
          <cell r="E36">
            <v>0.29081053411543761</v>
          </cell>
          <cell r="F36">
            <v>0.30081051326467706</v>
          </cell>
          <cell r="G36">
            <v>0.31081051326467701</v>
          </cell>
          <cell r="H36">
            <v>0.31831051326467691</v>
          </cell>
          <cell r="I36">
            <v>0.32331051326467686</v>
          </cell>
        </row>
        <row r="37">
          <cell r="A37" t="str">
            <v>Intron A</v>
          </cell>
          <cell r="B37" t="str">
            <v>short term</v>
          </cell>
          <cell r="D37">
            <v>0.16965731755554703</v>
          </cell>
          <cell r="E37">
            <v>0.15179777401869363</v>
          </cell>
          <cell r="F37">
            <v>0.15158200302114613</v>
          </cell>
          <cell r="G37">
            <v>0.15181184259711708</v>
          </cell>
          <cell r="H37">
            <v>0.15000000000000008</v>
          </cell>
          <cell r="I37">
            <v>0.15000000000000013</v>
          </cell>
        </row>
        <row r="38">
          <cell r="A38" t="str">
            <v>Pegintron</v>
          </cell>
          <cell r="B38" t="str">
            <v>short term</v>
          </cell>
          <cell r="D38">
            <v>0.47761179325676884</v>
          </cell>
          <cell r="E38">
            <v>0.43372598514747313</v>
          </cell>
          <cell r="F38">
            <v>0.44553156492141349</v>
          </cell>
          <cell r="G38">
            <v>0.463571491916486</v>
          </cell>
          <cell r="H38">
            <v>0.48033940369766065</v>
          </cell>
          <cell r="I38">
            <v>0.48238973535727747</v>
          </cell>
        </row>
        <row r="39">
          <cell r="A39" t="str">
            <v>Temodar</v>
          </cell>
          <cell r="B39" t="str">
            <v>short term</v>
          </cell>
          <cell r="D39">
            <v>0.15263015396969939</v>
          </cell>
          <cell r="E39">
            <v>0.16252030534557566</v>
          </cell>
          <cell r="F39">
            <v>0.28530855571224301</v>
          </cell>
          <cell r="G39">
            <v>0.28616620988432417</v>
          </cell>
          <cell r="H39">
            <v>0.28610475731508878</v>
          </cell>
          <cell r="I39">
            <v>0.30356977917621952</v>
          </cell>
        </row>
        <row r="40">
          <cell r="A40" t="str">
            <v>Victrelis</v>
          </cell>
          <cell r="B40" t="str">
            <v>short term</v>
          </cell>
          <cell r="D40">
            <v>0.27049881852451335</v>
          </cell>
          <cell r="E40">
            <v>0.40396827250636258</v>
          </cell>
          <cell r="F40">
            <v>0.47394771818250708</v>
          </cell>
          <cell r="G40">
            <v>0.50695660153256095</v>
          </cell>
          <cell r="H40">
            <v>0.52178092124005315</v>
          </cell>
          <cell r="I40">
            <v>0.53246979490891699</v>
          </cell>
        </row>
        <row r="41">
          <cell r="A41" t="str">
            <v>Zolinza - CTCL</v>
          </cell>
          <cell r="B41" t="str">
            <v>short term</v>
          </cell>
          <cell r="D41">
            <v>0.12838611961908294</v>
          </cell>
          <cell r="E41">
            <v>0.13379169477429809</v>
          </cell>
          <cell r="F41">
            <v>0.13543856740938262</v>
          </cell>
          <cell r="G41">
            <v>0.13543856740938262</v>
          </cell>
          <cell r="H41">
            <v>0.52991014067727382</v>
          </cell>
          <cell r="I41">
            <v>0.52991014067727382</v>
          </cell>
        </row>
        <row r="42">
          <cell r="A42" t="str">
            <v>Clarinex</v>
          </cell>
          <cell r="B42" t="str">
            <v>mature</v>
          </cell>
          <cell r="C42" t="str">
            <v>only receive catalog price/Rx</v>
          </cell>
          <cell r="D42">
            <v>0.18802882377447677</v>
          </cell>
          <cell r="E42">
            <v>0.15799996348083084</v>
          </cell>
          <cell r="F42">
            <v>0.15800000000000011</v>
          </cell>
          <cell r="G42">
            <v>0.158</v>
          </cell>
          <cell r="H42">
            <v>0.15800000000000003</v>
          </cell>
          <cell r="I42">
            <v>0.15800000000000006</v>
          </cell>
        </row>
        <row r="43">
          <cell r="A43" t="str">
            <v>Cozaar</v>
          </cell>
          <cell r="B43" t="str">
            <v>mature</v>
          </cell>
          <cell r="C43" t="str">
            <v>only receive catalog price/Rx</v>
          </cell>
          <cell r="D43">
            <v>0.54398468783082987</v>
          </cell>
          <cell r="E43">
            <v>0.73954510401169182</v>
          </cell>
          <cell r="F43">
            <v>0.50000000000000044</v>
          </cell>
          <cell r="G43">
            <v>0.50000000000000044</v>
          </cell>
          <cell r="H43">
            <v>0.50000000000000044</v>
          </cell>
          <cell r="I43">
            <v>0.50000000000000044</v>
          </cell>
        </row>
        <row r="44">
          <cell r="A44" t="str">
            <v>Cozaar+Hyzaar</v>
          </cell>
          <cell r="B44" t="str">
            <v>mature</v>
          </cell>
          <cell r="C44" t="str">
            <v>only receive catalog price/Rx</v>
          </cell>
          <cell r="D44">
            <v>0.59195711385194527</v>
          </cell>
          <cell r="E44">
            <v>0.65140562254902146</v>
          </cell>
          <cell r="F44">
            <v>0.50000000000000033</v>
          </cell>
          <cell r="G44">
            <v>0.50000000000000033</v>
          </cell>
          <cell r="H44">
            <v>0.50000000000000033</v>
          </cell>
          <cell r="I44">
            <v>0.50000000000000033</v>
          </cell>
        </row>
        <row r="45">
          <cell r="A45" t="str">
            <v>Hyzaar</v>
          </cell>
          <cell r="B45" t="str">
            <v>mature</v>
          </cell>
          <cell r="C45" t="str">
            <v>only receive catalog price/Rx</v>
          </cell>
          <cell r="D45">
            <v>0.63194248377284468</v>
          </cell>
          <cell r="E45">
            <v>0.44725762378342343</v>
          </cell>
          <cell r="F45">
            <v>0.5</v>
          </cell>
          <cell r="G45">
            <v>0.5</v>
          </cell>
          <cell r="H45">
            <v>0.5</v>
          </cell>
          <cell r="I45">
            <v>0.5</v>
          </cell>
        </row>
        <row r="46">
          <cell r="A46" t="str">
            <v>Fosamax</v>
          </cell>
          <cell r="B46" t="str">
            <v>mature</v>
          </cell>
          <cell r="C46" t="str">
            <v>only receive catalog price/Rx</v>
          </cell>
          <cell r="D46">
            <v>8.476129589721805E-2</v>
          </cell>
          <cell r="E46">
            <v>0.25001224419022938</v>
          </cell>
          <cell r="F46">
            <v>0.39514600777594516</v>
          </cell>
          <cell r="G46">
            <v>0.40662667140179914</v>
          </cell>
          <cell r="H46">
            <v>0.41458535358603149</v>
          </cell>
          <cell r="I46">
            <v>0.4254943482505758</v>
          </cell>
        </row>
        <row r="47">
          <cell r="A47" t="str">
            <v>Fosamax plus D</v>
          </cell>
          <cell r="B47" t="str">
            <v>mature</v>
          </cell>
          <cell r="C47" t="str">
            <v>only receive catalog price/Rx</v>
          </cell>
          <cell r="D47">
            <v>0.37921958554048807</v>
          </cell>
          <cell r="E47">
            <v>0.25000001835880586</v>
          </cell>
          <cell r="F47">
            <v>0.2162562377870324</v>
          </cell>
          <cell r="G47">
            <v>0.25688215206584836</v>
          </cell>
          <cell r="H47">
            <v>0.30392828899906127</v>
          </cell>
          <cell r="I47">
            <v>0.46699087930204736</v>
          </cell>
        </row>
        <row r="48">
          <cell r="A48" t="str">
            <v>Propecia</v>
          </cell>
          <cell r="B48" t="str">
            <v>mature</v>
          </cell>
          <cell r="C48" t="str">
            <v>only receive catalog price/Rx</v>
          </cell>
          <cell r="D48">
            <v>3.9460573754298518E-2</v>
          </cell>
          <cell r="E48">
            <v>4.5610269660406488E-2</v>
          </cell>
          <cell r="F48">
            <v>2.8999999999999995E-2</v>
          </cell>
          <cell r="G48">
            <v>2.8999999999999995E-2</v>
          </cell>
          <cell r="H48">
            <v>2.8999999999999995E-2</v>
          </cell>
          <cell r="I48">
            <v>2.8999999999999995E-2</v>
          </cell>
        </row>
        <row r="49">
          <cell r="A49" t="str">
            <v>Singulair</v>
          </cell>
          <cell r="B49" t="str">
            <v>mature</v>
          </cell>
          <cell r="C49" t="str">
            <v>only receive catalog price/Rx</v>
          </cell>
          <cell r="D49">
            <v>0.33412198493331496</v>
          </cell>
          <cell r="E49">
            <v>0.20839185301178711</v>
          </cell>
          <cell r="F49">
            <v>6.2735342609734221E-2</v>
          </cell>
          <cell r="G49">
            <v>5.442712256369981E-2</v>
          </cell>
          <cell r="H49">
            <v>4.1758567290095389E-2</v>
          </cell>
          <cell r="I49">
            <v>8.1184726936309085E-2</v>
          </cell>
        </row>
        <row r="50">
          <cell r="A50" t="str">
            <v>Zocor</v>
          </cell>
          <cell r="B50" t="str">
            <v>mature</v>
          </cell>
          <cell r="C50" t="str">
            <v>only receive catalog price/Rx</v>
          </cell>
          <cell r="D50">
            <v>0.11543384774797363</v>
          </cell>
          <cell r="E50">
            <v>0.15000000740144692</v>
          </cell>
          <cell r="F50">
            <v>0.15000000000000002</v>
          </cell>
          <cell r="G50">
            <v>0.14999999999999986</v>
          </cell>
          <cell r="H50">
            <v>0.14999999999999991</v>
          </cell>
          <cell r="I50">
            <v>0.14999999999999997</v>
          </cell>
        </row>
      </sheetData>
      <sheetData sheetId="1" refreshError="1"/>
      <sheetData sheetId="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hodology"/>
      <sheetName val="Rebate Discount Rates"/>
      <sheetName val="Summary"/>
      <sheetName val="2013"/>
      <sheetName val="2012"/>
      <sheetName val="2011"/>
      <sheetName val="Non-con 2013"/>
      <sheetName val="Non-con 2012"/>
      <sheetName val="Non-Con 2011"/>
      <sheetName val="DH"/>
      <sheetName val="Cobra"/>
      <sheetName val="Other discounts"/>
    </sheetNames>
    <sheetDataSet>
      <sheetData sheetId="0"/>
      <sheetData sheetId="1">
        <row r="5">
          <cell r="A5" t="str">
            <v>Atozet</v>
          </cell>
          <cell r="B5" t="str">
            <v>launch</v>
          </cell>
          <cell r="D5">
            <v>0</v>
          </cell>
          <cell r="E5">
            <v>0.21517208865284818</v>
          </cell>
          <cell r="F5">
            <v>0.45174862311486319</v>
          </cell>
          <cell r="G5">
            <v>0.44706159581317678</v>
          </cell>
          <cell r="H5">
            <v>0.44662698939066625</v>
          </cell>
          <cell r="I5">
            <v>0.44662698939066625</v>
          </cell>
        </row>
        <row r="6">
          <cell r="A6" t="str">
            <v>Bridion</v>
          </cell>
          <cell r="B6" t="str">
            <v>launch</v>
          </cell>
          <cell r="D6">
            <v>0</v>
          </cell>
          <cell r="E6">
            <v>0.12490225731085311</v>
          </cell>
          <cell r="F6">
            <v>7.1500000000000077E-2</v>
          </cell>
          <cell r="G6">
            <v>7.150000000000005E-2</v>
          </cell>
          <cell r="H6">
            <v>7.1500000000000064E-2</v>
          </cell>
          <cell r="I6">
            <v>7.1500000000000064E-2</v>
          </cell>
        </row>
        <row r="7">
          <cell r="A7" t="str">
            <v>Elonva</v>
          </cell>
          <cell r="B7" t="str">
            <v>launch</v>
          </cell>
          <cell r="C7" t="str">
            <v>is this still set to launch?</v>
          </cell>
          <cell r="D7">
            <v>0</v>
          </cell>
          <cell r="E7">
            <v>0</v>
          </cell>
          <cell r="F7">
            <v>0.42</v>
          </cell>
          <cell r="G7">
            <v>0.42299573558667103</v>
          </cell>
          <cell r="H7">
            <v>0.42600285961892609</v>
          </cell>
          <cell r="I7">
            <v>0.42600285961892609</v>
          </cell>
        </row>
        <row r="8">
          <cell r="A8" t="str">
            <v>Grazax</v>
          </cell>
          <cell r="B8" t="str">
            <v>launch</v>
          </cell>
          <cell r="D8">
            <v>0</v>
          </cell>
          <cell r="E8">
            <v>0</v>
          </cell>
          <cell r="F8">
            <v>0.15000000000000002</v>
          </cell>
          <cell r="G8">
            <v>0.3</v>
          </cell>
          <cell r="H8">
            <v>0.30000000000000016</v>
          </cell>
          <cell r="I8">
            <v>0.30000000000000016</v>
          </cell>
        </row>
        <row r="9">
          <cell r="A9" t="str">
            <v>Odanacatib</v>
          </cell>
          <cell r="B9" t="str">
            <v>launch</v>
          </cell>
          <cell r="D9">
            <v>0</v>
          </cell>
          <cell r="E9">
            <v>0</v>
          </cell>
          <cell r="F9">
            <v>0.11415611256260993</v>
          </cell>
          <cell r="G9">
            <v>0.15510218299778558</v>
          </cell>
          <cell r="H9">
            <v>0.22147683435521309</v>
          </cell>
          <cell r="I9">
            <v>0.22147683435521309</v>
          </cell>
        </row>
        <row r="10">
          <cell r="A10" t="str">
            <v>Suvorexant</v>
          </cell>
          <cell r="B10" t="str">
            <v>launch</v>
          </cell>
          <cell r="D10">
            <v>0</v>
          </cell>
          <cell r="E10">
            <v>0</v>
          </cell>
          <cell r="F10">
            <v>0.17089999999999997</v>
          </cell>
          <cell r="G10">
            <v>0.22850000000000001</v>
          </cell>
          <cell r="H10">
            <v>0.24330000000000004</v>
          </cell>
          <cell r="I10">
            <v>0.24330000000000004</v>
          </cell>
        </row>
        <row r="11">
          <cell r="A11" t="str">
            <v>Asmanex</v>
          </cell>
          <cell r="B11" t="str">
            <v>basic</v>
          </cell>
          <cell r="D11">
            <v>0.3319976690558834</v>
          </cell>
          <cell r="E11">
            <v>0.38115749396475052</v>
          </cell>
          <cell r="F11">
            <v>0.38115749396475052</v>
          </cell>
          <cell r="G11">
            <v>0.38115749396475052</v>
          </cell>
          <cell r="H11">
            <v>0.38115749396475052</v>
          </cell>
          <cell r="I11">
            <v>0.38115749396475052</v>
          </cell>
        </row>
        <row r="12">
          <cell r="A12" t="str">
            <v>Dulera</v>
          </cell>
          <cell r="B12" t="str">
            <v>basic</v>
          </cell>
          <cell r="D12">
            <v>0.31605611477530116</v>
          </cell>
          <cell r="E12">
            <v>0.35381679033688695</v>
          </cell>
          <cell r="F12">
            <v>0.35381679033688695</v>
          </cell>
          <cell r="G12">
            <v>0.35381679033688695</v>
          </cell>
          <cell r="H12">
            <v>0.35381679033688695</v>
          </cell>
          <cell r="I12">
            <v>0.35381679033688695</v>
          </cell>
        </row>
        <row r="13">
          <cell r="A13" t="str">
            <v>Foradil</v>
          </cell>
          <cell r="B13" t="str">
            <v>basic</v>
          </cell>
          <cell r="D13">
            <v>0.30836819023716033</v>
          </cell>
          <cell r="E13">
            <v>0.34429980894603834</v>
          </cell>
          <cell r="F13">
            <v>0.34429980894603834</v>
          </cell>
          <cell r="G13">
            <v>0.34429980894603834</v>
          </cell>
          <cell r="H13">
            <v>0.34429980894603834</v>
          </cell>
          <cell r="I13">
            <v>0.34429980894603834</v>
          </cell>
        </row>
        <row r="14">
          <cell r="A14" t="str">
            <v>Isentress</v>
          </cell>
          <cell r="B14" t="str">
            <v>basic</v>
          </cell>
          <cell r="D14">
            <v>0.21063158951322938</v>
          </cell>
          <cell r="E14">
            <v>0.23350523456149036</v>
          </cell>
          <cell r="F14">
            <v>0.23350523456149036</v>
          </cell>
          <cell r="G14">
            <v>0.23350523456149036</v>
          </cell>
          <cell r="H14">
            <v>0.23350523456149036</v>
          </cell>
          <cell r="I14">
            <v>0.23350523456149036</v>
          </cell>
        </row>
        <row r="15">
          <cell r="A15" t="str">
            <v>Janumet/Janumet XR</v>
          </cell>
          <cell r="B15" t="str">
            <v>basic</v>
          </cell>
          <cell r="D15">
            <v>0.24649166492548125</v>
          </cell>
          <cell r="E15">
            <v>0.31854910029843347</v>
          </cell>
          <cell r="F15">
            <v>0.31854910029843347</v>
          </cell>
          <cell r="G15">
            <v>0.31854910029843347</v>
          </cell>
          <cell r="H15">
            <v>0.31854910029843347</v>
          </cell>
          <cell r="I15">
            <v>0.31854910029843347</v>
          </cell>
        </row>
        <row r="16">
          <cell r="A16" t="str">
            <v>Januvia</v>
          </cell>
          <cell r="B16" t="str">
            <v>basic</v>
          </cell>
          <cell r="D16">
            <v>0.25509362434682659</v>
          </cell>
          <cell r="E16">
            <v>0.31760159179046071</v>
          </cell>
          <cell r="F16">
            <v>0.31760159179046071</v>
          </cell>
          <cell r="G16">
            <v>0.31760159179046071</v>
          </cell>
          <cell r="H16">
            <v>0.31760159179046071</v>
          </cell>
          <cell r="I16">
            <v>0.31760159179046071</v>
          </cell>
        </row>
        <row r="17">
          <cell r="A17" t="str">
            <v>Januvia+Janumet+Janumet XR+Juvisync</v>
          </cell>
          <cell r="B17" t="str">
            <v>basic</v>
          </cell>
          <cell r="D17">
            <v>0.2545365898499366</v>
          </cell>
          <cell r="E17">
            <v>0.3159710456200317</v>
          </cell>
          <cell r="F17">
            <v>0.3159710456200317</v>
          </cell>
          <cell r="G17">
            <v>0.3159710456200317</v>
          </cell>
          <cell r="H17">
            <v>0.3159710456200317</v>
          </cell>
          <cell r="I17">
            <v>0.3159710456200317</v>
          </cell>
        </row>
        <row r="18">
          <cell r="A18" t="str">
            <v>Juvisync</v>
          </cell>
          <cell r="B18" t="str">
            <v>basic</v>
          </cell>
          <cell r="D18">
            <v>0.15755106425896767</v>
          </cell>
          <cell r="E18">
            <v>0.20355206896991743</v>
          </cell>
          <cell r="F18">
            <v>0.20355206896991743</v>
          </cell>
          <cell r="G18">
            <v>0.20355206896991743</v>
          </cell>
          <cell r="H18">
            <v>0.20355206896991743</v>
          </cell>
          <cell r="I18">
            <v>0.20355206896991743</v>
          </cell>
        </row>
        <row r="19">
          <cell r="A19" t="str">
            <v>Maxalt</v>
          </cell>
          <cell r="B19" t="str">
            <v>basic</v>
          </cell>
        </row>
        <row r="20">
          <cell r="A20" t="str">
            <v>Nasonex</v>
          </cell>
          <cell r="B20" t="str">
            <v>basic</v>
          </cell>
          <cell r="D20">
            <v>0.46465974230105372</v>
          </cell>
          <cell r="E20">
            <v>0.47670513795055014</v>
          </cell>
          <cell r="F20">
            <v>0.47670513795055014</v>
          </cell>
          <cell r="G20">
            <v>0.47670513795055014</v>
          </cell>
          <cell r="H20">
            <v>0.47670513795055014</v>
          </cell>
          <cell r="I20">
            <v>0.47670513795055014</v>
          </cell>
        </row>
        <row r="21">
          <cell r="A21" t="str">
            <v>Nuvaring</v>
          </cell>
          <cell r="B21" t="str">
            <v>basic</v>
          </cell>
          <cell r="D21">
            <v>0.27579561930917168</v>
          </cell>
          <cell r="E21">
            <v>0.28122593892723452</v>
          </cell>
          <cell r="F21">
            <v>0.28122593892723452</v>
          </cell>
          <cell r="G21">
            <v>0.28122593892723452</v>
          </cell>
          <cell r="H21">
            <v>0.28122593892723452</v>
          </cell>
          <cell r="I21">
            <v>0.28122593892723452</v>
          </cell>
        </row>
        <row r="22">
          <cell r="A22" t="str">
            <v>Proventil</v>
          </cell>
          <cell r="B22" t="str">
            <v>basic</v>
          </cell>
          <cell r="D22">
            <v>0.47842123913205598</v>
          </cell>
          <cell r="E22">
            <v>0.52352169235061907</v>
          </cell>
          <cell r="F22">
            <v>0.52352169235061907</v>
          </cell>
          <cell r="G22">
            <v>0.52352169235061907</v>
          </cell>
          <cell r="H22">
            <v>0.52352169235061907</v>
          </cell>
          <cell r="I22">
            <v>0.52352169235061907</v>
          </cell>
        </row>
        <row r="23">
          <cell r="A23" t="str">
            <v>Saphris</v>
          </cell>
          <cell r="B23" t="str">
            <v>basic</v>
          </cell>
          <cell r="D23">
            <v>0.30949583930232777</v>
          </cell>
          <cell r="E23">
            <v>0.34960028010183586</v>
          </cell>
          <cell r="F23">
            <v>0.34960028010183586</v>
          </cell>
          <cell r="G23">
            <v>0.34960028010183586</v>
          </cell>
          <cell r="H23">
            <v>0.34960028010183586</v>
          </cell>
          <cell r="I23">
            <v>0.34960028010183586</v>
          </cell>
        </row>
        <row r="24">
          <cell r="A24" t="str">
            <v>Vytorin</v>
          </cell>
          <cell r="B24" t="str">
            <v>basic</v>
          </cell>
          <cell r="D24">
            <v>0.24285367779532596</v>
          </cell>
          <cell r="E24">
            <v>0.29642726470348169</v>
          </cell>
          <cell r="F24">
            <v>0.29642726470348169</v>
          </cell>
          <cell r="G24">
            <v>0.29642726470348169</v>
          </cell>
          <cell r="H24">
            <v>0.29642726470348169</v>
          </cell>
          <cell r="I24">
            <v>0.29642726470348169</v>
          </cell>
        </row>
        <row r="25">
          <cell r="A25" t="str">
            <v>Zetia</v>
          </cell>
          <cell r="B25" t="str">
            <v>basic</v>
          </cell>
          <cell r="D25">
            <v>0.22678491115676547</v>
          </cell>
          <cell r="E25">
            <v>0.24276271510850733</v>
          </cell>
          <cell r="F25">
            <v>0.24276271510850733</v>
          </cell>
          <cell r="G25">
            <v>0.24276271510850733</v>
          </cell>
          <cell r="H25">
            <v>0.24276271510850733</v>
          </cell>
          <cell r="I25">
            <v>0.24276271510850733</v>
          </cell>
        </row>
        <row r="26">
          <cell r="A26" t="str">
            <v>Zetia/Vytorin</v>
          </cell>
          <cell r="B26" t="str">
            <v>basic</v>
          </cell>
          <cell r="D26">
            <v>0.23283188266981297</v>
          </cell>
          <cell r="E26">
            <v>0.25955437271534487</v>
          </cell>
          <cell r="F26">
            <v>0.25955437271534487</v>
          </cell>
          <cell r="G26">
            <v>0.25955437271534487</v>
          </cell>
          <cell r="H26">
            <v>0.25955437271534487</v>
          </cell>
          <cell r="I26">
            <v>0.25955437271534487</v>
          </cell>
        </row>
        <row r="27">
          <cell r="A27" t="str">
            <v>Zioptan</v>
          </cell>
          <cell r="B27" t="str">
            <v>basic</v>
          </cell>
          <cell r="D27">
            <v>0.12700550168120234</v>
          </cell>
          <cell r="E27">
            <v>0.21080283909326314</v>
          </cell>
          <cell r="F27">
            <v>0.21080283909326314</v>
          </cell>
          <cell r="G27">
            <v>0.21080283909326314</v>
          </cell>
          <cell r="H27">
            <v>0.21080283909326314</v>
          </cell>
          <cell r="I27">
            <v>0.21080283909326314</v>
          </cell>
        </row>
        <row r="28">
          <cell r="A28" t="str">
            <v>Avelox oral</v>
          </cell>
          <cell r="B28" t="str">
            <v>short term</v>
          </cell>
          <cell r="D28">
            <v>0.28274424666526837</v>
          </cell>
          <cell r="E28">
            <v>0.2966159133294286</v>
          </cell>
          <cell r="F28">
            <v>0.2966159133294286</v>
          </cell>
          <cell r="G28">
            <v>0.2966159133294286</v>
          </cell>
          <cell r="H28">
            <v>0.2966159133294286</v>
          </cell>
          <cell r="I28">
            <v>0.2966159133294286</v>
          </cell>
        </row>
        <row r="29">
          <cell r="A29" t="str">
            <v>Azasite</v>
          </cell>
          <cell r="B29" t="str">
            <v>short term</v>
          </cell>
          <cell r="D29">
            <v>0.26426308646378666</v>
          </cell>
          <cell r="E29">
            <v>0.31790565415878269</v>
          </cell>
          <cell r="F29">
            <v>0.31790565415878269</v>
          </cell>
          <cell r="G29">
            <v>0.31790565415878269</v>
          </cell>
          <cell r="H29">
            <v>0.31790565415878269</v>
          </cell>
          <cell r="I29">
            <v>0.31790565415878269</v>
          </cell>
        </row>
        <row r="30">
          <cell r="A30" t="str">
            <v>Sylatron</v>
          </cell>
          <cell r="B30" t="str">
            <v>short term</v>
          </cell>
          <cell r="C30" t="str">
            <v>did patient expire? Move to mature?</v>
          </cell>
          <cell r="D30">
            <v>0.24475544988476344</v>
          </cell>
          <cell r="E30">
            <v>0.22927418974766933</v>
          </cell>
          <cell r="F30">
            <v>0.22927418974766933</v>
          </cell>
          <cell r="G30">
            <v>0.22927418974766933</v>
          </cell>
          <cell r="H30">
            <v>0.22927418974766933</v>
          </cell>
          <cell r="I30">
            <v>0.22927418974766933</v>
          </cell>
        </row>
        <row r="31">
          <cell r="A31" t="str">
            <v>Emend IV</v>
          </cell>
          <cell r="B31" t="str">
            <v>short term</v>
          </cell>
          <cell r="D31">
            <v>0.26525359638324353</v>
          </cell>
          <cell r="E31">
            <v>0.26391814760072835</v>
          </cell>
          <cell r="F31">
            <v>0.26391814760072835</v>
          </cell>
          <cell r="G31">
            <v>0.26391814760072835</v>
          </cell>
          <cell r="H31">
            <v>0.26391814760072835</v>
          </cell>
          <cell r="I31">
            <v>0.26391814760072835</v>
          </cell>
        </row>
        <row r="32">
          <cell r="A32" t="str">
            <v>Emend Oral</v>
          </cell>
          <cell r="B32" t="str">
            <v>short term</v>
          </cell>
          <cell r="D32">
            <v>0.19556171970919373</v>
          </cell>
          <cell r="E32">
            <v>0.20071142169746417</v>
          </cell>
          <cell r="F32">
            <v>0.20071142169746417</v>
          </cell>
          <cell r="G32">
            <v>0.20071142169746417</v>
          </cell>
          <cell r="H32">
            <v>0.20071142169746417</v>
          </cell>
          <cell r="I32">
            <v>0.20071142169746417</v>
          </cell>
        </row>
        <row r="33">
          <cell r="A33" t="str">
            <v>Emend Total</v>
          </cell>
          <cell r="B33" t="str">
            <v>short term</v>
          </cell>
          <cell r="D33">
            <v>0.18822046018413305</v>
          </cell>
          <cell r="E33">
            <v>0.19743337374237374</v>
          </cell>
          <cell r="F33">
            <v>0.19743337374237374</v>
          </cell>
          <cell r="G33">
            <v>0.19743337374237374</v>
          </cell>
          <cell r="H33">
            <v>0.19743337374237374</v>
          </cell>
          <cell r="I33">
            <v>0.19743337374237374</v>
          </cell>
        </row>
        <row r="34">
          <cell r="A34" t="str">
            <v>Follistim</v>
          </cell>
          <cell r="B34" t="str">
            <v>short term</v>
          </cell>
          <cell r="D34">
            <v>0.36282949131920861</v>
          </cell>
          <cell r="E34">
            <v>0.37514627094493824</v>
          </cell>
          <cell r="F34">
            <v>0.37514627094493824</v>
          </cell>
          <cell r="G34">
            <v>0.37514627094493824</v>
          </cell>
          <cell r="H34">
            <v>0.37514627094493824</v>
          </cell>
          <cell r="I34">
            <v>0.37514627094493824</v>
          </cell>
        </row>
        <row r="35">
          <cell r="A35" t="str">
            <v>Ganirelix</v>
          </cell>
          <cell r="B35" t="str">
            <v>short term</v>
          </cell>
        </row>
        <row r="36">
          <cell r="A36" t="str">
            <v>Implanon/Nexplanon</v>
          </cell>
          <cell r="B36" t="str">
            <v>short term</v>
          </cell>
          <cell r="D36">
            <v>0.47039307263608288</v>
          </cell>
          <cell r="E36">
            <v>0.45358242000979226</v>
          </cell>
          <cell r="F36">
            <v>0.45358242000979226</v>
          </cell>
          <cell r="G36">
            <v>0.45358242000979226</v>
          </cell>
          <cell r="H36">
            <v>0.45358242000979226</v>
          </cell>
          <cell r="I36">
            <v>0.45358242000979226</v>
          </cell>
        </row>
        <row r="37">
          <cell r="A37" t="str">
            <v>Intron A</v>
          </cell>
          <cell r="B37" t="str">
            <v>short term</v>
          </cell>
          <cell r="D37">
            <v>9.2964380447365491E-2</v>
          </cell>
          <cell r="E37">
            <v>8.9111024514261047E-2</v>
          </cell>
          <cell r="F37">
            <v>8.9111024514261047E-2</v>
          </cell>
          <cell r="G37">
            <v>8.9111024514261047E-2</v>
          </cell>
          <cell r="H37">
            <v>8.9111024514261047E-2</v>
          </cell>
          <cell r="I37">
            <v>8.9111024514261047E-2</v>
          </cell>
        </row>
        <row r="38">
          <cell r="A38" t="str">
            <v>Pegintron</v>
          </cell>
          <cell r="B38" t="str">
            <v>short term</v>
          </cell>
          <cell r="D38">
            <v>0.42902724003184095</v>
          </cell>
          <cell r="E38">
            <v>0.44095727070543356</v>
          </cell>
          <cell r="F38">
            <v>0.44095727070543356</v>
          </cell>
          <cell r="G38">
            <v>0.44095727070543356</v>
          </cell>
          <cell r="H38">
            <v>0.44095727070543356</v>
          </cell>
          <cell r="I38">
            <v>0.44095727070543356</v>
          </cell>
        </row>
        <row r="39">
          <cell r="A39" t="str">
            <v>Temodar</v>
          </cell>
          <cell r="B39" t="str">
            <v>short term</v>
          </cell>
        </row>
        <row r="40">
          <cell r="A40" t="str">
            <v>Victrelis</v>
          </cell>
          <cell r="B40" t="str">
            <v>short term</v>
          </cell>
          <cell r="D40">
            <v>0.1920927422734505</v>
          </cell>
          <cell r="E40">
            <v>0.27084186366596263</v>
          </cell>
          <cell r="F40">
            <v>0.27084186366596263</v>
          </cell>
          <cell r="G40">
            <v>0.27084186366596263</v>
          </cell>
          <cell r="H40">
            <v>0.27084186366596263</v>
          </cell>
          <cell r="I40">
            <v>0.27084186366596263</v>
          </cell>
        </row>
        <row r="41">
          <cell r="A41" t="str">
            <v>Zolinza - CTCL</v>
          </cell>
          <cell r="B41" t="str">
            <v>short term</v>
          </cell>
          <cell r="D41">
            <v>0.11507451521751969</v>
          </cell>
          <cell r="E41">
            <v>0.10321595495223604</v>
          </cell>
          <cell r="F41">
            <v>0.10321595495223604</v>
          </cell>
          <cell r="G41">
            <v>0.10321595495223604</v>
          </cell>
          <cell r="H41">
            <v>0.10321595495223604</v>
          </cell>
          <cell r="I41">
            <v>0.10321595495223604</v>
          </cell>
        </row>
        <row r="42">
          <cell r="A42" t="str">
            <v>Clarinex</v>
          </cell>
          <cell r="B42" t="str">
            <v>mature</v>
          </cell>
          <cell r="C42" t="str">
            <v>only receive catalog price/Rx</v>
          </cell>
        </row>
        <row r="43">
          <cell r="A43" t="str">
            <v>Cozaar</v>
          </cell>
          <cell r="B43" t="str">
            <v>mature</v>
          </cell>
          <cell r="C43" t="str">
            <v>only receive catalog price/Rx</v>
          </cell>
        </row>
        <row r="44">
          <cell r="A44" t="str">
            <v>Cozaar+Hyzaar</v>
          </cell>
          <cell r="B44" t="str">
            <v>mature</v>
          </cell>
          <cell r="C44" t="str">
            <v>only receive catalog price/Rx</v>
          </cell>
        </row>
        <row r="45">
          <cell r="A45" t="str">
            <v>Hyzaar</v>
          </cell>
          <cell r="B45" t="str">
            <v>mature</v>
          </cell>
          <cell r="C45" t="str">
            <v>only receive catalog price/Rx</v>
          </cell>
        </row>
        <row r="46">
          <cell r="A46" t="str">
            <v>Fosamax</v>
          </cell>
          <cell r="B46" t="str">
            <v>mature</v>
          </cell>
          <cell r="C46" t="str">
            <v>only receive catalog price/Rx</v>
          </cell>
        </row>
        <row r="47">
          <cell r="A47" t="str">
            <v>Fosamax plus D</v>
          </cell>
          <cell r="B47" t="str">
            <v>mature</v>
          </cell>
          <cell r="C47" t="str">
            <v>only receive catalog price/Rx</v>
          </cell>
        </row>
        <row r="48">
          <cell r="A48" t="str">
            <v>Propecia</v>
          </cell>
          <cell r="B48" t="str">
            <v>mature</v>
          </cell>
          <cell r="C48" t="str">
            <v>only receive catalog price/Rx</v>
          </cell>
        </row>
        <row r="49">
          <cell r="A49" t="str">
            <v>Singulair</v>
          </cell>
          <cell r="B49" t="str">
            <v>mature</v>
          </cell>
          <cell r="C49" t="str">
            <v>only receive catalog price/Rx</v>
          </cell>
        </row>
        <row r="50">
          <cell r="A50" t="str">
            <v>Zocor</v>
          </cell>
          <cell r="B50" t="str">
            <v>mature</v>
          </cell>
          <cell r="C50" t="str">
            <v>only receive catalog price/Rx</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gAnalogies"/>
      <sheetName val="Read Me"/>
      <sheetName val="RawData"/>
      <sheetName val="Results"/>
      <sheetName val="ResultsChart"/>
      <sheetName val="Tagamet"/>
      <sheetName val="Capoten"/>
      <sheetName val="Zantac"/>
      <sheetName val="Vasotec"/>
      <sheetName val="Cardura"/>
      <sheetName val="Pepcid"/>
      <sheetName val="Prozac"/>
      <sheetName val="Prilosec"/>
      <sheetName val="Mevacor"/>
      <sheetName val="Prinivil"/>
    </sheetNames>
    <sheetDataSet>
      <sheetData sheetId="0"/>
      <sheetData sheetId="1"/>
      <sheetData sheetId="2">
        <row r="5">
          <cell r="A5" t="str">
            <v>TAGAMET 5/17/94</v>
          </cell>
          <cell r="B5">
            <v>17</v>
          </cell>
        </row>
        <row r="6">
          <cell r="A6" t="str">
            <v xml:space="preserve">   Branded TRx's</v>
          </cell>
          <cell r="B6">
            <v>967.21666980954183</v>
          </cell>
          <cell r="C6">
            <v>589.99372669916829</v>
          </cell>
          <cell r="D6">
            <v>437.31331455578368</v>
          </cell>
          <cell r="E6">
            <v>376.63123966942146</v>
          </cell>
          <cell r="F6">
            <v>315.73105324523902</v>
          </cell>
          <cell r="G6">
            <v>287.8654065620542</v>
          </cell>
          <cell r="H6">
            <v>263.83063965399498</v>
          </cell>
          <cell r="I6">
            <v>264.11275127957867</v>
          </cell>
          <cell r="J6">
            <v>227</v>
          </cell>
          <cell r="K6">
            <v>195</v>
          </cell>
          <cell r="L6">
            <v>206</v>
          </cell>
          <cell r="M6">
            <v>178</v>
          </cell>
          <cell r="N6">
            <v>181</v>
          </cell>
          <cell r="O6">
            <v>166</v>
          </cell>
          <cell r="P6">
            <v>153</v>
          </cell>
          <cell r="Q6">
            <v>144</v>
          </cell>
          <cell r="R6">
            <v>126</v>
          </cell>
          <cell r="S6">
            <v>126</v>
          </cell>
          <cell r="T6">
            <v>118</v>
          </cell>
          <cell r="U6">
            <v>118</v>
          </cell>
          <cell r="V6">
            <v>110</v>
          </cell>
          <cell r="W6">
            <v>98</v>
          </cell>
          <cell r="X6">
            <v>99</v>
          </cell>
          <cell r="Y6">
            <v>95</v>
          </cell>
          <cell r="Z6">
            <v>91</v>
          </cell>
          <cell r="AA6">
            <v>82</v>
          </cell>
          <cell r="AB6">
            <v>85</v>
          </cell>
          <cell r="AC6">
            <v>81</v>
          </cell>
          <cell r="AD6">
            <v>74</v>
          </cell>
          <cell r="AE6">
            <v>76</v>
          </cell>
          <cell r="AF6">
            <v>69</v>
          </cell>
          <cell r="AG6">
            <v>71</v>
          </cell>
          <cell r="AH6">
            <v>67</v>
          </cell>
          <cell r="AI6">
            <v>57</v>
          </cell>
          <cell r="AJ6">
            <v>61</v>
          </cell>
          <cell r="AK6">
            <v>59</v>
          </cell>
          <cell r="AL6">
            <v>57</v>
          </cell>
          <cell r="AM6">
            <v>53</v>
          </cell>
          <cell r="AN6">
            <v>54</v>
          </cell>
          <cell r="AO6">
            <v>51</v>
          </cell>
          <cell r="AP6">
            <v>49</v>
          </cell>
          <cell r="AQ6">
            <v>48</v>
          </cell>
          <cell r="AR6">
            <v>43</v>
          </cell>
          <cell r="AS6">
            <v>47</v>
          </cell>
          <cell r="AT6">
            <v>41</v>
          </cell>
          <cell r="AU6">
            <v>36</v>
          </cell>
          <cell r="AV6">
            <v>39</v>
          </cell>
          <cell r="AW6">
            <v>37</v>
          </cell>
          <cell r="AX6">
            <v>36</v>
          </cell>
          <cell r="AY6">
            <v>36</v>
          </cell>
          <cell r="AZ6">
            <v>35</v>
          </cell>
          <cell r="BA6">
            <v>34</v>
          </cell>
          <cell r="BB6">
            <v>32</v>
          </cell>
          <cell r="BC6">
            <v>33</v>
          </cell>
          <cell r="BD6">
            <v>30</v>
          </cell>
          <cell r="BE6">
            <v>31</v>
          </cell>
          <cell r="BF6">
            <v>27</v>
          </cell>
          <cell r="BG6">
            <v>26</v>
          </cell>
          <cell r="BH6">
            <v>28</v>
          </cell>
          <cell r="BI6">
            <v>25</v>
          </cell>
        </row>
        <row r="7">
          <cell r="A7" t="str">
            <v xml:space="preserve">   Generic TRx's</v>
          </cell>
          <cell r="B7">
            <v>48</v>
          </cell>
          <cell r="C7">
            <v>447.17303407423509</v>
          </cell>
          <cell r="D7">
            <v>609.79329335454656</v>
          </cell>
          <cell r="E7">
            <v>735.55940856650307</v>
          </cell>
          <cell r="F7">
            <v>755.87625642171099</v>
          </cell>
          <cell r="G7">
            <v>796.41902142706033</v>
          </cell>
          <cell r="H7">
            <v>815.08229264844488</v>
          </cell>
          <cell r="I7">
            <v>860.06539591037631</v>
          </cell>
          <cell r="J7">
            <v>902</v>
          </cell>
          <cell r="K7">
            <v>856</v>
          </cell>
          <cell r="L7">
            <v>962</v>
          </cell>
          <cell r="M7">
            <v>900</v>
          </cell>
          <cell r="N7">
            <v>970</v>
          </cell>
          <cell r="O7">
            <v>924</v>
          </cell>
          <cell r="P7">
            <v>885</v>
          </cell>
          <cell r="Q7">
            <v>878</v>
          </cell>
          <cell r="R7">
            <v>805</v>
          </cell>
          <cell r="S7">
            <v>830</v>
          </cell>
          <cell r="T7">
            <v>807</v>
          </cell>
          <cell r="U7">
            <v>796</v>
          </cell>
          <cell r="V7">
            <v>825</v>
          </cell>
          <cell r="W7">
            <v>768</v>
          </cell>
          <cell r="X7">
            <v>800</v>
          </cell>
          <cell r="Y7">
            <v>788</v>
          </cell>
          <cell r="Z7">
            <v>767</v>
          </cell>
          <cell r="AA7">
            <v>714</v>
          </cell>
          <cell r="AB7">
            <v>761</v>
          </cell>
          <cell r="AC7">
            <v>749</v>
          </cell>
          <cell r="AD7">
            <v>706</v>
          </cell>
          <cell r="AE7">
            <v>747</v>
          </cell>
          <cell r="AF7">
            <v>698</v>
          </cell>
          <cell r="AG7">
            <v>719</v>
          </cell>
          <cell r="AH7">
            <v>727</v>
          </cell>
          <cell r="AI7">
            <v>648</v>
          </cell>
          <cell r="AJ7">
            <v>700</v>
          </cell>
          <cell r="AK7">
            <v>711</v>
          </cell>
          <cell r="AL7">
            <v>703</v>
          </cell>
          <cell r="AM7">
            <v>667</v>
          </cell>
          <cell r="AN7">
            <v>688</v>
          </cell>
          <cell r="AO7">
            <v>672</v>
          </cell>
          <cell r="AP7">
            <v>666</v>
          </cell>
          <cell r="AQ7">
            <v>670</v>
          </cell>
          <cell r="AR7">
            <v>607</v>
          </cell>
          <cell r="AS7">
            <v>667</v>
          </cell>
          <cell r="AT7">
            <v>649</v>
          </cell>
          <cell r="AU7">
            <v>582</v>
          </cell>
          <cell r="AV7">
            <v>642</v>
          </cell>
          <cell r="AW7">
            <v>615</v>
          </cell>
          <cell r="AX7">
            <v>601</v>
          </cell>
          <cell r="AY7">
            <v>600</v>
          </cell>
          <cell r="AZ7">
            <v>591</v>
          </cell>
          <cell r="BA7">
            <v>579</v>
          </cell>
          <cell r="BB7">
            <v>573</v>
          </cell>
          <cell r="BC7">
            <v>586</v>
          </cell>
          <cell r="BD7">
            <v>546</v>
          </cell>
          <cell r="BE7">
            <v>570</v>
          </cell>
          <cell r="BF7">
            <v>543</v>
          </cell>
          <cell r="BG7">
            <v>519</v>
          </cell>
          <cell r="BH7">
            <v>575</v>
          </cell>
          <cell r="BI7">
            <v>532</v>
          </cell>
        </row>
        <row r="8">
          <cell r="A8" t="str">
            <v xml:space="preserve">   Year-end Branded % of Molecule</v>
          </cell>
          <cell r="B8">
            <v>0.73318084566320707</v>
          </cell>
          <cell r="C8">
            <v>0.48281084076041669</v>
          </cell>
          <cell r="D8">
            <v>0.37170795938970874</v>
          </cell>
          <cell r="E8">
            <v>0.31410503110827093</v>
          </cell>
          <cell r="F8">
            <v>0.27803394478695387</v>
          </cell>
          <cell r="G8">
            <v>0.25363985617728446</v>
          </cell>
          <cell r="H8">
            <v>0.23899990326668993</v>
          </cell>
          <cell r="I8">
            <v>0.21570673594140846</v>
          </cell>
          <cell r="J8">
            <v>0.19253933136676499</v>
          </cell>
          <cell r="K8">
            <v>0.18010680509561741</v>
          </cell>
          <cell r="L8">
            <v>0.17021784541927784</v>
          </cell>
          <cell r="M8">
            <v>0.16053720854054376</v>
          </cell>
          <cell r="N8">
            <v>0.15450989759054132</v>
          </cell>
          <cell r="O8">
            <v>0.14957882826250943</v>
          </cell>
          <cell r="P8">
            <v>0.14374109109757677</v>
          </cell>
          <cell r="Q8">
            <v>0.13787654999484766</v>
          </cell>
          <cell r="R8">
            <v>0.13330982190089932</v>
          </cell>
          <cell r="S8">
            <v>0.12943558412957767</v>
          </cell>
          <cell r="T8">
            <v>0.12843304429851612</v>
          </cell>
          <cell r="U8">
            <v>0.12254743132807719</v>
          </cell>
          <cell r="V8">
            <v>0.11519142761468915</v>
          </cell>
          <cell r="W8">
            <v>0.11141253155495272</v>
          </cell>
          <cell r="X8">
            <v>0.10869728069518315</v>
          </cell>
          <cell r="Y8">
            <v>0.10673316708229426</v>
          </cell>
          <cell r="Z8">
            <v>0.104391152880175</v>
          </cell>
          <cell r="AA8">
            <v>0.10153659522846745</v>
          </cell>
          <cell r="AB8">
            <v>9.8852955233391743E-2</v>
          </cell>
          <cell r="AC8">
            <v>9.6091476091476086E-2</v>
          </cell>
          <cell r="AD8">
            <v>9.3406821101487708E-2</v>
          </cell>
          <cell r="AE8">
            <v>9.1035470553542844E-2</v>
          </cell>
          <cell r="AF8">
            <v>8.9910687577453949E-2</v>
          </cell>
          <cell r="AG8">
            <v>8.6755301245371924E-2</v>
          </cell>
          <cell r="AH8">
            <v>8.2485318509884789E-2</v>
          </cell>
          <cell r="AI8">
            <v>8.04452085784092E-2</v>
          </cell>
          <cell r="AJ8">
            <v>7.8144715659400427E-2</v>
          </cell>
          <cell r="AK8">
            <v>7.5708678587003919E-2</v>
          </cell>
          <cell r="AL8">
            <v>7.4231464737793851E-2</v>
          </cell>
          <cell r="AM8">
            <v>7.3131883134613634E-2</v>
          </cell>
          <cell r="AN8">
            <v>7.1522997675160682E-2</v>
          </cell>
          <cell r="AO8">
            <v>6.9407070613343225E-2</v>
          </cell>
          <cell r="AP8">
            <v>6.7578252174317469E-2</v>
          </cell>
          <cell r="AQ8">
            <v>6.6473704866562011E-2</v>
          </cell>
          <cell r="AR8">
            <v>6.5960753837186706E-2</v>
          </cell>
          <cell r="AS8">
            <v>6.2250142775556822E-2</v>
          </cell>
          <cell r="AT8">
            <v>5.8790306017662768E-2</v>
          </cell>
          <cell r="AU8">
            <v>5.7671714853908519E-2</v>
          </cell>
          <cell r="AV8">
            <v>5.6979485378943671E-2</v>
          </cell>
          <cell r="AW8">
            <v>5.6617456617456617E-2</v>
          </cell>
          <cell r="AX8">
            <v>5.6565233331587493E-2</v>
          </cell>
          <cell r="AY8">
            <v>5.621364357482813E-2</v>
          </cell>
          <cell r="AZ8">
            <v>5.5660326526213694E-2</v>
          </cell>
          <cell r="BA8">
            <v>5.4015558233811767E-2</v>
          </cell>
          <cell r="BB8">
            <v>5.3132477702849686E-2</v>
          </cell>
          <cell r="BC8">
            <v>5.2637479679354227E-2</v>
          </cell>
          <cell r="BD8">
            <v>5.1793278734820675E-2</v>
          </cell>
          <cell r="BE8">
            <v>4.9248700222818943E-2</v>
          </cell>
          <cell r="BF8">
            <v>4.7556221889055471E-2</v>
          </cell>
          <cell r="BG8">
            <v>4.6954314720812185E-2</v>
          </cell>
          <cell r="BH8">
            <v>4.5585856251444422E-2</v>
          </cell>
          <cell r="BI8">
            <v>4.4730579117593212E-2</v>
          </cell>
        </row>
        <row r="9">
          <cell r="A9" t="str">
            <v xml:space="preserve">   Average Yearly Branded % of Molecule</v>
          </cell>
          <cell r="M9">
            <v>0.29549396018881113</v>
          </cell>
          <cell r="Y9">
            <v>0.12958793425356593</v>
          </cell>
          <cell r="AK9">
            <v>9.0204061507251687E-2</v>
          </cell>
          <cell r="AW9">
            <v>6.5329051038697031E-2</v>
          </cell>
          <cell r="BI9">
            <v>5.1346765938950351E-2</v>
          </cell>
        </row>
        <row r="11">
          <cell r="A11" t="str">
            <v>CAPOTEN 2/13/96</v>
          </cell>
          <cell r="B11">
            <v>13</v>
          </cell>
        </row>
        <row r="12">
          <cell r="A12" t="str">
            <v xml:space="preserve">   Branded TRx's</v>
          </cell>
          <cell r="B12">
            <v>802</v>
          </cell>
          <cell r="C12">
            <v>693</v>
          </cell>
          <cell r="D12">
            <v>536</v>
          </cell>
          <cell r="E12">
            <v>421</v>
          </cell>
          <cell r="F12">
            <v>343</v>
          </cell>
          <cell r="G12">
            <v>292</v>
          </cell>
          <cell r="H12">
            <v>244</v>
          </cell>
          <cell r="I12">
            <v>236</v>
          </cell>
          <cell r="J12">
            <v>212</v>
          </cell>
          <cell r="K12">
            <v>183</v>
          </cell>
          <cell r="L12">
            <v>179</v>
          </cell>
          <cell r="M12">
            <v>158</v>
          </cell>
          <cell r="N12">
            <v>154</v>
          </cell>
          <cell r="O12">
            <v>138</v>
          </cell>
          <cell r="P12">
            <v>117</v>
          </cell>
          <cell r="Q12">
            <v>119</v>
          </cell>
          <cell r="R12">
            <v>113</v>
          </cell>
          <cell r="S12">
            <v>109</v>
          </cell>
          <cell r="T12">
            <v>99</v>
          </cell>
          <cell r="U12">
            <v>99</v>
          </cell>
          <cell r="V12">
            <v>92</v>
          </cell>
          <cell r="W12">
            <v>87</v>
          </cell>
          <cell r="X12">
            <v>85</v>
          </cell>
          <cell r="Y12">
            <v>76</v>
          </cell>
          <cell r="Z12">
            <v>82</v>
          </cell>
          <cell r="AA12">
            <v>74</v>
          </cell>
          <cell r="AB12">
            <v>64</v>
          </cell>
          <cell r="AC12">
            <v>69</v>
          </cell>
          <cell r="AD12">
            <v>65</v>
          </cell>
          <cell r="AE12">
            <v>62</v>
          </cell>
          <cell r="AF12">
            <v>61</v>
          </cell>
          <cell r="AG12">
            <v>60</v>
          </cell>
          <cell r="AH12">
            <v>56</v>
          </cell>
          <cell r="AI12">
            <v>55</v>
          </cell>
          <cell r="AJ12">
            <v>55</v>
          </cell>
          <cell r="AK12">
            <v>51</v>
          </cell>
          <cell r="AL12">
            <v>52</v>
          </cell>
          <cell r="AM12">
            <v>47</v>
          </cell>
          <cell r="AN12">
            <v>42</v>
          </cell>
          <cell r="AO12">
            <v>46</v>
          </cell>
          <cell r="AP12">
            <v>42</v>
          </cell>
          <cell r="AQ12">
            <v>40</v>
          </cell>
          <cell r="AR12">
            <v>41</v>
          </cell>
          <cell r="AS12">
            <v>40</v>
          </cell>
          <cell r="AT12">
            <v>38</v>
          </cell>
          <cell r="AU12">
            <v>36</v>
          </cell>
          <cell r="AV12">
            <v>36</v>
          </cell>
          <cell r="AW12">
            <v>34</v>
          </cell>
          <cell r="AX12">
            <v>36</v>
          </cell>
          <cell r="AY12">
            <v>29.158999999999999</v>
          </cell>
          <cell r="AZ12">
            <v>28.49</v>
          </cell>
          <cell r="BA12">
            <v>29.661999999999999</v>
          </cell>
          <cell r="BB12">
            <v>26.806999999999999</v>
          </cell>
          <cell r="BC12">
            <v>27.966000000000001</v>
          </cell>
          <cell r="BD12">
            <v>27.254999999999999</v>
          </cell>
          <cell r="BE12">
            <v>25.619</v>
          </cell>
          <cell r="BF12">
            <v>25.44</v>
          </cell>
          <cell r="BG12">
            <v>23.401</v>
          </cell>
          <cell r="BH12">
            <v>23.353999999999999</v>
          </cell>
          <cell r="BI12">
            <v>22.175000000000001</v>
          </cell>
        </row>
        <row r="13">
          <cell r="A13" t="str">
            <v xml:space="preserve">   Generic TRx's</v>
          </cell>
          <cell r="B13">
            <v>58</v>
          </cell>
          <cell r="C13">
            <v>176</v>
          </cell>
          <cell r="D13">
            <v>251</v>
          </cell>
          <cell r="E13">
            <v>391</v>
          </cell>
          <cell r="F13">
            <v>468</v>
          </cell>
          <cell r="G13">
            <v>508</v>
          </cell>
          <cell r="H13">
            <v>507</v>
          </cell>
          <cell r="I13">
            <v>565</v>
          </cell>
          <cell r="J13">
            <v>574</v>
          </cell>
          <cell r="K13">
            <v>552</v>
          </cell>
          <cell r="L13">
            <v>591</v>
          </cell>
          <cell r="M13">
            <v>571</v>
          </cell>
          <cell r="N13">
            <v>596</v>
          </cell>
          <cell r="O13">
            <v>612</v>
          </cell>
          <cell r="P13">
            <v>549</v>
          </cell>
          <cell r="Q13">
            <v>609</v>
          </cell>
          <cell r="R13">
            <v>611</v>
          </cell>
          <cell r="S13">
            <v>619</v>
          </cell>
          <cell r="T13">
            <v>592</v>
          </cell>
          <cell r="U13">
            <v>617</v>
          </cell>
          <cell r="V13">
            <v>602</v>
          </cell>
          <cell r="W13">
            <v>594</v>
          </cell>
          <cell r="X13">
            <v>601</v>
          </cell>
          <cell r="Y13">
            <v>555</v>
          </cell>
          <cell r="Z13">
            <v>616</v>
          </cell>
          <cell r="AA13">
            <v>598</v>
          </cell>
          <cell r="AB13">
            <v>544</v>
          </cell>
          <cell r="AC13">
            <v>606</v>
          </cell>
          <cell r="AD13">
            <v>592</v>
          </cell>
          <cell r="AE13">
            <v>590</v>
          </cell>
          <cell r="AF13">
            <v>598</v>
          </cell>
          <cell r="AG13">
            <v>588</v>
          </cell>
          <cell r="AH13">
            <v>569</v>
          </cell>
          <cell r="AI13">
            <v>560</v>
          </cell>
          <cell r="AJ13">
            <v>577</v>
          </cell>
          <cell r="AK13">
            <v>544</v>
          </cell>
          <cell r="AL13">
            <v>569</v>
          </cell>
          <cell r="AM13">
            <v>543</v>
          </cell>
          <cell r="AN13">
            <v>520</v>
          </cell>
          <cell r="AO13">
            <v>582</v>
          </cell>
          <cell r="AP13">
            <v>545</v>
          </cell>
          <cell r="AQ13">
            <v>532</v>
          </cell>
          <cell r="AR13">
            <v>551</v>
          </cell>
          <cell r="AS13">
            <v>546</v>
          </cell>
          <cell r="AT13">
            <v>544</v>
          </cell>
          <cell r="AU13">
            <v>525</v>
          </cell>
          <cell r="AV13">
            <v>533</v>
          </cell>
          <cell r="AW13">
            <v>526</v>
          </cell>
          <cell r="AX13">
            <v>550</v>
          </cell>
          <cell r="AY13">
            <v>518.596</v>
          </cell>
          <cell r="AZ13">
            <v>522.23599999999999</v>
          </cell>
          <cell r="BA13">
            <v>552.03599999999994</v>
          </cell>
          <cell r="BB13">
            <v>515.154</v>
          </cell>
          <cell r="BC13">
            <v>570.85900000000004</v>
          </cell>
          <cell r="BD13">
            <v>537.65200000000004</v>
          </cell>
          <cell r="BE13">
            <v>529.98699999999997</v>
          </cell>
          <cell r="BF13">
            <v>541.48500000000001</v>
          </cell>
          <cell r="BG13">
            <v>511.57400000000001</v>
          </cell>
          <cell r="BH13">
            <v>534.05499999999995</v>
          </cell>
          <cell r="BI13">
            <v>513.99199999999996</v>
          </cell>
        </row>
        <row r="14">
          <cell r="A14" t="str">
            <v xml:space="preserve">   Year-end Branded % of Molecule</v>
          </cell>
          <cell r="B14">
            <v>0.87367365049967205</v>
          </cell>
          <cell r="C14">
            <v>0.74984002559590468</v>
          </cell>
          <cell r="D14">
            <v>0.60935867975767699</v>
          </cell>
          <cell r="E14">
            <v>0.47710190167166389</v>
          </cell>
          <cell r="F14">
            <v>0.39802373175672884</v>
          </cell>
          <cell r="G14">
            <v>0.34824294825150881</v>
          </cell>
          <cell r="H14">
            <v>0.31130284728213975</v>
          </cell>
          <cell r="I14">
            <v>0.2839521711768408</v>
          </cell>
          <cell r="J14">
            <v>0.26107256621721864</v>
          </cell>
          <cell r="K14">
            <v>0.24163519217951565</v>
          </cell>
          <cell r="L14">
            <v>0.22586077015110559</v>
          </cell>
          <cell r="M14">
            <v>0.21171476313056045</v>
          </cell>
          <cell r="N14">
            <v>0.1960888888888889</v>
          </cell>
          <cell r="O14">
            <v>0.18063340807174888</v>
          </cell>
          <cell r="P14">
            <v>0.17011450014432791</v>
          </cell>
          <cell r="Q14">
            <v>0.16027170919772352</v>
          </cell>
          <cell r="R14">
            <v>0.15331618592687857</v>
          </cell>
          <cell r="S14">
            <v>0.14701062783838195</v>
          </cell>
          <cell r="T14">
            <v>0.14105913084777963</v>
          </cell>
          <cell r="U14">
            <v>0.13584033216948194</v>
          </cell>
          <cell r="V14">
            <v>0.13050215485932884</v>
          </cell>
          <cell r="W14">
            <v>0.12607953159307148</v>
          </cell>
          <cell r="X14">
            <v>0.12247671784545683</v>
          </cell>
          <cell r="Y14">
            <v>0.11908489470228777</v>
          </cell>
          <cell r="Z14">
            <v>0.11435782933695758</v>
          </cell>
          <cell r="AA14">
            <v>0.10813327814569536</v>
          </cell>
          <cell r="AB14">
            <v>0.10386688294699388</v>
          </cell>
          <cell r="AC14">
            <v>0.1008193445243805</v>
          </cell>
          <cell r="AD14">
            <v>9.7276660727920586E-2</v>
          </cell>
          <cell r="AE14">
            <v>9.3990127728868764E-2</v>
          </cell>
          <cell r="AF14">
            <v>9.2576552708004287E-2</v>
          </cell>
          <cell r="AG14">
            <v>9.1322292461208918E-2</v>
          </cell>
          <cell r="AH14">
            <v>8.9527389903329757E-2</v>
          </cell>
          <cell r="AI14">
            <v>8.8372342134861545E-2</v>
          </cell>
          <cell r="AJ14">
            <v>8.6476540938362462E-2</v>
          </cell>
          <cell r="AK14">
            <v>8.4836155707059602E-2</v>
          </cell>
          <cell r="AL14">
            <v>8.2021177374225054E-2</v>
          </cell>
          <cell r="AM14">
            <v>7.7584217812644213E-2</v>
          </cell>
          <cell r="AN14">
            <v>7.4048989727960271E-2</v>
          </cell>
          <cell r="AO14">
            <v>7.2540558256404652E-2</v>
          </cell>
          <cell r="AP14">
            <v>7.085845535457938E-2</v>
          </cell>
          <cell r="AQ14">
            <v>6.963260619977038E-2</v>
          </cell>
          <cell r="AR14">
            <v>6.8827055762922751E-2</v>
          </cell>
          <cell r="AS14">
            <v>6.6978548607941585E-2</v>
          </cell>
          <cell r="AT14">
            <v>6.481643102344796E-2</v>
          </cell>
          <cell r="AU14">
            <v>6.377701665288768E-2</v>
          </cell>
          <cell r="AV14">
            <v>6.2171886981655163E-2</v>
          </cell>
          <cell r="AW14">
            <v>6.1033959621892869E-2</v>
          </cell>
          <cell r="AX14">
            <v>5.8015438322079824E-2</v>
          </cell>
          <cell r="AY14">
            <v>5.2580817523940011E-2</v>
          </cell>
          <cell r="AZ14">
            <v>5.1401241850826632E-2</v>
          </cell>
          <cell r="BA14">
            <v>5.0355906592035746E-2</v>
          </cell>
          <cell r="BB14">
            <v>4.8198259307443411E-2</v>
          </cell>
          <cell r="BC14">
            <v>4.7349104784026493E-2</v>
          </cell>
          <cell r="BD14">
            <v>4.7329605557301174E-2</v>
          </cell>
          <cell r="BE14">
            <v>4.5568129599858509E-2</v>
          </cell>
          <cell r="BF14">
            <v>4.4399423832598053E-2</v>
          </cell>
          <cell r="BG14">
            <v>4.2924156159896289E-2</v>
          </cell>
          <cell r="BH14">
            <v>4.1668967107386531E-2</v>
          </cell>
          <cell r="BI14">
            <v>4.1360952712680955E-2</v>
          </cell>
        </row>
        <row r="15">
          <cell r="A15" t="str">
            <v xml:space="preserve">   Average Yearly Branded % of Molecule</v>
          </cell>
          <cell r="M15">
            <v>0.42460725607608313</v>
          </cell>
          <cell r="Y15">
            <v>0.14921994348448989</v>
          </cell>
          <cell r="AK15">
            <v>9.6200866370375504E-2</v>
          </cell>
          <cell r="AW15">
            <v>6.9632347685196216E-2</v>
          </cell>
          <cell r="BI15">
            <v>4.7650342238891225E-2</v>
          </cell>
        </row>
        <row r="17">
          <cell r="A17" t="str">
            <v>ZANTAC 7/25/97</v>
          </cell>
          <cell r="B17">
            <v>25</v>
          </cell>
        </row>
        <row r="18">
          <cell r="A18" t="str">
            <v xml:space="preserve">   Branded TRx's</v>
          </cell>
          <cell r="B18">
            <v>1803</v>
          </cell>
          <cell r="C18">
            <v>1325</v>
          </cell>
          <cell r="D18">
            <v>844</v>
          </cell>
          <cell r="E18">
            <v>679</v>
          </cell>
          <cell r="F18">
            <v>544</v>
          </cell>
          <cell r="G18">
            <v>552</v>
          </cell>
          <cell r="H18">
            <v>475</v>
          </cell>
          <cell r="I18">
            <v>406</v>
          </cell>
          <cell r="J18">
            <v>433</v>
          </cell>
          <cell r="K18">
            <v>401</v>
          </cell>
          <cell r="L18">
            <v>383</v>
          </cell>
          <cell r="M18">
            <v>376</v>
          </cell>
          <cell r="N18">
            <v>355</v>
          </cell>
          <cell r="O18">
            <v>344</v>
          </cell>
          <cell r="P18">
            <v>333</v>
          </cell>
          <cell r="Q18">
            <v>335</v>
          </cell>
          <cell r="R18">
            <v>308</v>
          </cell>
          <cell r="S18">
            <v>318</v>
          </cell>
          <cell r="T18">
            <v>284</v>
          </cell>
          <cell r="U18">
            <v>266</v>
          </cell>
          <cell r="V18">
            <v>293</v>
          </cell>
          <cell r="W18">
            <v>268</v>
          </cell>
          <cell r="X18">
            <v>257</v>
          </cell>
          <cell r="Y18">
            <v>261</v>
          </cell>
          <cell r="Z18">
            <v>250</v>
          </cell>
          <cell r="AA18">
            <v>249</v>
          </cell>
          <cell r="AB18">
            <v>238</v>
          </cell>
          <cell r="AC18">
            <v>241</v>
          </cell>
          <cell r="AD18">
            <v>235</v>
          </cell>
          <cell r="AE18">
            <v>244</v>
          </cell>
          <cell r="AF18">
            <v>213.36600000000001</v>
          </cell>
          <cell r="AG18">
            <v>211.13</v>
          </cell>
          <cell r="AH18">
            <v>225.23699999999999</v>
          </cell>
          <cell r="AI18">
            <v>203.50299999999999</v>
          </cell>
          <cell r="AJ18">
            <v>213.34299999999999</v>
          </cell>
          <cell r="AK18">
            <v>207.36099999999999</v>
          </cell>
          <cell r="AL18">
            <v>199.17599999999999</v>
          </cell>
          <cell r="AM18">
            <v>206.86</v>
          </cell>
          <cell r="AN18">
            <v>197.53299999999999</v>
          </cell>
          <cell r="AO18">
            <v>204.28</v>
          </cell>
          <cell r="AP18">
            <v>197.453</v>
          </cell>
          <cell r="AQ18">
            <v>196.55600000000001</v>
          </cell>
          <cell r="AR18">
            <v>202.85599999999999</v>
          </cell>
          <cell r="AS18">
            <v>181.054</v>
          </cell>
          <cell r="AT18">
            <v>199.86799999999999</v>
          </cell>
          <cell r="AU18">
            <v>186.24100000000001</v>
          </cell>
          <cell r="AV18">
            <v>192.52199999999999</v>
          </cell>
          <cell r="AW18">
            <v>182.09800000000001</v>
          </cell>
          <cell r="AX18">
            <v>184.08500000000001</v>
          </cell>
          <cell r="AY18">
            <v>187.09100000000001</v>
          </cell>
          <cell r="AZ18">
            <v>162.30600000000001</v>
          </cell>
          <cell r="BA18">
            <v>179.2</v>
          </cell>
          <cell r="BB18">
            <v>171.321</v>
          </cell>
          <cell r="BC18">
            <v>173.959</v>
          </cell>
          <cell r="BD18">
            <v>180.827</v>
          </cell>
          <cell r="BE18">
            <v>163.46899999999999</v>
          </cell>
          <cell r="BF18">
            <v>175.529</v>
          </cell>
          <cell r="BG18">
            <v>177.23599999999999</v>
          </cell>
          <cell r="BH18">
            <v>173.2</v>
          </cell>
          <cell r="BI18">
            <v>151.14599999999999</v>
          </cell>
        </row>
        <row r="19">
          <cell r="A19" t="str">
            <v xml:space="preserve">   Generic TRx's</v>
          </cell>
          <cell r="B19">
            <v>0</v>
          </cell>
          <cell r="C19">
            <v>441</v>
          </cell>
          <cell r="D19">
            <v>935</v>
          </cell>
          <cell r="E19">
            <v>1116</v>
          </cell>
          <cell r="F19">
            <v>1108</v>
          </cell>
          <cell r="G19">
            <v>1281</v>
          </cell>
          <cell r="H19">
            <v>1319</v>
          </cell>
          <cell r="I19">
            <v>1221</v>
          </cell>
          <cell r="J19">
            <v>1376</v>
          </cell>
          <cell r="K19">
            <v>1340</v>
          </cell>
          <cell r="L19">
            <v>1334</v>
          </cell>
          <cell r="M19">
            <v>1366</v>
          </cell>
          <cell r="N19">
            <v>1362</v>
          </cell>
          <cell r="O19">
            <v>1364</v>
          </cell>
          <cell r="P19">
            <v>1369</v>
          </cell>
          <cell r="Q19">
            <v>1449</v>
          </cell>
          <cell r="R19">
            <v>1383</v>
          </cell>
          <cell r="S19">
            <v>1472</v>
          </cell>
          <cell r="T19">
            <v>1431</v>
          </cell>
          <cell r="U19">
            <v>1394</v>
          </cell>
          <cell r="V19">
            <v>1580</v>
          </cell>
          <cell r="W19">
            <v>1489</v>
          </cell>
          <cell r="X19">
            <v>1464</v>
          </cell>
          <cell r="Y19">
            <v>1525</v>
          </cell>
          <cell r="Z19">
            <v>1527</v>
          </cell>
          <cell r="AA19">
            <v>1570</v>
          </cell>
          <cell r="AB19">
            <v>1529</v>
          </cell>
          <cell r="AC19">
            <v>1581</v>
          </cell>
          <cell r="AD19">
            <v>1577</v>
          </cell>
          <cell r="AE19">
            <v>1642</v>
          </cell>
          <cell r="AF19">
            <v>1563.7670000000001</v>
          </cell>
          <cell r="AG19">
            <v>1583.4870000000001</v>
          </cell>
          <cell r="AH19">
            <v>1698.43</v>
          </cell>
          <cell r="AI19">
            <v>1576.498</v>
          </cell>
          <cell r="AJ19">
            <v>1708.2090000000001</v>
          </cell>
          <cell r="AK19">
            <v>1652.4580000000001</v>
          </cell>
          <cell r="AL19">
            <v>1639.779</v>
          </cell>
          <cell r="AM19">
            <v>1704.086</v>
          </cell>
          <cell r="AN19">
            <v>1621.7329999999999</v>
          </cell>
          <cell r="AO19">
            <v>1711.3869999999999</v>
          </cell>
          <cell r="AP19">
            <v>1660.942</v>
          </cell>
          <cell r="AQ19">
            <v>1671.704</v>
          </cell>
          <cell r="AR19">
            <v>1754.595</v>
          </cell>
          <cell r="AS19">
            <v>1588.3050000000001</v>
          </cell>
          <cell r="AT19">
            <v>1759.4559999999999</v>
          </cell>
          <cell r="AU19">
            <v>1662.595</v>
          </cell>
          <cell r="AV19">
            <v>1709.16</v>
          </cell>
          <cell r="AW19">
            <v>1634.9749999999999</v>
          </cell>
          <cell r="AX19">
            <v>1677.7</v>
          </cell>
          <cell r="AY19">
            <v>1702.2819999999999</v>
          </cell>
          <cell r="AZ19">
            <v>1587.3430000000001</v>
          </cell>
          <cell r="BA19">
            <v>1734.895</v>
          </cell>
          <cell r="BB19">
            <v>1646.9829999999999</v>
          </cell>
          <cell r="BC19">
            <v>1667.133</v>
          </cell>
          <cell r="BD19">
            <v>1724.1959999999999</v>
          </cell>
          <cell r="BE19">
            <v>1579.077</v>
          </cell>
          <cell r="BF19">
            <v>1691.87</v>
          </cell>
          <cell r="BG19">
            <v>1723.0889999999999</v>
          </cell>
          <cell r="BH19">
            <v>1727.3420000000001</v>
          </cell>
          <cell r="BI19">
            <v>1618.0809999999999</v>
          </cell>
        </row>
        <row r="20">
          <cell r="A20" t="str">
            <v xml:space="preserve">   Year-end Branded % of Molecule</v>
          </cell>
          <cell r="B20">
            <v>0.79262672811059909</v>
          </cell>
          <cell r="C20">
            <v>0.5201200637838852</v>
          </cell>
          <cell r="D20">
            <v>0.39417891017295892</v>
          </cell>
          <cell r="E20">
            <v>0.33804077573346591</v>
          </cell>
          <cell r="F20">
            <v>0.30544513266155127</v>
          </cell>
          <cell r="G20">
            <v>0.2709432565028233</v>
          </cell>
          <cell r="H20">
            <v>0.25229126800282003</v>
          </cell>
          <cell r="I20">
            <v>0.24091079460269865</v>
          </cell>
          <cell r="J20">
            <v>0.23188130112231312</v>
          </cell>
          <cell r="K20">
            <v>0.22428820453224868</v>
          </cell>
          <cell r="L20">
            <v>0.21703270355807039</v>
          </cell>
          <cell r="M20">
            <v>0.20828895129272781</v>
          </cell>
          <cell r="N20">
            <v>0.20230086770010725</v>
          </cell>
          <cell r="O20">
            <v>0.19661381875122333</v>
          </cell>
          <cell r="P20">
            <v>0.18904161174919978</v>
          </cell>
          <cell r="Q20">
            <v>0.183123351889833</v>
          </cell>
          <cell r="R20">
            <v>0.17836669485950568</v>
          </cell>
          <cell r="S20">
            <v>0.16767969126869273</v>
          </cell>
          <cell r="T20">
            <v>0.16115826260609087</v>
          </cell>
          <cell r="U20">
            <v>0.15700680272108844</v>
          </cell>
          <cell r="V20">
            <v>0.15321823981985364</v>
          </cell>
          <cell r="W20">
            <v>0.14987454159428681</v>
          </cell>
          <cell r="X20">
            <v>0.14665289644164867</v>
          </cell>
          <cell r="Y20">
            <v>0.1415987255177584</v>
          </cell>
          <cell r="Z20">
            <v>0.13750919793966151</v>
          </cell>
          <cell r="AA20">
            <v>0.13506664163694387</v>
          </cell>
          <cell r="AB20">
            <v>0.13266525696423645</v>
          </cell>
          <cell r="AC20">
            <v>0.13012313912883661</v>
          </cell>
          <cell r="AD20">
            <v>0.12942536915139655</v>
          </cell>
          <cell r="AE20">
            <v>0.12169242173795787</v>
          </cell>
          <cell r="AF20">
            <v>0.11804560614491724</v>
          </cell>
          <cell r="AG20">
            <v>0.11717520585384045</v>
          </cell>
          <cell r="AH20">
            <v>0.11481796565897415</v>
          </cell>
          <cell r="AI20">
            <v>0.11154238309005607</v>
          </cell>
          <cell r="AJ20">
            <v>0.11141496564324677</v>
          </cell>
          <cell r="AK20">
            <v>0.10884533615617181</v>
          </cell>
          <cell r="AL20">
            <v>0.10825961925399905</v>
          </cell>
          <cell r="AM20">
            <v>0.10852139984497529</v>
          </cell>
          <cell r="AN20">
            <v>0.10694645302989639</v>
          </cell>
          <cell r="AO20">
            <v>0.1063154051494507</v>
          </cell>
          <cell r="AP20">
            <v>0.1053808161740119</v>
          </cell>
          <cell r="AQ20">
            <v>0.10388524230804044</v>
          </cell>
          <cell r="AR20">
            <v>0.10256393643758202</v>
          </cell>
          <cell r="AS20">
            <v>0.10205742203059506</v>
          </cell>
          <cell r="AT20">
            <v>0.10095707557207102</v>
          </cell>
          <cell r="AU20">
            <v>0.10115577315134321</v>
          </cell>
          <cell r="AV20">
            <v>0.10039203436555792</v>
          </cell>
          <cell r="AW20">
            <v>9.909430147300044E-2</v>
          </cell>
          <cell r="AX20">
            <v>9.8998554204082712E-2</v>
          </cell>
          <cell r="AY20">
            <v>9.3876373451274531E-2</v>
          </cell>
          <cell r="AZ20">
            <v>9.3488905245207546E-2</v>
          </cell>
          <cell r="BA20">
            <v>9.4116048944107161E-2</v>
          </cell>
          <cell r="BB20">
            <v>9.4442878131280744E-2</v>
          </cell>
          <cell r="BC20">
            <v>9.4850815227982402E-2</v>
          </cell>
          <cell r="BD20">
            <v>9.4009721265883653E-2</v>
          </cell>
          <cell r="BE20">
            <v>9.3967250087345688E-2</v>
          </cell>
          <cell r="BF20">
            <v>9.338611652152376E-2</v>
          </cell>
          <cell r="BG20">
            <v>9.1487573264486172E-2</v>
          </cell>
          <cell r="BH20">
            <v>8.6438812667394768E-2</v>
          </cell>
          <cell r="BI20">
            <v>8.665459816617517E-2</v>
          </cell>
        </row>
        <row r="21">
          <cell r="A21" t="str">
            <v xml:space="preserve">   Average Yearly Branded % of Molecule</v>
          </cell>
          <cell r="M21">
            <v>0.3342333899839578</v>
          </cell>
          <cell r="Y21">
            <v>0.1686790111673189</v>
          </cell>
          <cell r="AK21">
            <v>0.12225617494472787</v>
          </cell>
          <cell r="AW21">
            <v>0.10380254215704907</v>
          </cell>
          <cell r="BI21">
            <v>9.2988966141322099E-2</v>
          </cell>
        </row>
        <row r="23">
          <cell r="A23" t="str">
            <v>VASOTEC 8/22/00</v>
          </cell>
          <cell r="B23">
            <v>22</v>
          </cell>
          <cell r="C23" t="str">
            <v>Forecasted for months 34-60</v>
          </cell>
        </row>
        <row r="24">
          <cell r="A24" t="str">
            <v xml:space="preserve">   Branded TRx's</v>
          </cell>
          <cell r="B24">
            <v>1321.56</v>
          </cell>
          <cell r="C24">
            <v>710.65700000000004</v>
          </cell>
          <cell r="D24">
            <v>519.096</v>
          </cell>
          <cell r="E24">
            <v>418.33600000000001</v>
          </cell>
          <cell r="F24">
            <v>370.46</v>
          </cell>
          <cell r="G24">
            <v>321.98099999999999</v>
          </cell>
          <cell r="H24">
            <v>261.952</v>
          </cell>
          <cell r="I24">
            <v>265.04899999999998</v>
          </cell>
          <cell r="J24">
            <v>231.816</v>
          </cell>
          <cell r="K24">
            <v>226.447</v>
          </cell>
          <cell r="L24">
            <v>206.21600000000001</v>
          </cell>
          <cell r="M24">
            <v>200.43600000000001</v>
          </cell>
          <cell r="N24">
            <v>192.72900000000001</v>
          </cell>
          <cell r="O24">
            <v>168.113</v>
          </cell>
          <cell r="P24">
            <v>175.92</v>
          </cell>
          <cell r="Q24">
            <v>159.49799999999999</v>
          </cell>
          <cell r="R24">
            <v>157.345</v>
          </cell>
          <cell r="S24">
            <v>147.16200000000001</v>
          </cell>
          <cell r="T24">
            <v>126.982</v>
          </cell>
          <cell r="U24">
            <v>132.27500000000001</v>
          </cell>
          <cell r="V24">
            <v>128.624</v>
          </cell>
          <cell r="W24">
            <v>123.018</v>
          </cell>
          <cell r="X24">
            <v>110.261</v>
          </cell>
          <cell r="Y24">
            <v>112.301</v>
          </cell>
          <cell r="Z24">
            <v>105.15600000000001</v>
          </cell>
          <cell r="AA24">
            <v>96.858999999999995</v>
          </cell>
          <cell r="AB24">
            <v>97.543999999999997</v>
          </cell>
          <cell r="AC24">
            <v>88.385999999999996</v>
          </cell>
          <cell r="AD24">
            <v>91.506</v>
          </cell>
          <cell r="AE24">
            <v>83.430999999999997</v>
          </cell>
          <cell r="AF24">
            <v>74.06</v>
          </cell>
          <cell r="AG24">
            <v>75.11</v>
          </cell>
          <cell r="AH24">
            <v>70.400999999999996</v>
          </cell>
          <cell r="AI24">
            <v>69.042000000000002</v>
          </cell>
          <cell r="AJ24" t="str">
            <v>R2 = 0.9753</v>
          </cell>
        </row>
        <row r="25">
          <cell r="A25" t="str">
            <v xml:space="preserve">   Generic TRx's</v>
          </cell>
          <cell r="B25">
            <v>35.404000000000003</v>
          </cell>
          <cell r="C25">
            <v>618.26300000000003</v>
          </cell>
          <cell r="D25">
            <v>863.726</v>
          </cell>
          <cell r="E25">
            <v>925.53599999999994</v>
          </cell>
          <cell r="F25">
            <v>993.23900000000003</v>
          </cell>
          <cell r="G25">
            <v>1085.4580000000001</v>
          </cell>
          <cell r="H25">
            <v>1016.408</v>
          </cell>
          <cell r="I25">
            <v>1140.375</v>
          </cell>
          <cell r="J25">
            <v>1102.9690000000001</v>
          </cell>
          <cell r="K25">
            <v>1171.9280000000001</v>
          </cell>
          <cell r="L25">
            <v>1144.354</v>
          </cell>
          <cell r="M25">
            <v>1181.4349999999999</v>
          </cell>
          <cell r="N25">
            <v>1205.021</v>
          </cell>
          <cell r="O25">
            <v>1126.096</v>
          </cell>
          <cell r="P25">
            <v>1240.683</v>
          </cell>
          <cell r="Q25">
            <v>1185.75</v>
          </cell>
          <cell r="R25">
            <v>1223.4780000000001</v>
          </cell>
          <cell r="S25">
            <v>1288.356</v>
          </cell>
          <cell r="T25">
            <v>1196.0029999999999</v>
          </cell>
          <cell r="U25">
            <v>1308.819</v>
          </cell>
          <cell r="V25">
            <v>1348.9970000000001</v>
          </cell>
          <cell r="W25">
            <v>1365.7159999999999</v>
          </cell>
          <cell r="X25">
            <v>1295.953</v>
          </cell>
          <cell r="Y25">
            <v>1390.838</v>
          </cell>
          <cell r="Z25">
            <v>1367.038</v>
          </cell>
          <cell r="AA25">
            <v>1304.991</v>
          </cell>
          <cell r="AB25">
            <v>1392.3610000000001</v>
          </cell>
          <cell r="AC25">
            <v>1325.26</v>
          </cell>
          <cell r="AD25">
            <v>1408.7080000000001</v>
          </cell>
          <cell r="AE25">
            <v>1408.1559999999999</v>
          </cell>
          <cell r="AF25">
            <v>1284.335</v>
          </cell>
          <cell r="AG25">
            <v>1399.88</v>
          </cell>
          <cell r="AH25">
            <v>1369.2380000000001</v>
          </cell>
          <cell r="AI25">
            <v>1394.162</v>
          </cell>
          <cell r="AJ25" t="str">
            <v>= 0.79401879054x-0.74826516038</v>
          </cell>
        </row>
        <row r="26">
          <cell r="A26" t="str">
            <v xml:space="preserve">   Year-end Branded % of Molecule</v>
          </cell>
          <cell r="B26">
            <v>0.65367069181365867</v>
          </cell>
          <cell r="C26">
            <v>0.41666097489896342</v>
          </cell>
          <cell r="D26">
            <v>0.32874468097675091</v>
          </cell>
          <cell r="E26">
            <v>0.28211396082788248</v>
          </cell>
          <cell r="F26">
            <v>0.23994464246267011</v>
          </cell>
          <cell r="G26">
            <v>0.21173350255508458</v>
          </cell>
          <cell r="H26">
            <v>0.19264701136007478</v>
          </cell>
          <cell r="I26">
            <v>0.17780305098454119</v>
          </cell>
          <cell r="J26">
            <v>0.16496005432100791</v>
          </cell>
          <cell r="K26">
            <v>0.15521758924428</v>
          </cell>
          <cell r="L26">
            <v>0.14705045090582325</v>
          </cell>
          <cell r="M26">
            <v>0.13977898776303618</v>
          </cell>
          <cell r="N26">
            <v>0.13214906377313421</v>
          </cell>
          <cell r="O26">
            <v>0.12560880049484888</v>
          </cell>
          <cell r="P26">
            <v>0.12012026891919231</v>
          </cell>
          <cell r="Q26">
            <v>0.11515711317111849</v>
          </cell>
          <cell r="R26">
            <v>0.10547823284143421</v>
          </cell>
          <cell r="S26">
            <v>9.7829962955730709E-2</v>
          </cell>
          <cell r="T26">
            <v>9.2837467545126576E-2</v>
          </cell>
          <cell r="U26">
            <v>8.8288932881773696E-2</v>
          </cell>
          <cell r="V26">
            <v>8.3803609332585141E-2</v>
          </cell>
          <cell r="W26">
            <v>7.9583621376548591E-2</v>
          </cell>
          <cell r="X26">
            <v>7.5649888297892751E-2</v>
          </cell>
          <cell r="Y26">
            <v>7.2316945929357335E-2</v>
          </cell>
          <cell r="Z26">
            <v>6.9738805805550169E-2</v>
          </cell>
          <cell r="AA26">
            <v>6.639372750621636E-2</v>
          </cell>
          <cell r="AB26">
            <v>6.3339811952974195E-2</v>
          </cell>
          <cell r="AC26">
            <v>6.1385287082538209E-2</v>
          </cell>
          <cell r="AD26">
            <v>5.7289676380368304E-2</v>
          </cell>
          <cell r="AE26">
            <v>5.4923758266477968E-2</v>
          </cell>
          <cell r="AF26">
            <v>5.18249904079097E-2</v>
          </cell>
          <cell r="AG26">
            <v>4.9450291863876075E-2</v>
          </cell>
          <cell r="AH26">
            <v>4.7637756362737836E-2</v>
          </cell>
          <cell r="AI26">
            <v>4.6783466626849277E-2</v>
          </cell>
          <cell r="AJ26">
            <v>4.6003349461288603E-2</v>
          </cell>
          <cell r="AK26">
            <v>4.5252963424836666E-2</v>
          </cell>
          <cell r="AL26">
            <v>4.4530565295050291E-2</v>
          </cell>
          <cell r="AM26">
            <v>4.3834548339806351E-2</v>
          </cell>
          <cell r="AN26">
            <v>4.3163429056163327E-2</v>
          </cell>
          <cell r="AO26">
            <v>4.2515835437733178E-2</v>
          </cell>
          <cell r="AP26">
            <v>4.1890496567799418E-2</v>
          </cell>
          <cell r="AQ26">
            <v>4.1286233365704444E-2</v>
          </cell>
          <cell r="AR26">
            <v>4.0701950339306903E-2</v>
          </cell>
          <cell r="AS26">
            <v>4.0136628217481006E-2</v>
          </cell>
          <cell r="AT26">
            <v>3.9589317354426876E-2</v>
          </cell>
          <cell r="AU26">
            <v>3.9059131812570071E-2</v>
          </cell>
          <cell r="AV26">
            <v>3.8545244043529686E-2</v>
          </cell>
          <cell r="AW26">
            <v>3.8046880097415262E-2</v>
          </cell>
          <cell r="AX26">
            <v>3.7563315299891174E-2</v>
          </cell>
          <cell r="AY26">
            <v>3.7093870344285622E-2</v>
          </cell>
          <cell r="AZ26">
            <v>3.6637907752730889E-2</v>
          </cell>
          <cell r="BA26">
            <v>3.6194828666086067E-2</v>
          </cell>
          <cell r="BB26">
            <v>3.576406992735167E-2</v>
          </cell>
          <cell r="BC26">
            <v>3.5345101427567929E-2</v>
          </cell>
          <cell r="BD26">
            <v>3.4937423686891948E-2</v>
          </cell>
          <cell r="BE26">
            <v>3.4540565646760467E-2</v>
          </cell>
          <cell r="BF26">
            <v>3.4154082651836816E-2</v>
          </cell>
          <cell r="BG26">
            <v>3.377755460287233E-2</v>
          </cell>
          <cell r="BH26">
            <v>3.3410584263735846E-2</v>
          </cell>
          <cell r="BI26">
            <v>3.3052795707720906E-2</v>
          </cell>
        </row>
        <row r="27">
          <cell r="A27" t="str">
            <v xml:space="preserve">   Average Yearly Branded % of Molecule</v>
          </cell>
          <cell r="M27">
            <v>0.25827744471197789</v>
          </cell>
          <cell r="Y27">
            <v>9.8441145952704145E-2</v>
          </cell>
          <cell r="AK27">
            <v>5.5001990428468615E-2</v>
          </cell>
          <cell r="AW27">
            <v>4.1108354993915568E-2</v>
          </cell>
          <cell r="BI27">
            <v>3.5206008331477641E-2</v>
          </cell>
        </row>
        <row r="29">
          <cell r="A29" t="str">
            <v>CARDURA 10/18/00</v>
          </cell>
          <cell r="B29">
            <v>18</v>
          </cell>
          <cell r="C29" t="str">
            <v>Forecasted for months 32-60</v>
          </cell>
        </row>
        <row r="30">
          <cell r="A30" t="str">
            <v xml:space="preserve">   Branded TRx's</v>
          </cell>
          <cell r="B30">
            <v>958.21900000000005</v>
          </cell>
          <cell r="C30">
            <v>515.93600000000004</v>
          </cell>
          <cell r="D30">
            <v>377.78899999999999</v>
          </cell>
          <cell r="E30">
            <v>316.16800000000001</v>
          </cell>
          <cell r="F30">
            <v>246.67099999999999</v>
          </cell>
          <cell r="G30">
            <v>241.803</v>
          </cell>
          <cell r="H30">
            <v>208.67599999999999</v>
          </cell>
          <cell r="I30">
            <v>194.083</v>
          </cell>
          <cell r="J30">
            <v>166.535</v>
          </cell>
          <cell r="K30">
            <v>157.142</v>
          </cell>
          <cell r="L30">
            <v>145.84399999999999</v>
          </cell>
          <cell r="M30">
            <v>126.878</v>
          </cell>
          <cell r="N30">
            <v>129.6</v>
          </cell>
          <cell r="O30">
            <v>116.45399999999999</v>
          </cell>
          <cell r="P30">
            <v>114.949</v>
          </cell>
          <cell r="Q30">
            <v>103.848</v>
          </cell>
          <cell r="R30">
            <v>87.372</v>
          </cell>
          <cell r="S30">
            <v>89.826999999999998</v>
          </cell>
          <cell r="T30">
            <v>86.12</v>
          </cell>
          <cell r="U30">
            <v>81.572999999999993</v>
          </cell>
          <cell r="V30">
            <v>73.228999999999999</v>
          </cell>
          <cell r="W30">
            <v>74.2</v>
          </cell>
          <cell r="X30">
            <v>70.266000000000005</v>
          </cell>
          <cell r="Y30">
            <v>63.923999999999999</v>
          </cell>
          <cell r="Z30">
            <v>65.91</v>
          </cell>
          <cell r="AA30">
            <v>59.588999999999999</v>
          </cell>
          <cell r="AB30">
            <v>62.034999999999997</v>
          </cell>
          <cell r="AC30">
            <v>56.097000000000001</v>
          </cell>
          <cell r="AD30">
            <v>49.204000000000001</v>
          </cell>
          <cell r="AE30">
            <v>52.030999999999999</v>
          </cell>
          <cell r="AF30">
            <v>48.204000000000001</v>
          </cell>
          <cell r="AG30">
            <v>48.048999999999999</v>
          </cell>
          <cell r="AH30" t="str">
            <v>R2 = 0.9918</v>
          </cell>
        </row>
        <row r="31">
          <cell r="A31" t="str">
            <v xml:space="preserve">   Generic TRx's</v>
          </cell>
          <cell r="B31">
            <v>44.939</v>
          </cell>
          <cell r="C31">
            <v>476.60899999999998</v>
          </cell>
          <cell r="D31">
            <v>650.49400000000003</v>
          </cell>
          <cell r="E31">
            <v>733.18600000000004</v>
          </cell>
          <cell r="F31">
            <v>697.62300000000005</v>
          </cell>
          <cell r="G31">
            <v>792.26400000000001</v>
          </cell>
          <cell r="H31">
            <v>770.827</v>
          </cell>
          <cell r="I31">
            <v>816.26800000000003</v>
          </cell>
          <cell r="J31">
            <v>772.91800000000001</v>
          </cell>
          <cell r="K31">
            <v>792.53599999999994</v>
          </cell>
          <cell r="L31">
            <v>797.18499999999995</v>
          </cell>
          <cell r="M31">
            <v>739</v>
          </cell>
          <cell r="N31">
            <v>806.947</v>
          </cell>
          <cell r="O31">
            <v>758.37699999999995</v>
          </cell>
          <cell r="P31">
            <v>785.68600000000004</v>
          </cell>
          <cell r="Q31">
            <v>794.54300000000001</v>
          </cell>
          <cell r="R31">
            <v>720.84299999999996</v>
          </cell>
          <cell r="S31">
            <v>775.56600000000003</v>
          </cell>
          <cell r="T31">
            <v>789.50400000000002</v>
          </cell>
          <cell r="U31">
            <v>784.58799999999997</v>
          </cell>
          <cell r="V31">
            <v>728.08299999999997</v>
          </cell>
          <cell r="W31">
            <v>778.096</v>
          </cell>
          <cell r="X31">
            <v>756.83</v>
          </cell>
          <cell r="Y31">
            <v>721.99400000000003</v>
          </cell>
          <cell r="Z31">
            <v>767.17399999999998</v>
          </cell>
          <cell r="AA31">
            <v>725.02300000000002</v>
          </cell>
          <cell r="AB31">
            <v>772.67100000000005</v>
          </cell>
          <cell r="AC31">
            <v>759.57</v>
          </cell>
          <cell r="AD31">
            <v>687.96400000000006</v>
          </cell>
          <cell r="AE31">
            <v>742.45100000000002</v>
          </cell>
          <cell r="AF31">
            <v>722.303</v>
          </cell>
          <cell r="AG31">
            <v>728.71699999999998</v>
          </cell>
          <cell r="AH31" t="str">
            <v>= 0.74948443447x-0.69936275431</v>
          </cell>
        </row>
        <row r="32">
          <cell r="A32" t="str">
            <v xml:space="preserve">   Year-end Branded % of Molecule</v>
          </cell>
          <cell r="B32">
            <v>0.6950802686463009</v>
          </cell>
          <cell r="C32">
            <v>0.4270739746572888</v>
          </cell>
          <cell r="D32">
            <v>0.32741667608136454</v>
          </cell>
          <cell r="E32">
            <v>0.27827718849296063</v>
          </cell>
          <cell r="F32">
            <v>0.24420006536040692</v>
          </cell>
          <cell r="G32">
            <v>0.22163233927404052</v>
          </cell>
          <cell r="H32">
            <v>0.20031847318839316</v>
          </cell>
          <cell r="I32">
            <v>0.18345935296124602</v>
          </cell>
          <cell r="J32">
            <v>0.17015782772201002</v>
          </cell>
          <cell r="K32">
            <v>0.1589986386639323</v>
          </cell>
          <cell r="L32">
            <v>0.1499483015336468</v>
          </cell>
          <cell r="M32">
            <v>0.14148862123262951</v>
          </cell>
          <cell r="N32">
            <v>0.13530855545429138</v>
          </cell>
          <cell r="O32">
            <v>0.12978688178791872</v>
          </cell>
          <cell r="P32">
            <v>0.12041562630728335</v>
          </cell>
          <cell r="Q32">
            <v>0.11129222416969428</v>
          </cell>
          <cell r="R32">
            <v>0.10545127734380286</v>
          </cell>
          <cell r="S32">
            <v>0.10051591933098007</v>
          </cell>
          <cell r="T32">
            <v>9.5858571484075686E-2</v>
          </cell>
          <cell r="U32">
            <v>9.2555396689471506E-2</v>
          </cell>
          <cell r="V32">
            <v>8.8726273659025384E-2</v>
          </cell>
          <cell r="W32">
            <v>8.581182451479738E-2</v>
          </cell>
          <cell r="X32">
            <v>8.2828632289666915E-2</v>
          </cell>
          <cell r="Y32">
            <v>7.9973216005156361E-2</v>
          </cell>
          <cell r="Z32">
            <v>7.7260370885203086E-2</v>
          </cell>
          <cell r="AA32">
            <v>7.494656721679642E-2</v>
          </cell>
          <cell r="AB32">
            <v>7.1023242808726905E-2</v>
          </cell>
          <cell r="AC32">
            <v>6.7607846076259276E-2</v>
          </cell>
          <cell r="AD32">
            <v>6.5970809133331018E-2</v>
          </cell>
          <cell r="AE32">
            <v>6.3754635641465107E-2</v>
          </cell>
          <cell r="AF32">
            <v>6.2137848873973486E-2</v>
          </cell>
          <cell r="AG32">
            <v>6.1142418627524668E-2</v>
          </cell>
          <cell r="AH32">
            <v>5.9981972123639551E-2</v>
          </cell>
          <cell r="AI32">
            <v>5.8873629488316682E-2</v>
          </cell>
          <cell r="AJ32">
            <v>5.7813770197786989E-2</v>
          </cell>
          <cell r="AK32">
            <v>5.6799109858274154E-2</v>
          </cell>
          <cell r="AL32">
            <v>5.5826661533957801E-2</v>
          </cell>
          <cell r="AM32">
            <v>5.4893702342089623E-2</v>
          </cell>
          <cell r="AN32">
            <v>5.3997744491672078E-2</v>
          </cell>
          <cell r="AO32">
            <v>5.3136510086736734E-2</v>
          </cell>
          <cell r="AP32">
            <v>5.2307909131832343E-2</v>
          </cell>
          <cell r="AQ32">
            <v>5.151002027178242E-2</v>
          </cell>
          <cell r="AR32">
            <v>5.0741073874683164E-2</v>
          </cell>
          <cell r="AS32">
            <v>4.9999437130038009E-2</v>
          </cell>
          <cell r="AT32">
            <v>4.9283600885644756E-2</v>
          </cell>
          <cell r="AU32">
            <v>4.8592167989541787E-2</v>
          </cell>
          <cell r="AV32">
            <v>4.792384293870907E-2</v>
          </cell>
          <cell r="AW32">
            <v>4.7277422665668332E-2</v>
          </cell>
          <cell r="AX32">
            <v>4.6651788318728585E-2</v>
          </cell>
          <cell r="AY32">
            <v>4.6045897912250479E-2</v>
          </cell>
          <cell r="AZ32">
            <v>4.5458779740657491E-2</v>
          </cell>
          <cell r="BA32">
            <v>4.4889526464573996E-2</v>
          </cell>
          <cell r="BB32">
            <v>4.4337289789879532E-2</v>
          </cell>
          <cell r="BC32">
            <v>4.3801275671011129E-2</v>
          </cell>
          <cell r="BD32">
            <v>4.3280739978831084E-2</v>
          </cell>
          <cell r="BE32">
            <v>4.2774984581055248E-2</v>
          </cell>
          <cell r="BF32">
            <v>4.228335378981702E-2</v>
          </cell>
          <cell r="BG32">
            <v>4.1805231136599265E-2</v>
          </cell>
          <cell r="BH32">
            <v>4.1340036439635609E-2</v>
          </cell>
          <cell r="BI32">
            <v>4.0887223133093689E-2</v>
          </cell>
        </row>
        <row r="33">
          <cell r="A33" t="str">
            <v xml:space="preserve">   Average Yearly Branded % of Molecule</v>
          </cell>
          <cell r="M33">
            <v>0.26997209073274336</v>
          </cell>
          <cell r="Y33">
            <v>0.10294358510740582</v>
          </cell>
          <cell r="AK33">
            <v>6.4776018410941452E-2</v>
          </cell>
          <cell r="AW33">
            <v>5.1290841111863016E-2</v>
          </cell>
          <cell r="BI33">
            <v>4.362967724634443E-2</v>
          </cell>
        </row>
        <row r="35">
          <cell r="A35" t="str">
            <v>PEPCID 4/15/01</v>
          </cell>
          <cell r="B35">
            <v>15</v>
          </cell>
          <cell r="C35" t="str">
            <v>Forecasted for months 26-60</v>
          </cell>
        </row>
        <row r="36">
          <cell r="A36" t="str">
            <v xml:space="preserve">   Branded TRx's</v>
          </cell>
          <cell r="B36">
            <v>574.03600000000006</v>
          </cell>
          <cell r="C36">
            <v>293.10000000000002</v>
          </cell>
          <cell r="D36">
            <v>183.41</v>
          </cell>
          <cell r="E36">
            <v>140.047</v>
          </cell>
          <cell r="F36">
            <v>118.348</v>
          </cell>
          <cell r="G36">
            <v>94.828999999999994</v>
          </cell>
          <cell r="H36">
            <v>94.265999999999991</v>
          </cell>
          <cell r="I36">
            <v>82.272999999999996</v>
          </cell>
          <cell r="J36">
            <v>78.878</v>
          </cell>
          <cell r="K36">
            <v>70.634</v>
          </cell>
          <cell r="L36">
            <v>58.056000000000004</v>
          </cell>
          <cell r="M36">
            <v>59.138999999999996</v>
          </cell>
          <cell r="N36">
            <v>54.892999999999994</v>
          </cell>
          <cell r="O36">
            <v>52.558</v>
          </cell>
          <cell r="P36">
            <v>48.529000000000003</v>
          </cell>
          <cell r="Q36">
            <v>48.827999999999996</v>
          </cell>
          <cell r="R36">
            <v>46.024999999999999</v>
          </cell>
          <cell r="S36">
            <v>42.443000000000005</v>
          </cell>
          <cell r="T36">
            <v>42.917000000000002</v>
          </cell>
          <cell r="U36">
            <v>39.351000000000006</v>
          </cell>
          <cell r="V36">
            <v>40.698999999999998</v>
          </cell>
          <cell r="W36">
            <v>38.749000000000002</v>
          </cell>
          <cell r="X36">
            <v>33.748999999999995</v>
          </cell>
          <cell r="Y36">
            <v>35.341999999999999</v>
          </cell>
          <cell r="Z36">
            <v>32.942999999999998</v>
          </cell>
          <cell r="AA36">
            <v>32.14</v>
          </cell>
          <cell r="AB36" t="str">
            <v>R2 = 0.9955</v>
          </cell>
        </row>
        <row r="37">
          <cell r="A37" t="str">
            <v xml:space="preserve">   Generic TRx's</v>
          </cell>
          <cell r="B37">
            <v>59.12</v>
          </cell>
          <cell r="C37">
            <v>379.79700000000003</v>
          </cell>
          <cell r="D37">
            <v>467.77499999999998</v>
          </cell>
          <cell r="E37">
            <v>524.54899999999998</v>
          </cell>
          <cell r="F37">
            <v>559.18299999999999</v>
          </cell>
          <cell r="G37">
            <v>531.56700000000001</v>
          </cell>
          <cell r="H37">
            <v>592.29700000000003</v>
          </cell>
          <cell r="I37">
            <v>571.16899999999998</v>
          </cell>
          <cell r="J37">
            <v>577.95799999999997</v>
          </cell>
          <cell r="K37">
            <v>615.47299999999996</v>
          </cell>
          <cell r="L37">
            <v>572.87599999999998</v>
          </cell>
          <cell r="M37">
            <v>615.75199999999995</v>
          </cell>
          <cell r="N37">
            <v>621.19299999999998</v>
          </cell>
          <cell r="O37">
            <v>618.83399999999995</v>
          </cell>
          <cell r="P37">
            <v>579.52599999999995</v>
          </cell>
          <cell r="Q37">
            <v>618.101</v>
          </cell>
          <cell r="R37">
            <v>612.346</v>
          </cell>
          <cell r="S37">
            <v>578.42100000000005</v>
          </cell>
          <cell r="T37">
            <v>607.79999999999995</v>
          </cell>
          <cell r="U37">
            <v>581.49</v>
          </cell>
          <cell r="V37">
            <v>613.08900000000006</v>
          </cell>
          <cell r="W37">
            <v>618.12800000000004</v>
          </cell>
          <cell r="X37">
            <v>563.03800000000001</v>
          </cell>
          <cell r="Y37">
            <v>615.85699999999997</v>
          </cell>
          <cell r="Z37">
            <v>601.38</v>
          </cell>
          <cell r="AA37">
            <v>605.11800000000005</v>
          </cell>
          <cell r="AB37" t="str">
            <v>= 0.59089556740x-0.76280190096</v>
          </cell>
        </row>
        <row r="38">
          <cell r="A38" t="str">
            <v xml:space="preserve">   Year-end Branded % of Molecule</v>
          </cell>
          <cell r="B38">
            <v>0.66393630273809723</v>
          </cell>
          <cell r="C38">
            <v>0.35987952407781393</v>
          </cell>
          <cell r="D38">
            <v>0.24582890313813618</v>
          </cell>
          <cell r="E38">
            <v>0.19252648966901048</v>
          </cell>
          <cell r="F38">
            <v>0.16348844682255984</v>
          </cell>
          <cell r="G38">
            <v>0.14402201439648915</v>
          </cell>
          <cell r="H38">
            <v>0.13174503080212388</v>
          </cell>
          <cell r="I38">
            <v>0.12298993038118629</v>
          </cell>
          <cell r="J38">
            <v>0.11133160528778958</v>
          </cell>
          <cell r="K38">
            <v>9.7711609147489178E-2</v>
          </cell>
          <cell r="L38">
            <v>8.9747998005855298E-2</v>
          </cell>
          <cell r="M38">
            <v>8.4407062444438352E-2</v>
          </cell>
          <cell r="N38">
            <v>7.9742303770451176E-2</v>
          </cell>
          <cell r="O38">
            <v>7.7792322426386007E-2</v>
          </cell>
          <cell r="P38">
            <v>7.5180079444997008E-2</v>
          </cell>
          <cell r="Q38">
            <v>7.15709650645137E-2</v>
          </cell>
          <cell r="R38">
            <v>6.9156957087634405E-2</v>
          </cell>
          <cell r="S38">
            <v>6.7129030710587845E-2</v>
          </cell>
          <cell r="T38">
            <v>6.4698582369030755E-2</v>
          </cell>
          <cell r="U38">
            <v>6.2802588047188634E-2</v>
          </cell>
          <cell r="V38">
            <v>6.0616557243841872E-2</v>
          </cell>
          <cell r="W38">
            <v>5.7828891951910551E-2</v>
          </cell>
          <cell r="X38">
            <v>5.5361999253196736E-2</v>
          </cell>
          <cell r="Y38">
            <v>5.3118499722291809E-2</v>
          </cell>
          <cell r="Z38">
            <v>5.1182740226536884E-2</v>
          </cell>
          <cell r="AA38">
            <v>5.0717686642164056E-2</v>
          </cell>
          <cell r="AB38">
            <v>4.9222806565436872E-2</v>
          </cell>
          <cell r="AC38">
            <v>4.7825963918597426E-2</v>
          </cell>
          <cell r="AD38">
            <v>4.6517443074533496E-2</v>
          </cell>
          <cell r="AE38">
            <v>4.5288794355872762E-2</v>
          </cell>
          <cell r="AF38">
            <v>4.4132632226977747E-2</v>
          </cell>
          <cell r="AG38">
            <v>4.3042471151330725E-2</v>
          </cell>
          <cell r="AH38">
            <v>4.2012591123229685E-2</v>
          </cell>
          <cell r="AI38">
            <v>4.103792676963422E-2</v>
          </cell>
          <cell r="AJ38">
            <v>4.0113975316806126E-2</v>
          </cell>
          <cell r="AK38">
            <v>3.92367197637278E-2</v>
          </cell>
          <cell r="AL38">
            <v>3.8402564395799324E-2</v>
          </cell>
          <cell r="AM38">
            <v>3.7608280375742285E-2</v>
          </cell>
          <cell r="AN38">
            <v>3.6850959612458593E-2</v>
          </cell>
          <cell r="AO38">
            <v>3.6127975467864976E-2</v>
          </cell>
          <cell r="AP38">
            <v>3.5436949142045544E-2</v>
          </cell>
          <cell r="AQ38">
            <v>3.4775720797293228E-2</v>
          </cell>
          <cell r="AR38">
            <v>3.4142324655754522E-2</v>
          </cell>
          <cell r="AS38">
            <v>3.3534967443945622E-2</v>
          </cell>
          <cell r="AT38">
            <v>3.2952009668291336E-2</v>
          </cell>
          <cell r="AU38">
            <v>3.2391949295067751E-2</v>
          </cell>
          <cell r="AV38">
            <v>3.1853407480318244E-2</v>
          </cell>
          <cell r="AW38">
            <v>3.133511605400472E-2</v>
          </cell>
          <cell r="AX38">
            <v>3.0835906510606578E-2</v>
          </cell>
          <cell r="AY38">
            <v>3.0354700297734623E-2</v>
          </cell>
          <cell r="AZ38">
            <v>2.989050022676594E-2</v>
          </cell>
          <cell r="BA38">
            <v>2.9442382856359386E-2</v>
          </cell>
          <cell r="BB38">
            <v>2.9009491722027599E-2</v>
          </cell>
          <cell r="BC38">
            <v>2.859103130356043E-2</v>
          </cell>
          <cell r="BD38">
            <v>2.8186261637684579E-2</v>
          </cell>
          <cell r="BE38">
            <v>2.779449349644553E-2</v>
          </cell>
          <cell r="BF38">
            <v>2.7415084062844139E-2</v>
          </cell>
          <cell r="BG38">
            <v>2.7047433044604784E-2</v>
          </cell>
          <cell r="BH38">
            <v>2.6690979174881606E-2</v>
          </cell>
          <cell r="BI38">
            <v>2.6345197055459346E-2</v>
          </cell>
        </row>
        <row r="39">
          <cell r="A39" t="str">
            <v xml:space="preserve">   Average Yearly Branded % of Molecule</v>
          </cell>
          <cell r="M39">
            <v>0.20003088458828805</v>
          </cell>
          <cell r="Y39">
            <v>6.6369987574091904E-2</v>
          </cell>
          <cell r="AK39">
            <v>4.5027645927903981E-2</v>
          </cell>
          <cell r="AW39">
            <v>3.4617685365715509E-2</v>
          </cell>
          <cell r="BI39">
            <v>2.8466955115747875E-2</v>
          </cell>
        </row>
        <row r="41">
          <cell r="A41" t="str">
            <v>PROZAC 8/2/01</v>
          </cell>
          <cell r="B41">
            <v>2</v>
          </cell>
          <cell r="C41" t="str">
            <v>Forecasted for months 22-60</v>
          </cell>
        </row>
        <row r="42">
          <cell r="A42" t="str">
            <v xml:space="preserve">   Branded TRx's</v>
          </cell>
          <cell r="B42">
            <v>1176.2449999999999</v>
          </cell>
          <cell r="C42">
            <v>582.67499999999995</v>
          </cell>
          <cell r="D42">
            <v>516.56799999999998</v>
          </cell>
          <cell r="E42">
            <v>435.44099999999997</v>
          </cell>
          <cell r="F42">
            <v>408.476</v>
          </cell>
          <cell r="G42">
            <v>371.87799999999999</v>
          </cell>
          <cell r="H42">
            <v>308.55799999999999</v>
          </cell>
          <cell r="I42">
            <v>307.24700000000001</v>
          </cell>
          <cell r="J42">
            <v>289.3</v>
          </cell>
          <cell r="K42">
            <v>275.83300000000003</v>
          </cell>
          <cell r="L42">
            <v>248.92</v>
          </cell>
          <cell r="M42">
            <v>252.89</v>
          </cell>
          <cell r="N42">
            <v>237.244</v>
          </cell>
          <cell r="O42">
            <v>219.20099999999999</v>
          </cell>
          <cell r="P42">
            <v>222.887</v>
          </cell>
          <cell r="Q42">
            <v>206.48</v>
          </cell>
          <cell r="R42">
            <v>210.60499999999999</v>
          </cell>
          <cell r="S42">
            <v>180.77699999999999</v>
          </cell>
          <cell r="T42">
            <v>154.51900000000001</v>
          </cell>
          <cell r="U42">
            <v>162.34299999999999</v>
          </cell>
          <cell r="V42">
            <v>153.209</v>
          </cell>
          <cell r="W42">
            <v>152.15199999999999</v>
          </cell>
          <cell r="X42" t="str">
            <v>R2 = 0.9833</v>
          </cell>
        </row>
        <row r="43">
          <cell r="A43" t="str">
            <v xml:space="preserve">   Generic TRx's</v>
          </cell>
          <cell r="B43">
            <v>1070.8810000000001</v>
          </cell>
          <cell r="C43">
            <v>1547.3820000000001</v>
          </cell>
          <cell r="D43">
            <v>1815.172</v>
          </cell>
          <cell r="E43">
            <v>1768.17</v>
          </cell>
          <cell r="F43">
            <v>1829.816</v>
          </cell>
          <cell r="G43">
            <v>1939.3630000000001</v>
          </cell>
          <cell r="H43">
            <v>1769.1759999999999</v>
          </cell>
          <cell r="I43">
            <v>1946.3150000000001</v>
          </cell>
          <cell r="J43">
            <v>1991.415</v>
          </cell>
          <cell r="K43">
            <v>2000.2339999999999</v>
          </cell>
          <cell r="L43">
            <v>1883.163</v>
          </cell>
          <cell r="M43">
            <v>2009.5530000000001</v>
          </cell>
          <cell r="N43">
            <v>1982.239</v>
          </cell>
          <cell r="O43">
            <v>1899.384</v>
          </cell>
          <cell r="P43">
            <v>2007.93</v>
          </cell>
          <cell r="Q43">
            <v>1915.3330000000001</v>
          </cell>
          <cell r="R43">
            <v>2026.8710000000001</v>
          </cell>
          <cell r="S43">
            <v>2060.8429999999998</v>
          </cell>
          <cell r="T43">
            <v>1874.703</v>
          </cell>
          <cell r="U43">
            <v>2044.4079999999999</v>
          </cell>
          <cell r="V43">
            <v>2000.9269999999999</v>
          </cell>
          <cell r="W43">
            <v>2041.9549999999999</v>
          </cell>
          <cell r="X43" t="str">
            <v>= 0.45517246722x-0.58287638336</v>
          </cell>
        </row>
        <row r="44">
          <cell r="A44" t="str">
            <v xml:space="preserve">   Year-end Branded % of Molecule</v>
          </cell>
          <cell r="B44">
            <v>0.50759737600268839</v>
          </cell>
          <cell r="C44">
            <v>0.26977708571559733</v>
          </cell>
          <cell r="D44">
            <v>0.22002408691168848</v>
          </cell>
          <cell r="E44">
            <v>0.19658134949765246</v>
          </cell>
          <cell r="F44">
            <v>0.18101115841914228</v>
          </cell>
          <cell r="G44">
            <v>0.16015195886709574</v>
          </cell>
          <cell r="H44">
            <v>0.14763202464386424</v>
          </cell>
          <cell r="I44">
            <v>0.13569845958610885</v>
          </cell>
          <cell r="J44">
            <v>0.12646972057041209</v>
          </cell>
          <cell r="K44">
            <v>0.12091006444358758</v>
          </cell>
          <cell r="L44">
            <v>0.11639935157398702</v>
          </cell>
          <cell r="M44">
            <v>0.11145745881570562</v>
          </cell>
          <cell r="N44">
            <v>0.10667289278738823</v>
          </cell>
          <cell r="O44">
            <v>0.1032172173177222</v>
          </cell>
          <cell r="P44">
            <v>9.9747337973140907E-2</v>
          </cell>
          <cell r="Q44">
            <v>9.7089778253404868E-2</v>
          </cell>
          <cell r="R44">
            <v>9.32258989407347E-2</v>
          </cell>
          <cell r="S44">
            <v>8.0372467272291165E-2</v>
          </cell>
          <cell r="T44">
            <v>7.5960926002435536E-2</v>
          </cell>
          <cell r="U44">
            <v>7.3407264744550837E-2</v>
          </cell>
          <cell r="V44">
            <v>7.1002634117551464E-2</v>
          </cell>
          <cell r="W44">
            <v>6.9718778239469287E-2</v>
          </cell>
          <cell r="X44">
            <v>6.8143029368185601E-2</v>
          </cell>
          <cell r="Y44">
            <v>6.6660389994437602E-2</v>
          </cell>
          <cell r="Z44">
            <v>6.5262205257058239E-2</v>
          </cell>
          <cell r="AA44">
            <v>6.3940897547925993E-2</v>
          </cell>
          <cell r="AB44">
            <v>6.2689800756616385E-2</v>
          </cell>
          <cell r="AC44">
            <v>6.1503024576596774E-2</v>
          </cell>
          <cell r="AD44">
            <v>6.0375342646467683E-2</v>
          </cell>
          <cell r="AE44">
            <v>5.9302099740059497E-2</v>
          </cell>
          <cell r="AF44">
            <v>5.8279134293542742E-2</v>
          </cell>
          <cell r="AG44">
            <v>5.7302713366939782E-2</v>
          </cell>
          <cell r="AH44">
            <v>5.6369477752543272E-2</v>
          </cell>
          <cell r="AI44">
            <v>5.5476395414324725E-2</v>
          </cell>
          <cell r="AJ44">
            <v>5.4620721806867022E-2</v>
          </cell>
          <cell r="AK44">
            <v>5.3799965906146968E-2</v>
          </cell>
          <cell r="AL44">
            <v>5.3011861007058798E-2</v>
          </cell>
          <cell r="AM44">
            <v>5.2254339518294564E-2</v>
          </cell>
          <cell r="AN44">
            <v>5.1525511124824619E-2</v>
          </cell>
          <cell r="AO44">
            <v>5.0823643799838662E-2</v>
          </cell>
          <cell r="AP44">
            <v>5.0147147237742322E-2</v>
          </cell>
          <cell r="AQ44">
            <v>4.9494558352343336E-2</v>
          </cell>
          <cell r="AR44">
            <v>4.8864528543299535E-2</v>
          </cell>
          <cell r="AS44">
            <v>4.8255812482027774E-2</v>
          </cell>
          <cell r="AT44">
            <v>4.7667258207754512E-2</v>
          </cell>
          <cell r="AU44">
            <v>4.7097798356924514E-2</v>
          </cell>
          <cell r="AV44">
            <v>4.6546442376110275E-2</v>
          </cell>
          <cell r="AW44">
            <v>4.6012269590940909E-2</v>
          </cell>
          <cell r="AX44">
            <v>4.5494423022235483E-2</v>
          </cell>
          <cell r="AY44">
            <v>4.4992103856158573E-2</v>
          </cell>
          <cell r="AZ44">
            <v>4.4504566488351986E-2</v>
          </cell>
          <cell r="BA44">
            <v>4.4031114073076659E-2</v>
          </cell>
          <cell r="BB44">
            <v>4.3571094517772579E-2</v>
          </cell>
          <cell r="BC44">
            <v>4.3123896871402445E-2</v>
          </cell>
          <cell r="BD44">
            <v>4.2688948061720418E-2</v>
          </cell>
          <cell r="BE44">
            <v>4.2265709942393877E-2</v>
          </cell>
          <cell r="BF44">
            <v>4.1853676615861091E-2</v>
          </cell>
          <cell r="BG44">
            <v>4.1452372002064461E-2</v>
          </cell>
          <cell r="BH44">
            <v>4.1061347626863538E-2</v>
          </cell>
          <cell r="BI44">
            <v>4.0680180607094878E-2</v>
          </cell>
        </row>
        <row r="45">
          <cell r="A45" t="str">
            <v xml:space="preserve">   Average Yearly Branded % of Molecule</v>
          </cell>
          <cell r="M45">
            <v>0.19113277428434133</v>
          </cell>
          <cell r="Y45">
            <v>8.3768217917609369E-2</v>
          </cell>
          <cell r="AK45">
            <v>5.9076814922090763E-2</v>
          </cell>
          <cell r="AW45">
            <v>4.9308430883096659E-2</v>
          </cell>
          <cell r="BI45">
            <v>4.2976619473749665E-2</v>
          </cell>
        </row>
        <row r="47">
          <cell r="A47" t="str">
            <v>MEVACOR 12/15/01</v>
          </cell>
          <cell r="B47">
            <v>15</v>
          </cell>
          <cell r="C47" t="str">
            <v>Forecasted for months 18-60</v>
          </cell>
        </row>
        <row r="48">
          <cell r="A48" t="str">
            <v xml:space="preserve">   Branded TRx's</v>
          </cell>
          <cell r="B48">
            <v>151.43</v>
          </cell>
          <cell r="C48">
            <v>81.44</v>
          </cell>
          <cell r="D48">
            <v>56.701000000000001</v>
          </cell>
          <cell r="E48">
            <v>51.098999999999997</v>
          </cell>
          <cell r="F48">
            <v>42.82</v>
          </cell>
          <cell r="G48">
            <v>37.920999999999999</v>
          </cell>
          <cell r="H48">
            <v>31.747</v>
          </cell>
          <cell r="I48">
            <v>30.692</v>
          </cell>
          <cell r="J48">
            <v>27.026</v>
          </cell>
          <cell r="K48">
            <v>23.849</v>
          </cell>
          <cell r="L48">
            <v>24.084</v>
          </cell>
          <cell r="M48">
            <v>21.477</v>
          </cell>
          <cell r="N48">
            <v>21.048999999999999</v>
          </cell>
          <cell r="O48">
            <v>19.702999999999999</v>
          </cell>
          <cell r="P48">
            <v>17.46</v>
          </cell>
          <cell r="Q48">
            <v>18.433</v>
          </cell>
          <cell r="R48">
            <v>16.870999999999999</v>
          </cell>
          <cell r="S48">
            <v>16.355</v>
          </cell>
          <cell r="T48" t="str">
            <v>R2 = 0.9691</v>
          </cell>
        </row>
        <row r="49">
          <cell r="A49" t="str">
            <v xml:space="preserve">   Generic TRx's</v>
          </cell>
          <cell r="B49">
            <v>9.7439999999999998</v>
          </cell>
          <cell r="C49">
            <v>103.503</v>
          </cell>
          <cell r="D49">
            <v>103.121</v>
          </cell>
          <cell r="E49">
            <v>132.149</v>
          </cell>
          <cell r="F49">
            <v>163.30099999999999</v>
          </cell>
          <cell r="G49">
            <v>178.71299999999999</v>
          </cell>
          <cell r="H49">
            <v>178.78100000000001</v>
          </cell>
          <cell r="I49">
            <v>190.23099999999999</v>
          </cell>
          <cell r="J49">
            <v>197.21100000000001</v>
          </cell>
          <cell r="K49">
            <v>199.31200000000001</v>
          </cell>
          <cell r="L49">
            <v>246.36</v>
          </cell>
          <cell r="M49">
            <v>225.60300000000001</v>
          </cell>
          <cell r="N49">
            <v>256.565</v>
          </cell>
          <cell r="O49">
            <v>286.35500000000002</v>
          </cell>
          <cell r="P49">
            <v>287.459</v>
          </cell>
          <cell r="Q49">
            <v>354.72800000000001</v>
          </cell>
          <cell r="R49">
            <v>381.05099999999999</v>
          </cell>
          <cell r="S49">
            <v>405.79500000000002</v>
          </cell>
          <cell r="T49" t="str">
            <v>= 0.85295198331x-0.97807344963</v>
          </cell>
        </row>
        <row r="50">
          <cell r="A50" t="str">
            <v xml:space="preserve">   Year-end Branded % of Molecule</v>
          </cell>
          <cell r="B50">
            <v>0.67280717214121255</v>
          </cell>
          <cell r="C50">
            <v>0.40068162371470423</v>
          </cell>
          <cell r="D50">
            <v>0.31422158743113654</v>
          </cell>
          <cell r="E50">
            <v>0.24120821123407357</v>
          </cell>
          <cell r="F50">
            <v>0.19098768790434176</v>
          </cell>
          <cell r="G50">
            <v>0.16309503186144833</v>
          </cell>
          <cell r="H50">
            <v>0.14471863548815508</v>
          </cell>
          <cell r="I50">
            <v>0.12965675262826848</v>
          </cell>
          <cell r="J50">
            <v>0.11371306979467945</v>
          </cell>
          <cell r="K50">
            <v>9.7108011466658553E-2</v>
          </cell>
          <cell r="L50">
            <v>8.8036496858116708E-2</v>
          </cell>
          <cell r="M50">
            <v>8.1049144834894254E-2</v>
          </cell>
          <cell r="N50">
            <v>6.9820035910579906E-2</v>
          </cell>
          <cell r="O50">
            <v>6.0825530257276474E-2</v>
          </cell>
          <cell r="P50">
            <v>5.293328220858895E-2</v>
          </cell>
          <cell r="Q50">
            <v>4.5784954408280301E-2</v>
          </cell>
          <cell r="R50">
            <v>4.0515954696660778E-2</v>
          </cell>
          <cell r="S50">
            <v>3.8104530331464999E-2</v>
          </cell>
          <cell r="T50">
            <v>3.661310631704412E-2</v>
          </cell>
          <cell r="U50">
            <v>3.523519828236877E-2</v>
          </cell>
          <cell r="V50">
            <v>3.3958280307989787E-2</v>
          </cell>
          <cell r="W50">
            <v>3.2771606801952777E-2</v>
          </cell>
          <cell r="X50">
            <v>3.1665906772929846E-2</v>
          </cell>
          <cell r="Y50">
            <v>3.0633139048509003E-2</v>
          </cell>
          <cell r="Z50">
            <v>2.9666294714848714E-2</v>
          </cell>
          <cell r="AA50">
            <v>2.8759236476686018E-2</v>
          </cell>
          <cell r="AB50">
            <v>2.7906567127927363E-2</v>
          </cell>
          <cell r="AC50">
            <v>2.710352115622865E-2</v>
          </cell>
          <cell r="AD50">
            <v>2.6345874867753194E-2</v>
          </cell>
          <cell r="AE50">
            <v>2.5629871441103291E-2</v>
          </cell>
          <cell r="AF50">
            <v>2.4952158093966798E-2</v>
          </cell>
          <cell r="AG50">
            <v>2.4309733137511325E-2</v>
          </cell>
          <cell r="AH50">
            <v>2.3699901148845227E-2</v>
          </cell>
          <cell r="AI50">
            <v>2.3120234844931215E-2</v>
          </cell>
          <cell r="AJ50">
            <v>2.2568542517070075E-2</v>
          </cell>
          <cell r="AK50">
            <v>2.20428401018463E-2</v>
          </cell>
          <cell r="AL50">
            <v>2.1541327135928521E-2</v>
          </cell>
          <cell r="AM50">
            <v>2.1062365978615629E-2</v>
          </cell>
          <cell r="AN50">
            <v>2.060446379527758E-2</v>
          </cell>
          <cell r="AO50">
            <v>2.0166256882767401E-2</v>
          </cell>
          <cell r="AP50">
            <v>1.9746496989009536E-2</v>
          </cell>
          <cell r="AQ50">
            <v>1.934403933678959E-2</v>
          </cell>
          <cell r="AR50">
            <v>1.8957832108995064E-2</v>
          </cell>
          <cell r="AS50">
            <v>1.858690719129856E-2</v>
          </cell>
          <cell r="AT50">
            <v>1.8230372000196123E-2</v>
          </cell>
          <cell r="AU50">
            <v>1.7887402250721229E-2</v>
          </cell>
          <cell r="AV50">
            <v>1.7557235540088749E-2</v>
          </cell>
          <cell r="AW50">
            <v>1.7239165641809565E-2</v>
          </cell>
          <cell r="AX50">
            <v>1.6932537420117098E-2</v>
          </cell>
          <cell r="AY50">
            <v>1.6636742287394111E-2</v>
          </cell>
          <cell r="AZ50">
            <v>1.6351214138111358E-2</v>
          </cell>
          <cell r="BA50">
            <v>1.6075425701936909E-2</v>
          </cell>
          <cell r="BB50">
            <v>1.580888526643064E-2</v>
          </cell>
          <cell r="BC50">
            <v>1.5551133726332459E-2</v>
          </cell>
          <cell r="BD50">
            <v>1.5301741922076777E-2</v>
          </cell>
          <cell r="BE50">
            <v>1.5060308234975247E-2</v>
          </cell>
          <cell r="BF50">
            <v>1.4826456410633213E-2</v>
          </cell>
          <cell r="BG50">
            <v>1.459983358571054E-2</v>
          </cell>
          <cell r="BH50">
            <v>1.4380108496193337E-2</v>
          </cell>
          <cell r="BI50">
            <v>1.416696984798216E-2</v>
          </cell>
        </row>
        <row r="51">
          <cell r="A51" t="str">
            <v xml:space="preserve">   Average Yearly Branded % of Molecule</v>
          </cell>
          <cell r="M51">
            <v>0.2006968539295198</v>
          </cell>
          <cell r="Y51">
            <v>4.2405127111970475E-2</v>
          </cell>
          <cell r="AK51">
            <v>2.5508731302393187E-2</v>
          </cell>
          <cell r="AW51">
            <v>1.924365540429146E-2</v>
          </cell>
          <cell r="BI51">
            <v>1.5474279753157821E-2</v>
          </cell>
        </row>
        <row r="53">
          <cell r="A53" t="str">
            <v>PRINIVIL/ZESTRIL 6/29/02</v>
          </cell>
          <cell r="B53">
            <v>29</v>
          </cell>
          <cell r="C53" t="str">
            <v>Forecasted for months 12-60</v>
          </cell>
        </row>
        <row r="54">
          <cell r="A54" t="str">
            <v xml:space="preserve">   Branded TRx's</v>
          </cell>
          <cell r="B54">
            <v>3714.5920000000001</v>
          </cell>
          <cell r="C54">
            <v>1971.3739999999998</v>
          </cell>
          <cell r="D54">
            <v>821.82799999999997</v>
          </cell>
          <cell r="E54">
            <v>613.09400000000005</v>
          </cell>
          <cell r="F54">
            <v>497.88400000000001</v>
          </cell>
          <cell r="G54">
            <v>405.40599999999995</v>
          </cell>
          <cell r="H54">
            <v>389.84800000000001</v>
          </cell>
          <cell r="I54">
            <v>338.67700000000002</v>
          </cell>
          <cell r="J54">
            <v>283.30399999999997</v>
          </cell>
          <cell r="K54">
            <v>288.358</v>
          </cell>
          <cell r="L54">
            <v>250.44400000000002</v>
          </cell>
          <cell r="M54">
            <v>234.19799999999998</v>
          </cell>
          <cell r="N54" t="str">
            <v>R2 = 0.9882</v>
          </cell>
        </row>
        <row r="55">
          <cell r="A55" t="str">
            <v xml:space="preserve">   Generic TRx's</v>
          </cell>
          <cell r="B55">
            <v>0.184</v>
          </cell>
          <cell r="C55">
            <v>1968.787</v>
          </cell>
          <cell r="D55">
            <v>3185.203</v>
          </cell>
          <cell r="E55">
            <v>3175.989</v>
          </cell>
          <cell r="F55">
            <v>3562.9609999999998</v>
          </cell>
          <cell r="G55">
            <v>3455.2649999999999</v>
          </cell>
          <cell r="H55">
            <v>3745.27</v>
          </cell>
          <cell r="I55">
            <v>3821.3620000000001</v>
          </cell>
          <cell r="J55">
            <v>3532.7049999999999</v>
          </cell>
          <cell r="K55">
            <v>3889.2280000000001</v>
          </cell>
          <cell r="L55">
            <v>3844.616</v>
          </cell>
          <cell r="M55">
            <v>3966.692</v>
          </cell>
          <cell r="N55" t="str">
            <v>= 0.44641813651x-0.87299818562</v>
          </cell>
        </row>
        <row r="56">
          <cell r="A56" t="str">
            <v xml:space="preserve">   Year-end Branded % of Molecule</v>
          </cell>
          <cell r="B56">
            <v>0.51605970853651661</v>
          </cell>
          <cell r="C56">
            <v>0.2147787081608529</v>
          </cell>
          <cell r="D56">
            <v>0.16332849646253886</v>
          </cell>
          <cell r="E56">
            <v>0.1238279366957066</v>
          </cell>
          <cell r="F56">
            <v>0.10562511541083359</v>
          </cell>
          <cell r="G56">
            <v>9.4612084449511996E-2</v>
          </cell>
          <cell r="H56">
            <v>8.1838339282021527E-2</v>
          </cell>
          <cell r="I56">
            <v>7.4500719795374315E-2</v>
          </cell>
          <cell r="J56">
            <v>6.918430447039263E-2</v>
          </cell>
          <cell r="K56">
            <v>6.1424943266049227E-2</v>
          </cell>
          <cell r="L56">
            <v>5.5925487173015875E-2</v>
          </cell>
          <cell r="M56">
            <v>5.100568218572233E-2</v>
          </cell>
          <cell r="N56">
            <v>4.756322617701806E-2</v>
          </cell>
          <cell r="O56">
            <v>4.4583497445559395E-2</v>
          </cell>
          <cell r="P56">
            <v>4.1977473388070688E-2</v>
          </cell>
          <cell r="Q56">
            <v>3.9677771325156715E-2</v>
          </cell>
          <cell r="R56">
            <v>3.7632420634512373E-2</v>
          </cell>
          <cell r="S56">
            <v>3.5800674650451392E-2</v>
          </cell>
          <cell r="T56">
            <v>3.4150121783437147E-2</v>
          </cell>
          <cell r="U56">
            <v>3.2654647845607149E-2</v>
          </cell>
          <cell r="V56">
            <v>3.1292970085487724E-2</v>
          </cell>
          <cell r="W56">
            <v>3.0047563770579946E-2</v>
          </cell>
          <cell r="X56">
            <v>2.8903863667405997E-2</v>
          </cell>
          <cell r="Y56">
            <v>2.7849661472904935E-2</v>
          </cell>
          <cell r="Z56">
            <v>2.6874645180601103E-2</v>
          </cell>
          <cell r="AA56">
            <v>2.5970042764371769E-2</v>
          </cell>
          <cell r="AB56">
            <v>2.5128343559068143E-2</v>
          </cell>
          <cell r="AC56">
            <v>2.4343078220499012E-2</v>
          </cell>
          <cell r="AD56">
            <v>2.3608643349424519E-2</v>
          </cell>
          <cell r="AE56">
            <v>2.2920160524250201E-2</v>
          </cell>
          <cell r="AF56">
            <v>2.2273362097269947E-2</v>
          </cell>
          <cell r="AG56">
            <v>2.1664497994191477E-2</v>
          </cell>
          <cell r="AH56">
            <v>2.10902591337234E-2</v>
          </cell>
          <cell r="AI56">
            <v>2.0547714100969429E-2</v>
          </cell>
          <cell r="AJ56">
            <v>2.003425646703267E-2</v>
          </cell>
          <cell r="AK56">
            <v>1.9547560718554104E-2</v>
          </cell>
          <cell r="AL56">
            <v>1.9085545194974594E-2</v>
          </cell>
          <cell r="AM56">
            <v>1.8646340763841956E-2</v>
          </cell>
          <cell r="AN56">
            <v>1.8228264221232981E-2</v>
          </cell>
          <cell r="AO56">
            <v>1.7829795604060204E-2</v>
          </cell>
          <cell r="AP56">
            <v>1.7449558757444996E-2</v>
          </cell>
          <cell r="AQ56">
            <v>1.7086304623654791E-2</v>
          </cell>
          <cell r="AR56">
            <v>1.6738896816932428E-2</v>
          </cell>
          <cell r="AS56">
            <v>1.6406299126618069E-2</v>
          </cell>
          <cell r="AT56">
            <v>1.6087564653619983E-2</v>
          </cell>
          <cell r="AU56">
            <v>1.5781826335842672E-2</v>
          </cell>
          <cell r="AV56">
            <v>1.5488288659176503E-2</v>
          </cell>
          <cell r="AW56">
            <v>1.5206220384059785E-2</v>
          </cell>
          <cell r="AX56">
            <v>1.4934948144973535E-2</v>
          </cell>
          <cell r="AY56">
            <v>1.4673850802718708E-2</v>
          </cell>
          <cell r="AZ56">
            <v>1.4422354447897506E-2</v>
          </cell>
          <cell r="BA56">
            <v>1.417992796941895E-2</v>
          </cell>
          <cell r="BB56">
            <v>1.3946079114666703E-2</v>
          </cell>
          <cell r="BC56">
            <v>1.3720350978675747E-2</v>
          </cell>
          <cell r="BD56">
            <v>1.3502318868643988E-2</v>
          </cell>
          <cell r="BE56">
            <v>1.3291587497659537E-2</v>
          </cell>
          <cell r="BF56">
            <v>1.3087788467901682E-2</v>
          </cell>
          <cell r="BG56">
            <v>1.2890578008974638E-2</v>
          </cell>
          <cell r="BH56">
            <v>1.2699634941620318E-2</v>
          </cell>
          <cell r="BI56">
            <v>1.2514658840965136E-2</v>
          </cell>
        </row>
        <row r="57">
          <cell r="A57" t="str">
            <v xml:space="preserve">   Average Yearly Branded % of Molecule</v>
          </cell>
          <cell r="M57">
            <v>0.13434262715737805</v>
          </cell>
          <cell r="Y57">
            <v>3.6011157687182625E-2</v>
          </cell>
          <cell r="AK57">
            <v>2.2833547009162986E-2</v>
          </cell>
          <cell r="AW57">
            <v>1.7002908761788244E-2</v>
          </cell>
          <cell r="BI57">
            <v>1.3655339840343039E-2</v>
          </cell>
        </row>
        <row r="59">
          <cell r="A59" t="str">
            <v>PRILOSEC (omeprazole) 11/15/02</v>
          </cell>
          <cell r="B59">
            <v>15</v>
          </cell>
        </row>
        <row r="60">
          <cell r="A60" t="str">
            <v xml:space="preserve">   Branded TRx's</v>
          </cell>
          <cell r="B60">
            <v>2021.569</v>
          </cell>
          <cell r="C60">
            <v>1730.547</v>
          </cell>
          <cell r="D60">
            <v>1210.42</v>
          </cell>
          <cell r="E60">
            <v>985.51900000000001</v>
          </cell>
          <cell r="F60">
            <v>1001.407</v>
          </cell>
          <cell r="G60">
            <v>952.13099999999997</v>
          </cell>
          <cell r="H60">
            <v>887.84900000000005</v>
          </cell>
          <cell r="I60">
            <v>859.19</v>
          </cell>
          <cell r="J60">
            <v>880.97699999999998</v>
          </cell>
          <cell r="K60">
            <v>829.63300000000004</v>
          </cell>
          <cell r="L60">
            <v>719.24599999999998</v>
          </cell>
          <cell r="M60">
            <v>495.45699999999999</v>
          </cell>
          <cell r="N60">
            <v>413.363</v>
          </cell>
          <cell r="O60">
            <v>444.512</v>
          </cell>
          <cell r="P60">
            <v>388.18400000000003</v>
          </cell>
          <cell r="Q60">
            <v>349.55099999999999</v>
          </cell>
          <cell r="R60">
            <v>376.37900000000002</v>
          </cell>
          <cell r="S60">
            <v>342.48099999999999</v>
          </cell>
          <cell r="T60">
            <v>327.983</v>
          </cell>
          <cell r="U60">
            <v>351.03699999999998</v>
          </cell>
          <cell r="V60">
            <v>341.69499999999999</v>
          </cell>
          <cell r="W60">
            <v>320.791</v>
          </cell>
          <cell r="X60">
            <v>194.827</v>
          </cell>
          <cell r="Y60">
            <v>176.20500000000001</v>
          </cell>
          <cell r="Z60">
            <v>173.173</v>
          </cell>
          <cell r="AA60">
            <v>177.88900000000001</v>
          </cell>
          <cell r="AB60">
            <v>171.77500000000001</v>
          </cell>
        </row>
        <row r="61">
          <cell r="A61" t="str">
            <v xml:space="preserve">   Generic TRx's</v>
          </cell>
          <cell r="B61">
            <v>3.0000000000000001E-3</v>
          </cell>
          <cell r="C61">
            <v>444.80900000000003</v>
          </cell>
          <cell r="D61">
            <v>994.70500000000004</v>
          </cell>
          <cell r="E61">
            <v>979.87400000000002</v>
          </cell>
          <cell r="F61">
            <v>1119.701</v>
          </cell>
          <cell r="G61">
            <v>1124.971</v>
          </cell>
          <cell r="H61">
            <v>1186.529</v>
          </cell>
          <cell r="I61">
            <v>1185.125</v>
          </cell>
          <cell r="J61">
            <v>1219.9870000000001</v>
          </cell>
          <cell r="K61">
            <v>1217.123</v>
          </cell>
          <cell r="L61">
            <v>1171.7919999999999</v>
          </cell>
          <cell r="M61">
            <v>969.83199999999999</v>
          </cell>
          <cell r="N61">
            <v>842.12099999999998</v>
          </cell>
          <cell r="O61">
            <v>915.63099999999997</v>
          </cell>
          <cell r="P61">
            <v>851.22299999999996</v>
          </cell>
          <cell r="Q61">
            <v>786.66</v>
          </cell>
          <cell r="R61">
            <v>865.33199999999999</v>
          </cell>
          <cell r="S61">
            <v>810.3</v>
          </cell>
          <cell r="T61">
            <v>819.94399999999996</v>
          </cell>
          <cell r="U61">
            <v>864.94200000000001</v>
          </cell>
          <cell r="V61">
            <v>881.99900000000002</v>
          </cell>
          <cell r="W61">
            <v>944.45399999999995</v>
          </cell>
          <cell r="X61">
            <v>1080.7070000000001</v>
          </cell>
          <cell r="Y61">
            <v>1105.0050000000001</v>
          </cell>
          <cell r="Z61">
            <v>1113.5450000000001</v>
          </cell>
          <cell r="AA61">
            <v>1173.0909999999999</v>
          </cell>
          <cell r="AB61">
            <v>1126.0329999999999</v>
          </cell>
        </row>
        <row r="62">
          <cell r="A62" t="str">
            <v xml:space="preserve">   Year-end Branded % of Molecule</v>
          </cell>
          <cell r="B62">
            <v>0.89401486039312572</v>
          </cell>
          <cell r="C62">
            <v>0.67137992380288847</v>
          </cell>
          <cell r="D62">
            <v>0.52653866977675201</v>
          </cell>
          <cell r="E62">
            <v>0.48621693717926412</v>
          </cell>
          <cell r="F62">
            <v>0.46532641292360316</v>
          </cell>
          <cell r="G62">
            <v>0.44321061404607515</v>
          </cell>
          <cell r="H62">
            <v>0.42417315395927779</v>
          </cell>
          <cell r="I62">
            <v>0.41979490403420372</v>
          </cell>
          <cell r="J62">
            <v>0.41242176424638116</v>
          </cell>
          <cell r="K62">
            <v>0.39333672609588005</v>
          </cell>
          <cell r="L62">
            <v>0.36191437842617835</v>
          </cell>
          <cell r="M62">
            <v>0.33403007160097514</v>
          </cell>
          <cell r="N62">
            <v>0.32798063332424693</v>
          </cell>
          <cell r="O62">
            <v>0.32032313284991637</v>
          </cell>
          <cell r="P62">
            <v>0.31054445622149685</v>
          </cell>
          <cell r="Q62">
            <v>0.30527914708724679</v>
          </cell>
          <cell r="R62">
            <v>0.30021399110959651</v>
          </cell>
          <cell r="S62">
            <v>0.29141638139216275</v>
          </cell>
          <cell r="T62">
            <v>0.28724492429055981</v>
          </cell>
          <cell r="U62">
            <v>0.28394461060970055</v>
          </cell>
          <cell r="V62">
            <v>0.26617205162521063</v>
          </cell>
          <cell r="W62">
            <v>0.20293697326686028</v>
          </cell>
          <cell r="X62">
            <v>0.14511894816219376</v>
          </cell>
          <cell r="Y62">
            <v>0.13605443766336128</v>
          </cell>
          <cell r="Z62">
            <v>0.13309408431139577</v>
          </cell>
          <cell r="AA62">
            <v>0.132009054707285</v>
          </cell>
        </row>
        <row r="63">
          <cell r="A63" t="str">
            <v xml:space="preserve">   Average Yearly Branded % of Molecule</v>
          </cell>
          <cell r="M63">
            <v>0.48602986804038367</v>
          </cell>
          <cell r="Y63">
            <v>0.26476914063354606</v>
          </cell>
        </row>
        <row r="65">
          <cell r="A65" t="str">
            <v>RELAFEN (nabumetone) 8/15/01</v>
          </cell>
          <cell r="B65">
            <v>15</v>
          </cell>
        </row>
        <row r="66">
          <cell r="A66" t="str">
            <v xml:space="preserve">   Branded TRx's</v>
          </cell>
          <cell r="B66">
            <v>373.84</v>
          </cell>
          <cell r="C66">
            <v>260.40800000000002</v>
          </cell>
          <cell r="D66">
            <v>177.87</v>
          </cell>
          <cell r="E66">
            <v>115.01</v>
          </cell>
          <cell r="F66">
            <v>95.024000000000001</v>
          </cell>
          <cell r="G66">
            <v>73.974999999999994</v>
          </cell>
          <cell r="H66">
            <v>57.048000000000002</v>
          </cell>
          <cell r="I66">
            <v>52.353999999999999</v>
          </cell>
          <cell r="J66">
            <v>46.402999999999999</v>
          </cell>
          <cell r="K66">
            <v>41.97</v>
          </cell>
          <cell r="L66">
            <v>34.686</v>
          </cell>
          <cell r="M66">
            <v>33.941000000000003</v>
          </cell>
          <cell r="N66">
            <v>29.978999999999999</v>
          </cell>
          <cell r="O66">
            <v>26.847000000000001</v>
          </cell>
          <cell r="P66">
            <v>25.718</v>
          </cell>
          <cell r="Q66">
            <v>22.452999999999999</v>
          </cell>
          <cell r="R66">
            <v>23.091000000000001</v>
          </cell>
          <cell r="S66">
            <v>20.292999999999999</v>
          </cell>
          <cell r="T66">
            <v>17.558</v>
          </cell>
          <cell r="U66">
            <v>18.048999999999999</v>
          </cell>
          <cell r="V66">
            <v>17.28</v>
          </cell>
          <cell r="W66">
            <v>16.75</v>
          </cell>
          <cell r="X66">
            <v>15.923</v>
          </cell>
          <cell r="Y66">
            <v>15.367000000000001</v>
          </cell>
          <cell r="Z66">
            <v>14.462</v>
          </cell>
          <cell r="AA66">
            <v>13.849</v>
          </cell>
          <cell r="AB66">
            <v>13.555</v>
          </cell>
          <cell r="AC66">
            <v>11.058999999999999</v>
          </cell>
          <cell r="AD66">
            <v>11.616</v>
          </cell>
          <cell r="AE66">
            <v>10.384</v>
          </cell>
          <cell r="AF66">
            <v>9.1359999999999992</v>
          </cell>
          <cell r="AG66">
            <v>10.090999999999999</v>
          </cell>
          <cell r="AH66">
            <v>8.7530000000000001</v>
          </cell>
          <cell r="AI66">
            <v>8.4700000000000006</v>
          </cell>
          <cell r="AJ66">
            <v>8.6020000000000003</v>
          </cell>
          <cell r="AK66">
            <v>8.2379999999999995</v>
          </cell>
          <cell r="AL66">
            <v>8.1020000000000003</v>
          </cell>
          <cell r="AM66">
            <v>7.952</v>
          </cell>
          <cell r="AN66">
            <v>8.5449999999999999</v>
          </cell>
          <cell r="AO66">
            <v>8.5830000000000002</v>
          </cell>
          <cell r="AP66">
            <v>8.9269999999999996</v>
          </cell>
          <cell r="AQ66">
            <v>9.1419999999999995</v>
          </cell>
        </row>
        <row r="67">
          <cell r="A67" t="str">
            <v xml:space="preserve">   Generic TRx's</v>
          </cell>
          <cell r="B67">
            <v>7.1580000000000004</v>
          </cell>
          <cell r="C67">
            <v>95.894000000000005</v>
          </cell>
          <cell r="D67">
            <v>218.322</v>
          </cell>
          <cell r="E67">
            <v>250.96899999999999</v>
          </cell>
          <cell r="F67">
            <v>269.04899999999998</v>
          </cell>
          <cell r="G67">
            <v>299.51799999999997</v>
          </cell>
          <cell r="H67">
            <v>279.27199999999999</v>
          </cell>
          <cell r="I67">
            <v>301.73500000000001</v>
          </cell>
          <cell r="J67">
            <v>313.43</v>
          </cell>
          <cell r="K67">
            <v>312.65600000000001</v>
          </cell>
          <cell r="L67">
            <v>289.35599999999999</v>
          </cell>
          <cell r="M67">
            <v>302.49700000000001</v>
          </cell>
          <cell r="N67">
            <v>299.65800000000002</v>
          </cell>
          <cell r="O67">
            <v>285.22800000000001</v>
          </cell>
          <cell r="P67">
            <v>306.14299999999997</v>
          </cell>
          <cell r="Q67">
            <v>282.483</v>
          </cell>
          <cell r="R67">
            <v>292.93</v>
          </cell>
          <cell r="S67">
            <v>298.66300000000001</v>
          </cell>
          <cell r="T67">
            <v>268.96600000000001</v>
          </cell>
          <cell r="U67">
            <v>295.18099999999998</v>
          </cell>
          <cell r="V67">
            <v>290.34800000000001</v>
          </cell>
          <cell r="W67">
            <v>296.81799999999998</v>
          </cell>
          <cell r="X67">
            <v>291.33199999999999</v>
          </cell>
          <cell r="Y67">
            <v>298.483</v>
          </cell>
          <cell r="Z67">
            <v>289.976</v>
          </cell>
          <cell r="AA67">
            <v>294.84100000000001</v>
          </cell>
          <cell r="AB67">
            <v>307.37900000000002</v>
          </cell>
          <cell r="AC67">
            <v>278.584</v>
          </cell>
          <cell r="AD67">
            <v>304.99</v>
          </cell>
          <cell r="AE67">
            <v>295.88900000000001</v>
          </cell>
          <cell r="AF67">
            <v>276.74099999999999</v>
          </cell>
          <cell r="AG67">
            <v>314.94400000000002</v>
          </cell>
          <cell r="AH67">
            <v>294.11</v>
          </cell>
          <cell r="AI67">
            <v>288.036</v>
          </cell>
          <cell r="AJ67">
            <v>302.53199999999998</v>
          </cell>
          <cell r="AK67">
            <v>296.20600000000002</v>
          </cell>
          <cell r="AL67">
            <v>304.72899999999998</v>
          </cell>
          <cell r="AM67">
            <v>303.99299999999999</v>
          </cell>
          <cell r="AN67">
            <v>365.79700000000003</v>
          </cell>
          <cell r="AO67">
            <v>372.82900000000001</v>
          </cell>
          <cell r="AP67">
            <v>413.32299999999998</v>
          </cell>
          <cell r="AQ67">
            <v>463.517</v>
          </cell>
        </row>
        <row r="68">
          <cell r="A68" t="str">
            <v xml:space="preserve">   Year-end Branded % of Molecule</v>
          </cell>
          <cell r="B68">
            <v>0.8602305710023056</v>
          </cell>
          <cell r="C68">
            <v>0.58243387987146744</v>
          </cell>
          <cell r="D68">
            <v>0.38427072139979096</v>
          </cell>
          <cell r="E68">
            <v>0.2876973147118288</v>
          </cell>
          <cell r="F68">
            <v>0.22913068118649726</v>
          </cell>
          <cell r="G68">
            <v>0.18458805347323873</v>
          </cell>
          <cell r="H68">
            <v>0.15845969562969195</v>
          </cell>
          <cell r="I68">
            <v>0.13833023775706588</v>
          </cell>
          <cell r="J68">
            <v>0.12369219227415428</v>
          </cell>
          <cell r="K68">
            <v>0.11295066217944563</v>
          </cell>
          <cell r="L68">
            <v>0.10390473594961241</v>
          </cell>
          <cell r="M68">
            <v>9.5965169087565208E-2</v>
          </cell>
          <cell r="N68">
            <v>8.855374373550752E-2</v>
          </cell>
          <cell r="O68">
            <v>8.1630783183421957E-2</v>
          </cell>
          <cell r="P68">
            <v>7.5645770944272675E-2</v>
          </cell>
          <cell r="Q68">
            <v>7.3344853186291498E-2</v>
          </cell>
          <cell r="R68">
            <v>6.8323734560464394E-2</v>
          </cell>
          <cell r="S68">
            <v>6.2514038448833978E-2</v>
          </cell>
          <cell r="T68">
            <v>5.9369341429986303E-2</v>
          </cell>
          <cell r="U68">
            <v>5.690351094775295E-2</v>
          </cell>
          <cell r="V68">
            <v>5.4781421644698292E-2</v>
          </cell>
          <cell r="W68">
            <v>5.262852697145564E-2</v>
          </cell>
          <cell r="X68">
            <v>5.0377955418166011E-2</v>
          </cell>
          <cell r="Y68">
            <v>4.8244507414020657E-2</v>
          </cell>
          <cell r="Z68">
            <v>4.6174697616158458E-2</v>
          </cell>
          <cell r="AA68">
            <v>4.3524389159244246E-2</v>
          </cell>
          <cell r="AB68">
            <v>4.0312687834622003E-2</v>
          </cell>
          <cell r="AC68">
            <v>3.7402123549894514E-2</v>
          </cell>
          <cell r="AD68">
            <v>3.5319861481925056E-2</v>
          </cell>
          <cell r="AE68">
            <v>3.2964620450899262E-2</v>
          </cell>
          <cell r="AF68">
            <v>3.147261798753339E-2</v>
          </cell>
          <cell r="AG68">
            <v>3.0011243864449314E-2</v>
          </cell>
          <cell r="AH68">
            <v>2.8735219872899669E-2</v>
          </cell>
          <cell r="AI68">
            <v>2.8095582910934114E-2</v>
          </cell>
          <cell r="AJ68">
            <v>2.7356403250278605E-2</v>
          </cell>
          <cell r="AK68">
            <v>2.6471183832165564E-2</v>
          </cell>
          <cell r="AL68">
            <v>2.5695609306375405E-2</v>
          </cell>
          <cell r="AM68">
            <v>2.4038048221808078E-2</v>
          </cell>
          <cell r="AN68">
            <v>2.2663459273784856E-2</v>
          </cell>
          <cell r="AO68">
            <v>2.1787766498851505E-2</v>
          </cell>
          <cell r="AP68">
            <v>2.019087974308002E-2</v>
          </cell>
        </row>
        <row r="69">
          <cell r="A69" t="str">
            <v xml:space="preserve">   Average Yearly Branded % of Molecule</v>
          </cell>
          <cell r="M69">
            <v>0.27180449287688863</v>
          </cell>
          <cell r="Y69">
            <v>6.4359848990405977E-2</v>
          </cell>
        </row>
        <row r="71">
          <cell r="A71" t="str">
            <v>Remeron without Soltabs (mirtazapine) 1/27/2003</v>
          </cell>
          <cell r="B71">
            <v>27</v>
          </cell>
        </row>
        <row r="72">
          <cell r="A72" t="str">
            <v xml:space="preserve">   Branded TRx's</v>
          </cell>
          <cell r="B72">
            <v>413.51100000000002</v>
          </cell>
          <cell r="C72">
            <v>287.62099999999998</v>
          </cell>
          <cell r="D72">
            <v>217.43600000000001</v>
          </cell>
          <cell r="E72">
            <v>171.18299999999999</v>
          </cell>
          <cell r="F72">
            <v>153.762</v>
          </cell>
          <cell r="G72">
            <v>137.60900000000001</v>
          </cell>
          <cell r="H72">
            <v>111.81699999999999</v>
          </cell>
          <cell r="I72">
            <v>84.941000000000003</v>
          </cell>
          <cell r="J72">
            <v>70.296999999999997</v>
          </cell>
          <cell r="K72">
            <v>62.59</v>
          </cell>
          <cell r="L72">
            <v>51.534999999999997</v>
          </cell>
          <cell r="M72">
            <v>51.828000000000003</v>
          </cell>
          <cell r="N72">
            <v>43.69</v>
          </cell>
          <cell r="O72">
            <v>36.969000000000001</v>
          </cell>
          <cell r="P72">
            <v>37.302</v>
          </cell>
          <cell r="Q72">
            <v>32.633000000000003</v>
          </cell>
          <cell r="R72">
            <v>30.155000000000001</v>
          </cell>
          <cell r="S72">
            <v>30.643999999999998</v>
          </cell>
          <cell r="T72">
            <v>28.829000000000001</v>
          </cell>
          <cell r="U72">
            <v>28.695</v>
          </cell>
          <cell r="V72">
            <v>26.835999999999999</v>
          </cell>
          <cell r="W72">
            <v>25.355</v>
          </cell>
          <cell r="X72">
            <v>19.850999999999999</v>
          </cell>
          <cell r="Y72">
            <v>17.321000000000002</v>
          </cell>
          <cell r="Z72">
            <v>15.928000000000001</v>
          </cell>
          <cell r="AA72">
            <v>14.346</v>
          </cell>
          <cell r="AB72">
            <v>14.081</v>
          </cell>
        </row>
        <row r="73">
          <cell r="A73" t="str">
            <v xml:space="preserve">   Generic TRx's</v>
          </cell>
          <cell r="B73">
            <v>2.1000000000000001E-2</v>
          </cell>
          <cell r="C73">
            <v>92.569000000000003</v>
          </cell>
          <cell r="D73">
            <v>196.81200000000001</v>
          </cell>
          <cell r="E73">
            <v>244.94399999999999</v>
          </cell>
          <cell r="F73">
            <v>270.791</v>
          </cell>
          <cell r="G73">
            <v>279.25700000000001</v>
          </cell>
          <cell r="H73">
            <v>328.245</v>
          </cell>
          <cell r="I73">
            <v>355.09199999999998</v>
          </cell>
          <cell r="J73">
            <v>384.01400000000001</v>
          </cell>
          <cell r="K73">
            <v>417.71100000000001</v>
          </cell>
          <cell r="L73">
            <v>401.27499999999998</v>
          </cell>
          <cell r="M73">
            <v>455.01299999999998</v>
          </cell>
          <cell r="N73">
            <v>493.82</v>
          </cell>
          <cell r="O73">
            <v>500.78500000000003</v>
          </cell>
          <cell r="P73">
            <v>572.41499999999996</v>
          </cell>
          <cell r="Q73">
            <v>548.37199999999996</v>
          </cell>
          <cell r="R73">
            <v>549.18700000000001</v>
          </cell>
          <cell r="S73">
            <v>574.24300000000005</v>
          </cell>
          <cell r="T73">
            <v>576.17499999999995</v>
          </cell>
          <cell r="U73">
            <v>592.04700000000003</v>
          </cell>
          <cell r="V73">
            <v>585.27099999999996</v>
          </cell>
          <cell r="W73">
            <v>591.57600000000002</v>
          </cell>
          <cell r="X73">
            <v>605.92700000000002</v>
          </cell>
          <cell r="Y73">
            <v>634.94600000000003</v>
          </cell>
          <cell r="Z73">
            <v>652.50199999999995</v>
          </cell>
          <cell r="AA73">
            <v>613.32799999999997</v>
          </cell>
          <cell r="AB73">
            <v>680.07</v>
          </cell>
        </row>
        <row r="74">
          <cell r="A74" t="str">
            <v xml:space="preserve">   Year-end Branded % of Molecule</v>
          </cell>
          <cell r="B74">
            <v>0.78276677195337352</v>
          </cell>
          <cell r="C74">
            <v>0.54632776282475359</v>
          </cell>
          <cell r="D74">
            <v>0.42267798338747187</v>
          </cell>
          <cell r="E74">
            <v>0.36700562459642244</v>
          </cell>
          <cell r="F74">
            <v>0.3333638224984658</v>
          </cell>
          <cell r="G74">
            <v>0.2613322355796468</v>
          </cell>
          <cell r="H74">
            <v>0.19913966110492351</v>
          </cell>
          <cell r="I74">
            <v>0.1584545419216257</v>
          </cell>
          <cell r="J74">
            <v>0.13263645536338553</v>
          </cell>
          <cell r="K74">
            <v>0.11555141802677193</v>
          </cell>
          <cell r="L74">
            <v>0.1033003289141088</v>
          </cell>
          <cell r="M74">
            <v>8.3271352927935624E-2</v>
          </cell>
          <cell r="N74">
            <v>7.0000052070780555E-2</v>
          </cell>
          <cell r="O74">
            <v>6.1854638355163562E-2</v>
          </cell>
          <cell r="P74">
            <v>5.6689928447160552E-2</v>
          </cell>
          <cell r="Q74">
            <v>5.2463096732177958E-2</v>
          </cell>
          <cell r="R74">
            <v>5.0794370219106551E-2</v>
          </cell>
          <cell r="S74">
            <v>4.7951849965693794E-2</v>
          </cell>
          <cell r="T74">
            <v>4.6366076293969868E-2</v>
          </cell>
          <cell r="U74">
            <v>4.408352441104426E-2</v>
          </cell>
          <cell r="V74">
            <v>4.1371008061337151E-2</v>
          </cell>
          <cell r="W74">
            <v>3.2647813634743714E-2</v>
          </cell>
          <cell r="X74">
            <v>2.7052817647784135E-2</v>
          </cell>
          <cell r="Y74">
            <v>2.4095635707544708E-2</v>
          </cell>
          <cell r="Z74">
            <v>2.2958779871012185E-2</v>
          </cell>
          <cell r="AA74">
            <v>2.0519901504472776E-2</v>
          </cell>
        </row>
        <row r="75">
          <cell r="A75" t="str">
            <v xml:space="preserve">   Average Yearly Branded % of Molecule</v>
          </cell>
          <cell r="M75">
            <v>0.29215232992490708</v>
          </cell>
          <cell r="Y75">
            <v>4.6280900962208889E-2</v>
          </cell>
        </row>
        <row r="77">
          <cell r="A77" t="str">
            <v>Remeron + Remeron Soltabs (mirtazapine) 1/27/2003</v>
          </cell>
          <cell r="B77">
            <v>27</v>
          </cell>
        </row>
        <row r="78">
          <cell r="A78" t="str">
            <v xml:space="preserve">   Branded TRx's</v>
          </cell>
          <cell r="B78">
            <v>668.23300000000006</v>
          </cell>
          <cell r="C78">
            <v>520.02499999999998</v>
          </cell>
          <cell r="D78">
            <v>469.60599999999999</v>
          </cell>
          <cell r="E78">
            <v>420.50400000000002</v>
          </cell>
          <cell r="F78">
            <v>407.34699999999998</v>
          </cell>
          <cell r="G78">
            <v>381.62800000000004</v>
          </cell>
          <cell r="H78">
            <v>354.25599999999997</v>
          </cell>
          <cell r="I78">
            <v>315.59399999999999</v>
          </cell>
          <cell r="J78">
            <v>293.59100000000001</v>
          </cell>
          <cell r="K78">
            <v>286.24</v>
          </cell>
          <cell r="L78">
            <v>256.06700000000001</v>
          </cell>
          <cell r="M78">
            <v>265.58199999999999</v>
          </cell>
          <cell r="N78">
            <v>212.911</v>
          </cell>
          <cell r="O78">
            <v>168.126</v>
          </cell>
          <cell r="P78">
            <v>163.44200000000001</v>
          </cell>
          <cell r="Q78">
            <v>140.13200000000001</v>
          </cell>
          <cell r="R78">
            <v>129.357</v>
          </cell>
          <cell r="S78">
            <v>129.65799999999999</v>
          </cell>
          <cell r="T78">
            <v>121.197</v>
          </cell>
          <cell r="U78">
            <v>118.584</v>
          </cell>
          <cell r="V78">
            <v>112.839</v>
          </cell>
          <cell r="W78">
            <v>106.435</v>
          </cell>
          <cell r="X78">
            <v>93.881</v>
          </cell>
          <cell r="Y78">
            <v>77.894000000000005</v>
          </cell>
          <cell r="Z78">
            <v>60.272999999999996</v>
          </cell>
          <cell r="AA78">
            <v>49.222999999999999</v>
          </cell>
          <cell r="AB78">
            <v>49.161000000000001</v>
          </cell>
        </row>
        <row r="79">
          <cell r="A79" t="str">
            <v xml:space="preserve">   Generic TRx's</v>
          </cell>
          <cell r="B79">
            <v>2.1000000000000001E-2</v>
          </cell>
          <cell r="C79">
            <v>92.569000000000003</v>
          </cell>
          <cell r="D79">
            <v>196.81200000000001</v>
          </cell>
          <cell r="E79">
            <v>244.94399999999999</v>
          </cell>
          <cell r="F79">
            <v>270.791</v>
          </cell>
          <cell r="G79">
            <v>279.25700000000001</v>
          </cell>
          <cell r="H79">
            <v>328.245</v>
          </cell>
          <cell r="I79">
            <v>355.09199999999998</v>
          </cell>
          <cell r="J79">
            <v>384.01400000000001</v>
          </cell>
          <cell r="K79">
            <v>417.71100000000001</v>
          </cell>
          <cell r="L79">
            <v>401.27499999999998</v>
          </cell>
          <cell r="M79">
            <v>455.01299999999998</v>
          </cell>
          <cell r="N79">
            <v>493.82</v>
          </cell>
          <cell r="O79">
            <v>500.78500000000003</v>
          </cell>
          <cell r="P79">
            <v>572.41499999999996</v>
          </cell>
          <cell r="Q79">
            <v>548.37199999999996</v>
          </cell>
          <cell r="R79">
            <v>549.18700000000001</v>
          </cell>
          <cell r="S79">
            <v>574.24300000000005</v>
          </cell>
          <cell r="T79">
            <v>576.17499999999995</v>
          </cell>
          <cell r="U79">
            <v>592.04700000000003</v>
          </cell>
          <cell r="V79">
            <v>585.27099999999996</v>
          </cell>
          <cell r="W79">
            <v>591.57600000000002</v>
          </cell>
          <cell r="X79">
            <v>605.92700000000002</v>
          </cell>
          <cell r="Y79">
            <v>634.94600000000003</v>
          </cell>
          <cell r="Z79">
            <v>652.50199999999995</v>
          </cell>
          <cell r="AA79">
            <v>613.32799999999997</v>
          </cell>
          <cell r="AB79">
            <v>680.07</v>
          </cell>
        </row>
        <row r="80">
          <cell r="A80" t="str">
            <v xml:space="preserve">   Year-end Branded % of Molecule</v>
          </cell>
          <cell r="B80">
            <v>0.86522227255079609</v>
          </cell>
          <cell r="C80">
            <v>0.71803681980214074</v>
          </cell>
          <cell r="D80">
            <v>0.63919674852940078</v>
          </cell>
          <cell r="E80">
            <v>0.60375449311462037</v>
          </cell>
          <cell r="F80">
            <v>0.57982784149295596</v>
          </cell>
          <cell r="G80">
            <v>0.52472809894590844</v>
          </cell>
          <cell r="H80">
            <v>0.47548095420600051</v>
          </cell>
          <cell r="I80">
            <v>0.43697086080916442</v>
          </cell>
          <cell r="J80">
            <v>0.40919490831812866</v>
          </cell>
          <cell r="K80">
            <v>0.39136429764884717</v>
          </cell>
          <cell r="L80">
            <v>0.37049100640836369</v>
          </cell>
          <cell r="M80">
            <v>0.30811006762437976</v>
          </cell>
          <cell r="N80">
            <v>0.25658732884094232</v>
          </cell>
          <cell r="O80">
            <v>0.22479272107283646</v>
          </cell>
          <cell r="P80">
            <v>0.2055033521613677</v>
          </cell>
          <cell r="Q80">
            <v>0.19194528651735002</v>
          </cell>
          <cell r="R80">
            <v>0.18482223172432394</v>
          </cell>
          <cell r="S80">
            <v>0.17484061098680004</v>
          </cell>
          <cell r="T80">
            <v>0.16755173478944388</v>
          </cell>
          <cell r="U80">
            <v>0.16216706624508248</v>
          </cell>
          <cell r="V80">
            <v>0.15339855869645161</v>
          </cell>
          <cell r="W80">
            <v>0.13598134895343714</v>
          </cell>
          <cell r="X80">
            <v>0.11171973115093976</v>
          </cell>
          <cell r="Y80">
            <v>8.7032421576598157E-2</v>
          </cell>
          <cell r="Z80">
            <v>7.5389462791657078E-2</v>
          </cell>
          <cell r="AA80">
            <v>6.8045554505281894E-2</v>
          </cell>
        </row>
        <row r="81">
          <cell r="A81" t="str">
            <v xml:space="preserve">   Average Yearly Branded % of Molecule</v>
          </cell>
          <cell r="M81">
            <v>0.52686486412089217</v>
          </cell>
          <cell r="Y81">
            <v>0.17136186605963113</v>
          </cell>
        </row>
        <row r="83">
          <cell r="A83" t="str">
            <v>Paxil (paroxetine) without Paxil CR 9/8/2003</v>
          </cell>
          <cell r="B83">
            <v>8</v>
          </cell>
        </row>
        <row r="84">
          <cell r="A84" t="str">
            <v xml:space="preserve">   Branded TRx's</v>
          </cell>
          <cell r="B84">
            <v>1213.806</v>
          </cell>
          <cell r="C84">
            <v>514.61500000000001</v>
          </cell>
          <cell r="D84">
            <v>390.99799999999999</v>
          </cell>
          <cell r="E84">
            <v>361.04599999999999</v>
          </cell>
          <cell r="F84">
            <v>289.62099999999998</v>
          </cell>
          <cell r="G84">
            <v>238.565</v>
          </cell>
          <cell r="H84">
            <v>238.333</v>
          </cell>
          <cell r="I84">
            <v>207.89599999999999</v>
          </cell>
          <cell r="J84">
            <v>192.61500000000001</v>
          </cell>
          <cell r="K84">
            <v>189.452</v>
          </cell>
          <cell r="L84">
            <v>170.18700000000001</v>
          </cell>
          <cell r="M84">
            <v>159.08099999999999</v>
          </cell>
          <cell r="N84">
            <v>145.82599999999999</v>
          </cell>
          <cell r="O84">
            <v>137.75200000000001</v>
          </cell>
          <cell r="P84">
            <v>129.46</v>
          </cell>
          <cell r="Q84">
            <v>126.539</v>
          </cell>
          <cell r="R84">
            <v>118.453</v>
          </cell>
          <cell r="S84">
            <v>102.55800000000001</v>
          </cell>
          <cell r="T84">
            <v>102.392</v>
          </cell>
        </row>
        <row r="85">
          <cell r="A85" t="str">
            <v xml:space="preserve">   Generic TRx's</v>
          </cell>
          <cell r="B85">
            <v>580.548</v>
          </cell>
          <cell r="C85">
            <v>1311.6420000000001</v>
          </cell>
          <cell r="D85">
            <v>1267.3710000000001</v>
          </cell>
          <cell r="E85">
            <v>1439.489</v>
          </cell>
          <cell r="F85">
            <v>1443.1590000000001</v>
          </cell>
          <cell r="G85">
            <v>1350.854</v>
          </cell>
          <cell r="H85">
            <v>1491.1590000000001</v>
          </cell>
          <cell r="I85">
            <v>1392.5429999999999</v>
          </cell>
          <cell r="J85">
            <v>1364.5889999999999</v>
          </cell>
          <cell r="K85">
            <v>1407.2570000000001</v>
          </cell>
          <cell r="L85">
            <v>1387.2739999999999</v>
          </cell>
          <cell r="M85">
            <v>1408.605</v>
          </cell>
          <cell r="N85">
            <v>1357.2629999999999</v>
          </cell>
          <cell r="O85">
            <v>1352.5060000000001</v>
          </cell>
          <cell r="P85">
            <v>1347.6890000000001</v>
          </cell>
          <cell r="Q85">
            <v>1377.2529999999999</v>
          </cell>
          <cell r="R85">
            <v>1359.867</v>
          </cell>
          <cell r="S85">
            <v>1247.98</v>
          </cell>
          <cell r="T85">
            <v>1563.078</v>
          </cell>
        </row>
        <row r="86">
          <cell r="A86" t="str">
            <v xml:space="preserve">   Year-end Branded % of Molecule</v>
          </cell>
          <cell r="B86">
            <v>0.56984692704434825</v>
          </cell>
          <cell r="C86">
            <v>0.27036430954323065</v>
          </cell>
          <cell r="D86">
            <v>0.22579457109260936</v>
          </cell>
          <cell r="E86">
            <v>0.19186853576157833</v>
          </cell>
          <cell r="F86">
            <v>0.16287864124116144</v>
          </cell>
          <cell r="G86">
            <v>0.14661130303176717</v>
          </cell>
          <cell r="H86">
            <v>0.13581468509135938</v>
          </cell>
          <cell r="I86">
            <v>0.12827731553440525</v>
          </cell>
          <cell r="J86">
            <v>0.12232366108637156</v>
          </cell>
          <cell r="K86">
            <v>0.11619574186264794</v>
          </cell>
          <cell r="L86">
            <v>0.1071828752224893</v>
          </cell>
          <cell r="M86">
            <v>0.10032269130256471</v>
          </cell>
          <cell r="N86">
            <v>9.5803198318062624E-2</v>
          </cell>
          <cell r="O86">
            <v>9.1165079339741106E-2</v>
          </cell>
          <cell r="P86">
            <v>8.6697481702028775E-2</v>
          </cell>
          <cell r="Q86">
            <v>8.3088027820272664E-2</v>
          </cell>
          <cell r="R86">
            <v>7.9082391941680069E-2</v>
          </cell>
          <cell r="S86">
            <v>7.1462052018519753E-2</v>
          </cell>
        </row>
        <row r="87">
          <cell r="A87" t="str">
            <v xml:space="preserve">   Average Yearly Branded % of Molecule</v>
          </cell>
          <cell r="M87">
            <v>0.18979010481787781</v>
          </cell>
        </row>
        <row r="89">
          <cell r="A89" t="str">
            <v>Paxil + Paxil CR (Paroxetine) 9/8/2003</v>
          </cell>
          <cell r="B89">
            <v>8</v>
          </cell>
        </row>
        <row r="90">
          <cell r="A90" t="str">
            <v xml:space="preserve">   Branded TRx's</v>
          </cell>
          <cell r="B90">
            <v>2090.0070000000001</v>
          </cell>
          <cell r="C90">
            <v>1446.4569999999999</v>
          </cell>
          <cell r="D90">
            <v>1266.855</v>
          </cell>
          <cell r="E90">
            <v>1326.4449999999999</v>
          </cell>
          <cell r="F90">
            <v>1226.412</v>
          </cell>
          <cell r="G90">
            <v>1105.2429999999999</v>
          </cell>
          <cell r="H90">
            <v>1206.318</v>
          </cell>
          <cell r="I90">
            <v>1115.79</v>
          </cell>
          <cell r="J90">
            <v>1087.27</v>
          </cell>
          <cell r="K90">
            <v>1106.424</v>
          </cell>
          <cell r="L90">
            <v>1068.4389999999999</v>
          </cell>
          <cell r="M90">
            <v>1065.568</v>
          </cell>
          <cell r="N90">
            <v>1024.5309999999999</v>
          </cell>
          <cell r="O90">
            <v>1003.95</v>
          </cell>
          <cell r="P90">
            <v>991.77800000000002</v>
          </cell>
          <cell r="Q90">
            <v>1005.761</v>
          </cell>
          <cell r="R90">
            <v>973.60299999999995</v>
          </cell>
          <cell r="S90">
            <v>886.005</v>
          </cell>
          <cell r="T90">
            <v>771.18399999999997</v>
          </cell>
        </row>
        <row r="91">
          <cell r="A91" t="str">
            <v xml:space="preserve">   Generic TRx's</v>
          </cell>
          <cell r="B91">
            <v>580.548</v>
          </cell>
          <cell r="C91">
            <v>1311.6420000000001</v>
          </cell>
          <cell r="D91">
            <v>1267.3710000000001</v>
          </cell>
          <cell r="E91">
            <v>1439.489</v>
          </cell>
          <cell r="F91">
            <v>1443.1590000000001</v>
          </cell>
          <cell r="G91">
            <v>1350.854</v>
          </cell>
          <cell r="H91">
            <v>1491.1590000000001</v>
          </cell>
          <cell r="I91">
            <v>1392.5429999999999</v>
          </cell>
          <cell r="J91">
            <v>1364.5889999999999</v>
          </cell>
          <cell r="K91">
            <v>1407.2570000000001</v>
          </cell>
          <cell r="L91">
            <v>1387.2739999999999</v>
          </cell>
          <cell r="M91">
            <v>1408.605</v>
          </cell>
          <cell r="N91">
            <v>1357.2629999999999</v>
          </cell>
          <cell r="O91">
            <v>1352.5060000000001</v>
          </cell>
          <cell r="P91">
            <v>1347.6890000000001</v>
          </cell>
          <cell r="Q91">
            <v>1377.2529999999999</v>
          </cell>
          <cell r="R91">
            <v>1359.867</v>
          </cell>
          <cell r="S91">
            <v>1247.98</v>
          </cell>
          <cell r="T91">
            <v>1563.078</v>
          </cell>
        </row>
        <row r="92">
          <cell r="A92" t="str">
            <v xml:space="preserve">   Year-end Branded % of Molecule</v>
          </cell>
          <cell r="B92">
            <v>0.71212503032468333</v>
          </cell>
          <cell r="C92">
            <v>0.51829357219228689</v>
          </cell>
          <cell r="D92">
            <v>0.49412109155412626</v>
          </cell>
          <cell r="E92">
            <v>0.47432738061264662</v>
          </cell>
          <cell r="F92">
            <v>0.4570465752083796</v>
          </cell>
          <cell r="G92">
            <v>0.44920137091105555</v>
          </cell>
          <cell r="H92">
            <v>0.44660368760772889</v>
          </cell>
          <cell r="I92">
            <v>0.44446979859060237</v>
          </cell>
          <cell r="J92">
            <v>0.4425547451189491</v>
          </cell>
          <cell r="K92">
            <v>0.43882981030008444</v>
          </cell>
          <cell r="L92">
            <v>0.43390145662902557</v>
          </cell>
          <cell r="M92">
            <v>0.43054018417999212</v>
          </cell>
          <cell r="N92">
            <v>0.4290639040657272</v>
          </cell>
          <cell r="O92">
            <v>0.42548290359751739</v>
          </cell>
          <cell r="P92">
            <v>0.42342540347351926</v>
          </cell>
          <cell r="Q92">
            <v>0.42078849672802515</v>
          </cell>
          <cell r="R92">
            <v>0.41672339961484162</v>
          </cell>
          <cell r="S92">
            <v>0.39105290156317951</v>
          </cell>
        </row>
        <row r="93">
          <cell r="A93" t="str">
            <v xml:space="preserve">   Average Yearly Branded % of Molecule</v>
          </cell>
          <cell r="M93">
            <v>0.47850122526913003</v>
          </cell>
        </row>
        <row r="95">
          <cell r="A95" t="str">
            <v>Glucophage (Metformin) 1/28/2002</v>
          </cell>
          <cell r="B95">
            <v>28</v>
          </cell>
        </row>
        <row r="96">
          <cell r="A96" t="str">
            <v xml:space="preserve">   Branded TRx's</v>
          </cell>
          <cell r="B96">
            <v>2264.6439999999998</v>
          </cell>
          <cell r="C96">
            <v>912.577</v>
          </cell>
          <cell r="D96">
            <v>523.25900000000001</v>
          </cell>
          <cell r="E96">
            <v>413.52699999999999</v>
          </cell>
          <cell r="F96">
            <v>352.81700000000001</v>
          </cell>
          <cell r="G96">
            <v>295.90499999999997</v>
          </cell>
          <cell r="H96">
            <v>284.53199999999998</v>
          </cell>
          <cell r="I96">
            <v>257.83</v>
          </cell>
          <cell r="J96">
            <v>233.72499999999999</v>
          </cell>
          <cell r="K96">
            <v>231.16800000000001</v>
          </cell>
          <cell r="L96">
            <v>210.25800000000001</v>
          </cell>
          <cell r="M96">
            <v>215.74</v>
          </cell>
          <cell r="N96">
            <v>194.506</v>
          </cell>
          <cell r="O96">
            <v>171.57499999999999</v>
          </cell>
          <cell r="P96">
            <v>179.51599999999999</v>
          </cell>
          <cell r="Q96">
            <v>169.54900000000001</v>
          </cell>
          <cell r="R96">
            <v>170.73699999999999</v>
          </cell>
          <cell r="S96">
            <v>164.65299999999999</v>
          </cell>
          <cell r="T96">
            <v>163.376</v>
          </cell>
          <cell r="U96">
            <v>157.292</v>
          </cell>
          <cell r="V96">
            <v>154.25800000000001</v>
          </cell>
          <cell r="W96">
            <v>152.75200000000001</v>
          </cell>
          <cell r="X96">
            <v>140.22200000000001</v>
          </cell>
          <cell r="Y96">
            <v>152.75899999999999</v>
          </cell>
          <cell r="Z96">
            <v>140.49199999999999</v>
          </cell>
          <cell r="AA96">
            <v>127.929</v>
          </cell>
          <cell r="AB96">
            <v>137.715</v>
          </cell>
          <cell r="AC96">
            <v>105.38500000000001</v>
          </cell>
          <cell r="AD96">
            <v>95.94</v>
          </cell>
          <cell r="AE96">
            <v>96.013999999999996</v>
          </cell>
          <cell r="AF96">
            <v>91.608000000000004</v>
          </cell>
          <cell r="AG96">
            <v>90.135000000000005</v>
          </cell>
          <cell r="AH96">
            <v>85.474999999999994</v>
          </cell>
          <cell r="AI96">
            <v>83.497</v>
          </cell>
          <cell r="AJ96">
            <v>75.164000000000001</v>
          </cell>
          <cell r="AK96">
            <v>75.031999999999996</v>
          </cell>
          <cell r="AL96">
            <v>69.936999999999998</v>
          </cell>
          <cell r="AM96">
            <v>62.572000000000003</v>
          </cell>
          <cell r="AN96">
            <v>68.016999999999996</v>
          </cell>
        </row>
        <row r="97">
          <cell r="A97" t="str">
            <v xml:space="preserve">   Generic TRx's</v>
          </cell>
          <cell r="B97">
            <v>17.585000000000001</v>
          </cell>
          <cell r="C97">
            <v>1249.2550000000001</v>
          </cell>
          <cell r="D97">
            <v>1836.673</v>
          </cell>
          <cell r="E97">
            <v>1984.0940000000001</v>
          </cell>
          <cell r="F97">
            <v>2034.08</v>
          </cell>
          <cell r="G97">
            <v>1941.018</v>
          </cell>
          <cell r="H97">
            <v>2119.895</v>
          </cell>
          <cell r="I97">
            <v>2119.953</v>
          </cell>
          <cell r="J97">
            <v>2051.7069999999999</v>
          </cell>
          <cell r="K97">
            <v>2199.335</v>
          </cell>
          <cell r="L97">
            <v>2130.759</v>
          </cell>
          <cell r="M97">
            <v>2265.19</v>
          </cell>
          <cell r="N97">
            <v>2302.527</v>
          </cell>
          <cell r="O97">
            <v>2135.739</v>
          </cell>
          <cell r="P97">
            <v>2343.6570000000002</v>
          </cell>
          <cell r="Q97">
            <v>2294.857</v>
          </cell>
          <cell r="R97">
            <v>2358.9699999999998</v>
          </cell>
          <cell r="S97">
            <v>2328.1060000000002</v>
          </cell>
          <cell r="T97">
            <v>2400.634</v>
          </cell>
          <cell r="U97">
            <v>2342.5680000000002</v>
          </cell>
          <cell r="V97">
            <v>2357.6089999999999</v>
          </cell>
          <cell r="W97">
            <v>2471.7440000000001</v>
          </cell>
          <cell r="X97">
            <v>2312.1010000000001</v>
          </cell>
          <cell r="Y97">
            <v>2562.748</v>
          </cell>
          <cell r="Z97">
            <v>2537.6660000000002</v>
          </cell>
          <cell r="AA97">
            <v>2405.8510000000001</v>
          </cell>
          <cell r="AB97">
            <v>2691.5859999999998</v>
          </cell>
          <cell r="AC97">
            <v>2607.4050000000002</v>
          </cell>
          <cell r="AD97">
            <v>2605.8319999999999</v>
          </cell>
          <cell r="AE97">
            <v>2737.6529999999998</v>
          </cell>
          <cell r="AF97">
            <v>2728.1129999999998</v>
          </cell>
          <cell r="AG97">
            <v>2776.59</v>
          </cell>
          <cell r="AH97">
            <v>2724.4050000000002</v>
          </cell>
          <cell r="AI97">
            <v>2761.779</v>
          </cell>
          <cell r="AJ97">
            <v>2807.136</v>
          </cell>
          <cell r="AK97">
            <v>2911.0509999999999</v>
          </cell>
          <cell r="AL97">
            <v>2901.1149999999998</v>
          </cell>
          <cell r="AM97">
            <v>2743.08</v>
          </cell>
          <cell r="AN97">
            <v>3130.4009999999998</v>
          </cell>
        </row>
        <row r="98">
          <cell r="A98" t="str">
            <v xml:space="preserve">   Year-end Branded % of Molecule</v>
          </cell>
          <cell r="B98">
            <v>0.46211069311832531</v>
          </cell>
          <cell r="C98">
            <v>0.23403400710436784</v>
          </cell>
          <cell r="D98">
            <v>0.17570915231505455</v>
          </cell>
          <cell r="E98">
            <v>0.14946496470015411</v>
          </cell>
          <cell r="F98">
            <v>0.13338212503455471</v>
          </cell>
          <cell r="G98">
            <v>0.11920568264749942</v>
          </cell>
          <cell r="H98">
            <v>0.10910009133624156</v>
          </cell>
          <cell r="I98">
            <v>0.10269381960945814</v>
          </cell>
          <cell r="J98">
            <v>9.5561569283326708E-2</v>
          </cell>
          <cell r="K98">
            <v>9.0180467454653357E-2</v>
          </cell>
          <cell r="L98">
            <v>8.7139633593180041E-2</v>
          </cell>
          <cell r="M98">
            <v>7.849550548256766E-2</v>
          </cell>
          <cell r="N98">
            <v>7.4614902445669429E-2</v>
          </cell>
          <cell r="O98">
            <v>7.1344011341916286E-2</v>
          </cell>
          <cell r="P98">
            <v>6.8959131969098489E-2</v>
          </cell>
          <cell r="Q98">
            <v>6.757778395865037E-2</v>
          </cell>
          <cell r="R98">
            <v>6.6149860321056769E-2</v>
          </cell>
          <cell r="S98">
            <v>6.3870469429196192E-2</v>
          </cell>
          <cell r="T98">
            <v>6.2974837635326089E-2</v>
          </cell>
          <cell r="U98">
            <v>6.1511817634567922E-2</v>
          </cell>
          <cell r="V98">
            <v>5.8407770706118037E-2</v>
          </cell>
          <cell r="W98">
            <v>5.7251913560774845E-2</v>
          </cell>
          <cell r="X98">
            <v>5.6310368265461465E-2</v>
          </cell>
          <cell r="Y98">
            <v>5.2714792659953671E-2</v>
          </cell>
          <cell r="Z98">
            <v>5.0627612671914526E-2</v>
          </cell>
          <cell r="AA98">
            <v>4.8783677218632859E-2</v>
          </cell>
          <cell r="AB98">
            <v>3.9528786760144569E-2</v>
          </cell>
          <cell r="AC98">
            <v>3.5733370289971297E-2</v>
          </cell>
          <cell r="AD98">
            <v>3.3987026206006597E-2</v>
          </cell>
          <cell r="AE98">
            <v>3.2581748689150009E-2</v>
          </cell>
          <cell r="AF98">
            <v>3.1510501114090504E-2</v>
          </cell>
          <cell r="AG98">
            <v>3.0488890605376677E-2</v>
          </cell>
          <cell r="AH98">
            <v>2.9416577493758523E-2</v>
          </cell>
          <cell r="AI98">
            <v>2.6293040824885233E-2</v>
          </cell>
          <cell r="AJ98">
            <v>2.5188541698787897E-2</v>
          </cell>
          <cell r="AK98">
            <v>2.3645823760361829E-2</v>
          </cell>
          <cell r="AL98">
            <v>2.2389135383565236E-2</v>
          </cell>
          <cell r="AM98">
            <v>2.1326928760857962E-2</v>
          </cell>
        </row>
        <row r="99">
          <cell r="A99" t="str">
            <v xml:space="preserve">   Average Yearly Branded % of Molecule</v>
          </cell>
          <cell r="M99">
            <v>0.15308980930661528</v>
          </cell>
          <cell r="Y99">
            <v>6.3473971660649123E-2</v>
          </cell>
          <cell r="AK99">
            <v>3.3982133111090052E-2</v>
          </cell>
        </row>
        <row r="101">
          <cell r="A101" t="str">
            <v>Total Glucophage and Total Metformin 1/28/02</v>
          </cell>
          <cell r="B101">
            <v>28</v>
          </cell>
        </row>
        <row r="102">
          <cell r="A102" t="str">
            <v xml:space="preserve">   Branded TRx's</v>
          </cell>
          <cell r="B102">
            <v>3025.9439999999995</v>
          </cell>
          <cell r="C102">
            <v>1632.1689999999999</v>
          </cell>
          <cell r="D102">
            <v>1320.0120000000002</v>
          </cell>
          <cell r="E102">
            <v>1233.17</v>
          </cell>
          <cell r="F102">
            <v>1170.73</v>
          </cell>
          <cell r="G102">
            <v>1073.1400000000001</v>
          </cell>
          <cell r="H102">
            <v>1127.8689999999999</v>
          </cell>
          <cell r="I102">
            <v>1085.729</v>
          </cell>
          <cell r="J102">
            <v>1023.94</v>
          </cell>
          <cell r="K102">
            <v>1076.7850000000001</v>
          </cell>
          <cell r="L102">
            <v>1012.544</v>
          </cell>
          <cell r="M102">
            <v>1058.229</v>
          </cell>
          <cell r="N102">
            <v>1024.444</v>
          </cell>
          <cell r="O102">
            <v>932.77</v>
          </cell>
          <cell r="P102">
            <v>1010.8869999999999</v>
          </cell>
          <cell r="Q102">
            <v>972.33500000000004</v>
          </cell>
          <cell r="R102">
            <v>995.66300000000001</v>
          </cell>
          <cell r="S102">
            <v>971.74</v>
          </cell>
          <cell r="T102">
            <v>994.31299999999999</v>
          </cell>
          <cell r="U102">
            <v>961.06799999999998</v>
          </cell>
          <cell r="V102">
            <v>962.03700000000003</v>
          </cell>
          <cell r="W102">
            <v>988.21</v>
          </cell>
          <cell r="X102">
            <v>905.24599999999998</v>
          </cell>
          <cell r="Y102">
            <v>646.42599999999993</v>
          </cell>
          <cell r="Z102">
            <v>413.05700000000002</v>
          </cell>
          <cell r="AA102">
            <v>342.73900000000003</v>
          </cell>
          <cell r="AB102">
            <v>349.553</v>
          </cell>
          <cell r="AC102">
            <v>286.95</v>
          </cell>
          <cell r="AD102">
            <v>262.97699999999998</v>
          </cell>
          <cell r="AE102">
            <v>258.85500000000002</v>
          </cell>
          <cell r="AF102">
            <v>245.071</v>
          </cell>
          <cell r="AG102">
            <v>235.63</v>
          </cell>
          <cell r="AH102">
            <v>220.358</v>
          </cell>
          <cell r="AI102">
            <v>212.863</v>
          </cell>
          <cell r="AJ102">
            <v>188.64</v>
          </cell>
          <cell r="AK102">
            <v>179.61699999999999</v>
          </cell>
          <cell r="AL102">
            <v>163.21199999999999</v>
          </cell>
          <cell r="AM102">
            <v>143.31700000000001</v>
          </cell>
          <cell r="AN102">
            <v>154.25700000000001</v>
          </cell>
        </row>
        <row r="103">
          <cell r="A103" t="str">
            <v xml:space="preserve">   Generic TRx's</v>
          </cell>
          <cell r="B103">
            <v>17.585000000000001</v>
          </cell>
          <cell r="C103">
            <v>1249.2550000000001</v>
          </cell>
          <cell r="D103">
            <v>1836.673</v>
          </cell>
          <cell r="E103">
            <v>1984.0940000000001</v>
          </cell>
          <cell r="F103">
            <v>2034.08</v>
          </cell>
          <cell r="G103">
            <v>1941.018</v>
          </cell>
          <cell r="H103">
            <v>2119.895</v>
          </cell>
          <cell r="I103">
            <v>2119.953</v>
          </cell>
          <cell r="J103">
            <v>2051.7069999999999</v>
          </cell>
          <cell r="K103">
            <v>2199.335</v>
          </cell>
          <cell r="L103">
            <v>2130.759</v>
          </cell>
          <cell r="M103">
            <v>2265.19</v>
          </cell>
          <cell r="N103">
            <v>2302.527</v>
          </cell>
          <cell r="O103">
            <v>2135.739</v>
          </cell>
          <cell r="P103">
            <v>2343.6570000000002</v>
          </cell>
          <cell r="Q103">
            <v>2294.857</v>
          </cell>
          <cell r="R103">
            <v>2358.9699999999998</v>
          </cell>
          <cell r="S103">
            <v>2328.1060000000002</v>
          </cell>
          <cell r="T103">
            <v>2400.634</v>
          </cell>
          <cell r="U103">
            <v>2342.5700000000002</v>
          </cell>
          <cell r="V103">
            <v>2357.6089999999999</v>
          </cell>
          <cell r="W103">
            <v>2471.7440000000001</v>
          </cell>
          <cell r="X103">
            <v>2312.1040000000003</v>
          </cell>
          <cell r="Y103">
            <v>2901.2780000000002</v>
          </cell>
          <cell r="Z103">
            <v>3084.2520000000004</v>
          </cell>
          <cell r="AA103">
            <v>2953.181</v>
          </cell>
          <cell r="AB103">
            <v>3317.2449999999999</v>
          </cell>
          <cell r="AC103">
            <v>3209.1150000000002</v>
          </cell>
          <cell r="AD103">
            <v>3212.855</v>
          </cell>
          <cell r="AE103">
            <v>3372.4389999999999</v>
          </cell>
          <cell r="AF103">
            <v>3362.4129999999996</v>
          </cell>
          <cell r="AG103">
            <v>3427.6730000000002</v>
          </cell>
          <cell r="AH103">
            <v>3358.6820000000002</v>
          </cell>
          <cell r="AI103">
            <v>3404.9279999999999</v>
          </cell>
          <cell r="AJ103">
            <v>3459.7190000000001</v>
          </cell>
          <cell r="AK103">
            <v>3597.0920000000001</v>
          </cell>
          <cell r="AL103">
            <v>3576.2689999999998</v>
          </cell>
          <cell r="AM103">
            <v>3379.585</v>
          </cell>
          <cell r="AN103">
            <v>3840.944</v>
          </cell>
        </row>
        <row r="104">
          <cell r="A104" t="str">
            <v xml:space="preserve">   Year-end Branded % of Molecule</v>
          </cell>
          <cell r="B104">
            <v>0.59645558509445928</v>
          </cell>
          <cell r="C104">
            <v>0.42724017033749578</v>
          </cell>
          <cell r="D104">
            <v>0.38558125012539318</v>
          </cell>
          <cell r="E104">
            <v>0.36650795751588178</v>
          </cell>
          <cell r="F104">
            <v>0.35668749097802344</v>
          </cell>
          <cell r="G104">
            <v>0.34781999426023885</v>
          </cell>
          <cell r="H104">
            <v>0.33926837634314588</v>
          </cell>
          <cell r="I104">
            <v>0.33331839755286641</v>
          </cell>
          <cell r="J104">
            <v>0.3289434714346835</v>
          </cell>
          <cell r="K104">
            <v>0.32258119846043221</v>
          </cell>
          <cell r="L104">
            <v>0.31865064419965639</v>
          </cell>
          <cell r="M104">
            <v>0.30861988713535737</v>
          </cell>
          <cell r="N104">
            <v>0.30426466936713192</v>
          </cell>
          <cell r="O104">
            <v>0.30151003979942892</v>
          </cell>
          <cell r="P104">
            <v>0.29786145017096571</v>
          </cell>
          <cell r="Q104">
            <v>0.29685461398811203</v>
          </cell>
          <cell r="R104">
            <v>0.29463760207183992</v>
          </cell>
          <cell r="S104">
            <v>0.29298415333073746</v>
          </cell>
          <cell r="T104">
            <v>0.29104661436249318</v>
          </cell>
          <cell r="U104">
            <v>0.28987481026516532</v>
          </cell>
          <cell r="V104">
            <v>0.28588219301446349</v>
          </cell>
          <cell r="W104">
            <v>0.28166701283186341</v>
          </cell>
          <cell r="X104">
            <v>0.1882418686239021</v>
          </cell>
          <cell r="Y104">
            <v>0.12243801803198361</v>
          </cell>
          <cell r="Z104">
            <v>0.10498354468392534</v>
          </cell>
          <cell r="AA104">
            <v>9.5851662639289736E-2</v>
          </cell>
          <cell r="AB104">
            <v>8.3001544066959379E-2</v>
          </cell>
          <cell r="AC104">
            <v>7.6088995696571265E-2</v>
          </cell>
          <cell r="AD104">
            <v>7.1564434977181193E-2</v>
          </cell>
          <cell r="AE104">
            <v>6.815878950947124E-2</v>
          </cell>
          <cell r="AF104">
            <v>6.4559126483780663E-2</v>
          </cell>
          <cell r="AG104">
            <v>6.1756564267236462E-2</v>
          </cell>
          <cell r="AH104">
            <v>5.9018095300161104E-2</v>
          </cell>
          <cell r="AI104">
            <v>5.2177210868079145E-2</v>
          </cell>
          <cell r="AJ104">
            <v>4.7826764257672877E-2</v>
          </cell>
          <cell r="AK104">
            <v>4.390895167087263E-2</v>
          </cell>
          <cell r="AL104">
            <v>4.0890417318969328E-2</v>
          </cell>
          <cell r="AM104">
            <v>3.8733281758813569E-2</v>
          </cell>
        </row>
        <row r="105">
          <cell r="A105" t="str">
            <v xml:space="preserve">   Average Yearly Branded % of Molecule</v>
          </cell>
          <cell r="M105">
            <v>0.36930620195313613</v>
          </cell>
          <cell r="Y105">
            <v>0.2706052538215073</v>
          </cell>
          <cell r="AK105">
            <v>6.9074640368433415E-2</v>
          </cell>
        </row>
        <row r="107">
          <cell r="A107" t="str">
            <v>Branded Product Name and Expiry Date</v>
          </cell>
        </row>
        <row r="108">
          <cell r="A108" t="str">
            <v xml:space="preserve">   Branded TRx's</v>
          </cell>
        </row>
        <row r="109">
          <cell r="A109" t="str">
            <v xml:space="preserve">   Generic TRx's</v>
          </cell>
        </row>
        <row r="110">
          <cell r="A110" t="str">
            <v xml:space="preserve">   Year-end Branded % of Molecule</v>
          </cell>
        </row>
        <row r="111">
          <cell r="A111" t="str">
            <v xml:space="preserve">   Average Yearly Branded % of Molecule</v>
          </cell>
        </row>
        <row r="113">
          <cell r="A113" t="str">
            <v>Branded Product Name and Expiry Date</v>
          </cell>
        </row>
        <row r="114">
          <cell r="A114" t="str">
            <v xml:space="preserve">   Branded TRx's</v>
          </cell>
        </row>
        <row r="115">
          <cell r="A115" t="str">
            <v xml:space="preserve">   Generic TRx's</v>
          </cell>
        </row>
        <row r="116">
          <cell r="A116" t="str">
            <v xml:space="preserve">   Year-end Branded % of Molecule</v>
          </cell>
        </row>
        <row r="117">
          <cell r="A117" t="str">
            <v xml:space="preserve">   Average Yearly Branded % of Molecule</v>
          </cell>
        </row>
        <row r="119">
          <cell r="A119" t="str">
            <v>Branded Product Name and Expiry Date</v>
          </cell>
        </row>
        <row r="120">
          <cell r="A120" t="str">
            <v xml:space="preserve">   Branded TRx's</v>
          </cell>
        </row>
        <row r="121">
          <cell r="A121" t="str">
            <v xml:space="preserve">   Generic TRx's</v>
          </cell>
        </row>
        <row r="122">
          <cell r="A122" t="str">
            <v xml:space="preserve">   Year-end Branded % of Molecule</v>
          </cell>
        </row>
        <row r="123">
          <cell r="A123" t="str">
            <v xml:space="preserve">   Average Yearly Branded % of Molecule</v>
          </cell>
        </row>
        <row r="125">
          <cell r="A125" t="str">
            <v>Branded Product Name and Expiry Date</v>
          </cell>
        </row>
        <row r="126">
          <cell r="A126" t="str">
            <v xml:space="preserve">   Branded TRx's</v>
          </cell>
        </row>
        <row r="127">
          <cell r="A127" t="str">
            <v xml:space="preserve">   Generic TRx's</v>
          </cell>
        </row>
        <row r="128">
          <cell r="A128" t="str">
            <v xml:space="preserve">   Year-end Branded % of Molecule</v>
          </cell>
        </row>
        <row r="129">
          <cell r="A129" t="str">
            <v xml:space="preserve">   Average Yearly Branded % of Molecule</v>
          </cell>
        </row>
        <row r="131">
          <cell r="A131" t="str">
            <v>Branded Product Name and Expiry Date</v>
          </cell>
        </row>
        <row r="132">
          <cell r="A132" t="str">
            <v xml:space="preserve">   Branded TRx's</v>
          </cell>
        </row>
        <row r="133">
          <cell r="A133" t="str">
            <v xml:space="preserve">   Generic TRx's</v>
          </cell>
        </row>
        <row r="134">
          <cell r="A134" t="str">
            <v xml:space="preserve">   Year-end Branded % of Molecule</v>
          </cell>
        </row>
        <row r="135">
          <cell r="A135" t="str">
            <v xml:space="preserve">   Average Yearly Branded % of Molecule</v>
          </cell>
        </row>
        <row r="137">
          <cell r="A137" t="str">
            <v>Branded Product Name and Expiry Date</v>
          </cell>
        </row>
        <row r="138">
          <cell r="A138" t="str">
            <v xml:space="preserve">   Branded TRx's</v>
          </cell>
        </row>
        <row r="139">
          <cell r="A139" t="str">
            <v xml:space="preserve">   Generic TRx's</v>
          </cell>
        </row>
        <row r="140">
          <cell r="A140" t="str">
            <v xml:space="preserve">   Year-end Branded % of Molecule</v>
          </cell>
        </row>
        <row r="141">
          <cell r="A141" t="str">
            <v xml:space="preserve">   Average Yearly Branded % of Molecule</v>
          </cell>
        </row>
      </sheetData>
      <sheetData sheetId="3"/>
      <sheetData sheetId="4" refreshError="1"/>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gAnalogies"/>
      <sheetName val="Read Me"/>
      <sheetName val="RawData"/>
      <sheetName val="Results"/>
      <sheetName val="ResultsChart"/>
      <sheetName val="Tagamet"/>
      <sheetName val="Capoten"/>
      <sheetName val="Zantac"/>
      <sheetName val="Vasotec"/>
      <sheetName val="Cardura"/>
      <sheetName val="Pepcid"/>
      <sheetName val="Prozac"/>
      <sheetName val="Prilosec"/>
      <sheetName val="Mevacor"/>
      <sheetName val="Prinivil"/>
    </sheetNames>
    <sheetDataSet>
      <sheetData sheetId="0"/>
      <sheetData sheetId="1"/>
      <sheetData sheetId="2">
        <row r="5">
          <cell r="A5" t="str">
            <v>TAGAMET 5/17/94</v>
          </cell>
          <cell r="B5">
            <v>17</v>
          </cell>
        </row>
        <row r="6">
          <cell r="A6" t="str">
            <v xml:space="preserve">   Branded TRx's</v>
          </cell>
          <cell r="B6">
            <v>967.21666980954183</v>
          </cell>
          <cell r="C6">
            <v>589.99372669916829</v>
          </cell>
          <cell r="D6">
            <v>437.31331455578368</v>
          </cell>
          <cell r="E6">
            <v>376.63123966942146</v>
          </cell>
          <cell r="F6">
            <v>315.73105324523902</v>
          </cell>
          <cell r="G6">
            <v>287.8654065620542</v>
          </cell>
          <cell r="H6">
            <v>263.83063965399498</v>
          </cell>
          <cell r="I6">
            <v>264.11275127957867</v>
          </cell>
          <cell r="J6">
            <v>227</v>
          </cell>
          <cell r="K6">
            <v>195</v>
          </cell>
          <cell r="L6">
            <v>206</v>
          </cell>
          <cell r="M6">
            <v>178</v>
          </cell>
          <cell r="N6">
            <v>181</v>
          </cell>
          <cell r="O6">
            <v>166</v>
          </cell>
          <cell r="P6">
            <v>153</v>
          </cell>
          <cell r="Q6">
            <v>144</v>
          </cell>
          <cell r="R6">
            <v>126</v>
          </cell>
          <cell r="S6">
            <v>126</v>
          </cell>
          <cell r="T6">
            <v>118</v>
          </cell>
          <cell r="U6">
            <v>118</v>
          </cell>
          <cell r="V6">
            <v>110</v>
          </cell>
          <cell r="W6">
            <v>98</v>
          </cell>
          <cell r="X6">
            <v>99</v>
          </cell>
          <cell r="Y6">
            <v>95</v>
          </cell>
          <cell r="Z6">
            <v>91</v>
          </cell>
          <cell r="AA6">
            <v>82</v>
          </cell>
          <cell r="AB6">
            <v>85</v>
          </cell>
          <cell r="AC6">
            <v>81</v>
          </cell>
          <cell r="AD6">
            <v>74</v>
          </cell>
          <cell r="AE6">
            <v>76</v>
          </cell>
          <cell r="AF6">
            <v>69</v>
          </cell>
          <cell r="AG6">
            <v>71</v>
          </cell>
          <cell r="AH6">
            <v>67</v>
          </cell>
          <cell r="AI6">
            <v>57</v>
          </cell>
          <cell r="AJ6">
            <v>61</v>
          </cell>
          <cell r="AK6">
            <v>59</v>
          </cell>
          <cell r="AL6">
            <v>57</v>
          </cell>
          <cell r="AM6">
            <v>53</v>
          </cell>
          <cell r="AN6">
            <v>54</v>
          </cell>
          <cell r="AO6">
            <v>51</v>
          </cell>
          <cell r="AP6">
            <v>49</v>
          </cell>
          <cell r="AQ6">
            <v>48</v>
          </cell>
          <cell r="AR6">
            <v>43</v>
          </cell>
          <cell r="AS6">
            <v>47</v>
          </cell>
          <cell r="AT6">
            <v>41</v>
          </cell>
          <cell r="AU6">
            <v>36</v>
          </cell>
          <cell r="AV6">
            <v>39</v>
          </cell>
          <cell r="AW6">
            <v>37</v>
          </cell>
          <cell r="AX6">
            <v>36</v>
          </cell>
          <cell r="AY6">
            <v>36</v>
          </cell>
          <cell r="AZ6">
            <v>35</v>
          </cell>
          <cell r="BA6">
            <v>34</v>
          </cell>
          <cell r="BB6">
            <v>32</v>
          </cell>
          <cell r="BC6">
            <v>33</v>
          </cell>
          <cell r="BD6">
            <v>30</v>
          </cell>
          <cell r="BE6">
            <v>31</v>
          </cell>
          <cell r="BF6">
            <v>27</v>
          </cell>
          <cell r="BG6">
            <v>26</v>
          </cell>
          <cell r="BH6">
            <v>28</v>
          </cell>
          <cell r="BI6">
            <v>25</v>
          </cell>
        </row>
        <row r="7">
          <cell r="A7" t="str">
            <v xml:space="preserve">   Generic TRx's</v>
          </cell>
          <cell r="B7">
            <v>48</v>
          </cell>
          <cell r="C7">
            <v>447.17303407423509</v>
          </cell>
          <cell r="D7">
            <v>609.79329335454656</v>
          </cell>
          <cell r="E7">
            <v>735.55940856650307</v>
          </cell>
          <cell r="F7">
            <v>755.87625642171099</v>
          </cell>
          <cell r="G7">
            <v>796.41902142706033</v>
          </cell>
          <cell r="H7">
            <v>815.08229264844488</v>
          </cell>
          <cell r="I7">
            <v>860.06539591037631</v>
          </cell>
          <cell r="J7">
            <v>902</v>
          </cell>
          <cell r="K7">
            <v>856</v>
          </cell>
          <cell r="L7">
            <v>962</v>
          </cell>
          <cell r="M7">
            <v>900</v>
          </cell>
          <cell r="N7">
            <v>970</v>
          </cell>
          <cell r="O7">
            <v>924</v>
          </cell>
          <cell r="P7">
            <v>885</v>
          </cell>
          <cell r="Q7">
            <v>878</v>
          </cell>
          <cell r="R7">
            <v>805</v>
          </cell>
          <cell r="S7">
            <v>830</v>
          </cell>
          <cell r="T7">
            <v>807</v>
          </cell>
          <cell r="U7">
            <v>796</v>
          </cell>
          <cell r="V7">
            <v>825</v>
          </cell>
          <cell r="W7">
            <v>768</v>
          </cell>
          <cell r="X7">
            <v>800</v>
          </cell>
          <cell r="Y7">
            <v>788</v>
          </cell>
          <cell r="Z7">
            <v>767</v>
          </cell>
          <cell r="AA7">
            <v>714</v>
          </cell>
          <cell r="AB7">
            <v>761</v>
          </cell>
          <cell r="AC7">
            <v>749</v>
          </cell>
          <cell r="AD7">
            <v>706</v>
          </cell>
          <cell r="AE7">
            <v>747</v>
          </cell>
          <cell r="AF7">
            <v>698</v>
          </cell>
          <cell r="AG7">
            <v>719</v>
          </cell>
          <cell r="AH7">
            <v>727</v>
          </cell>
          <cell r="AI7">
            <v>648</v>
          </cell>
          <cell r="AJ7">
            <v>700</v>
          </cell>
          <cell r="AK7">
            <v>711</v>
          </cell>
          <cell r="AL7">
            <v>703</v>
          </cell>
          <cell r="AM7">
            <v>667</v>
          </cell>
          <cell r="AN7">
            <v>688</v>
          </cell>
          <cell r="AO7">
            <v>672</v>
          </cell>
          <cell r="AP7">
            <v>666</v>
          </cell>
          <cell r="AQ7">
            <v>670</v>
          </cell>
          <cell r="AR7">
            <v>607</v>
          </cell>
          <cell r="AS7">
            <v>667</v>
          </cell>
          <cell r="AT7">
            <v>649</v>
          </cell>
          <cell r="AU7">
            <v>582</v>
          </cell>
          <cell r="AV7">
            <v>642</v>
          </cell>
          <cell r="AW7">
            <v>615</v>
          </cell>
          <cell r="AX7">
            <v>601</v>
          </cell>
          <cell r="AY7">
            <v>600</v>
          </cell>
          <cell r="AZ7">
            <v>591</v>
          </cell>
          <cell r="BA7">
            <v>579</v>
          </cell>
          <cell r="BB7">
            <v>573</v>
          </cell>
          <cell r="BC7">
            <v>586</v>
          </cell>
          <cell r="BD7">
            <v>546</v>
          </cell>
          <cell r="BE7">
            <v>570</v>
          </cell>
          <cell r="BF7">
            <v>543</v>
          </cell>
          <cell r="BG7">
            <v>519</v>
          </cell>
          <cell r="BH7">
            <v>575</v>
          </cell>
          <cell r="BI7">
            <v>532</v>
          </cell>
        </row>
        <row r="8">
          <cell r="A8" t="str">
            <v xml:space="preserve">   Year-end Branded % of Molecule</v>
          </cell>
          <cell r="B8">
            <v>0.73318084566320707</v>
          </cell>
          <cell r="C8">
            <v>0.48281084076041669</v>
          </cell>
          <cell r="D8">
            <v>0.37170795938970874</v>
          </cell>
          <cell r="E8">
            <v>0.31410503110827093</v>
          </cell>
          <cell r="F8">
            <v>0.27803394478695387</v>
          </cell>
          <cell r="G8">
            <v>0.25363985617728446</v>
          </cell>
          <cell r="H8">
            <v>0.23899990326668993</v>
          </cell>
          <cell r="I8">
            <v>0.21570673594140846</v>
          </cell>
          <cell r="J8">
            <v>0.19253933136676499</v>
          </cell>
          <cell r="K8">
            <v>0.18010680509561741</v>
          </cell>
          <cell r="L8">
            <v>0.17021784541927784</v>
          </cell>
          <cell r="M8">
            <v>0.16053720854054376</v>
          </cell>
          <cell r="N8">
            <v>0.15450989759054132</v>
          </cell>
          <cell r="O8">
            <v>0.14957882826250943</v>
          </cell>
          <cell r="P8">
            <v>0.14374109109757677</v>
          </cell>
          <cell r="Q8">
            <v>0.13787654999484766</v>
          </cell>
          <cell r="R8">
            <v>0.13330982190089932</v>
          </cell>
          <cell r="S8">
            <v>0.12943558412957767</v>
          </cell>
          <cell r="T8">
            <v>0.12843304429851612</v>
          </cell>
          <cell r="U8">
            <v>0.12254743132807719</v>
          </cell>
          <cell r="V8">
            <v>0.11519142761468915</v>
          </cell>
          <cell r="W8">
            <v>0.11141253155495272</v>
          </cell>
          <cell r="X8">
            <v>0.10869728069518315</v>
          </cell>
          <cell r="Y8">
            <v>0.10673316708229426</v>
          </cell>
          <cell r="Z8">
            <v>0.104391152880175</v>
          </cell>
          <cell r="AA8">
            <v>0.10153659522846745</v>
          </cell>
          <cell r="AB8">
            <v>9.8852955233391743E-2</v>
          </cell>
          <cell r="AC8">
            <v>9.6091476091476086E-2</v>
          </cell>
          <cell r="AD8">
            <v>9.3406821101487708E-2</v>
          </cell>
          <cell r="AE8">
            <v>9.1035470553542844E-2</v>
          </cell>
          <cell r="AF8">
            <v>8.9910687577453949E-2</v>
          </cell>
          <cell r="AG8">
            <v>8.6755301245371924E-2</v>
          </cell>
          <cell r="AH8">
            <v>8.2485318509884789E-2</v>
          </cell>
          <cell r="AI8">
            <v>8.04452085784092E-2</v>
          </cell>
          <cell r="AJ8">
            <v>7.8144715659400427E-2</v>
          </cell>
          <cell r="AK8">
            <v>7.5708678587003919E-2</v>
          </cell>
          <cell r="AL8">
            <v>7.4231464737793851E-2</v>
          </cell>
          <cell r="AM8">
            <v>7.3131883134613634E-2</v>
          </cell>
          <cell r="AN8">
            <v>7.1522997675160682E-2</v>
          </cell>
          <cell r="AO8">
            <v>6.9407070613343225E-2</v>
          </cell>
          <cell r="AP8">
            <v>6.7578252174317469E-2</v>
          </cell>
          <cell r="AQ8">
            <v>6.6473704866562011E-2</v>
          </cell>
          <cell r="AR8">
            <v>6.5960753837186706E-2</v>
          </cell>
          <cell r="AS8">
            <v>6.2250142775556822E-2</v>
          </cell>
          <cell r="AT8">
            <v>5.8790306017662768E-2</v>
          </cell>
          <cell r="AU8">
            <v>5.7671714853908519E-2</v>
          </cell>
          <cell r="AV8">
            <v>5.6979485378943671E-2</v>
          </cell>
          <cell r="AW8">
            <v>5.6617456617456617E-2</v>
          </cell>
          <cell r="AX8">
            <v>5.6565233331587493E-2</v>
          </cell>
          <cell r="AY8">
            <v>5.621364357482813E-2</v>
          </cell>
          <cell r="AZ8">
            <v>5.5660326526213694E-2</v>
          </cell>
          <cell r="BA8">
            <v>5.4015558233811767E-2</v>
          </cell>
          <cell r="BB8">
            <v>5.3132477702849686E-2</v>
          </cell>
          <cell r="BC8">
            <v>5.2637479679354227E-2</v>
          </cell>
          <cell r="BD8">
            <v>5.1793278734820675E-2</v>
          </cell>
          <cell r="BE8">
            <v>4.9248700222818943E-2</v>
          </cell>
          <cell r="BF8">
            <v>4.7556221889055471E-2</v>
          </cell>
          <cell r="BG8">
            <v>4.6954314720812185E-2</v>
          </cell>
          <cell r="BH8">
            <v>4.5585856251444422E-2</v>
          </cell>
          <cell r="BI8">
            <v>4.4730579117593212E-2</v>
          </cell>
        </row>
        <row r="9">
          <cell r="A9" t="str">
            <v xml:space="preserve">   Average Yearly Branded % of Molecule</v>
          </cell>
          <cell r="M9">
            <v>0.29549396018881113</v>
          </cell>
          <cell r="Y9">
            <v>0.12958793425356593</v>
          </cell>
          <cell r="AK9">
            <v>9.0204061507251687E-2</v>
          </cell>
          <cell r="AW9">
            <v>6.5329051038697031E-2</v>
          </cell>
          <cell r="BI9">
            <v>5.1346765938950351E-2</v>
          </cell>
        </row>
        <row r="11">
          <cell r="A11" t="str">
            <v>CAPOTEN 2/13/96</v>
          </cell>
          <cell r="B11">
            <v>13</v>
          </cell>
        </row>
        <row r="12">
          <cell r="A12" t="str">
            <v xml:space="preserve">   Branded TRx's</v>
          </cell>
          <cell r="B12">
            <v>802</v>
          </cell>
          <cell r="C12">
            <v>693</v>
          </cell>
          <cell r="D12">
            <v>536</v>
          </cell>
          <cell r="E12">
            <v>421</v>
          </cell>
          <cell r="F12">
            <v>343</v>
          </cell>
          <cell r="G12">
            <v>292</v>
          </cell>
          <cell r="H12">
            <v>244</v>
          </cell>
          <cell r="I12">
            <v>236</v>
          </cell>
          <cell r="J12">
            <v>212</v>
          </cell>
          <cell r="K12">
            <v>183</v>
          </cell>
          <cell r="L12">
            <v>179</v>
          </cell>
          <cell r="M12">
            <v>158</v>
          </cell>
          <cell r="N12">
            <v>154</v>
          </cell>
          <cell r="O12">
            <v>138</v>
          </cell>
          <cell r="P12">
            <v>117</v>
          </cell>
          <cell r="Q12">
            <v>119</v>
          </cell>
          <cell r="R12">
            <v>113</v>
          </cell>
          <cell r="S12">
            <v>109</v>
          </cell>
          <cell r="T12">
            <v>99</v>
          </cell>
          <cell r="U12">
            <v>99</v>
          </cell>
          <cell r="V12">
            <v>92</v>
          </cell>
          <cell r="W12">
            <v>87</v>
          </cell>
          <cell r="X12">
            <v>85</v>
          </cell>
          <cell r="Y12">
            <v>76</v>
          </cell>
          <cell r="Z12">
            <v>82</v>
          </cell>
          <cell r="AA12">
            <v>74</v>
          </cell>
          <cell r="AB12">
            <v>64</v>
          </cell>
          <cell r="AC12">
            <v>69</v>
          </cell>
          <cell r="AD12">
            <v>65</v>
          </cell>
          <cell r="AE12">
            <v>62</v>
          </cell>
          <cell r="AF12">
            <v>61</v>
          </cell>
          <cell r="AG12">
            <v>60</v>
          </cell>
          <cell r="AH12">
            <v>56</v>
          </cell>
          <cell r="AI12">
            <v>55</v>
          </cell>
          <cell r="AJ12">
            <v>55</v>
          </cell>
          <cell r="AK12">
            <v>51</v>
          </cell>
          <cell r="AL12">
            <v>52</v>
          </cell>
          <cell r="AM12">
            <v>47</v>
          </cell>
          <cell r="AN12">
            <v>42</v>
          </cell>
          <cell r="AO12">
            <v>46</v>
          </cell>
          <cell r="AP12">
            <v>42</v>
          </cell>
          <cell r="AQ12">
            <v>40</v>
          </cell>
          <cell r="AR12">
            <v>41</v>
          </cell>
          <cell r="AS12">
            <v>40</v>
          </cell>
          <cell r="AT12">
            <v>38</v>
          </cell>
          <cell r="AU12">
            <v>36</v>
          </cell>
          <cell r="AV12">
            <v>36</v>
          </cell>
          <cell r="AW12">
            <v>34</v>
          </cell>
          <cell r="AX12">
            <v>36</v>
          </cell>
          <cell r="AY12">
            <v>29.158999999999999</v>
          </cell>
          <cell r="AZ12">
            <v>28.49</v>
          </cell>
          <cell r="BA12">
            <v>29.661999999999999</v>
          </cell>
          <cell r="BB12">
            <v>26.806999999999999</v>
          </cell>
          <cell r="BC12">
            <v>27.966000000000001</v>
          </cell>
          <cell r="BD12">
            <v>27.254999999999999</v>
          </cell>
          <cell r="BE12">
            <v>25.619</v>
          </cell>
          <cell r="BF12">
            <v>25.44</v>
          </cell>
          <cell r="BG12">
            <v>23.401</v>
          </cell>
          <cell r="BH12">
            <v>23.353999999999999</v>
          </cell>
          <cell r="BI12">
            <v>22.175000000000001</v>
          </cell>
        </row>
        <row r="13">
          <cell r="A13" t="str">
            <v xml:space="preserve">   Generic TRx's</v>
          </cell>
          <cell r="B13">
            <v>58</v>
          </cell>
          <cell r="C13">
            <v>176</v>
          </cell>
          <cell r="D13">
            <v>251</v>
          </cell>
          <cell r="E13">
            <v>391</v>
          </cell>
          <cell r="F13">
            <v>468</v>
          </cell>
          <cell r="G13">
            <v>508</v>
          </cell>
          <cell r="H13">
            <v>507</v>
          </cell>
          <cell r="I13">
            <v>565</v>
          </cell>
          <cell r="J13">
            <v>574</v>
          </cell>
          <cell r="K13">
            <v>552</v>
          </cell>
          <cell r="L13">
            <v>591</v>
          </cell>
          <cell r="M13">
            <v>571</v>
          </cell>
          <cell r="N13">
            <v>596</v>
          </cell>
          <cell r="O13">
            <v>612</v>
          </cell>
          <cell r="P13">
            <v>549</v>
          </cell>
          <cell r="Q13">
            <v>609</v>
          </cell>
          <cell r="R13">
            <v>611</v>
          </cell>
          <cell r="S13">
            <v>619</v>
          </cell>
          <cell r="T13">
            <v>592</v>
          </cell>
          <cell r="U13">
            <v>617</v>
          </cell>
          <cell r="V13">
            <v>602</v>
          </cell>
          <cell r="W13">
            <v>594</v>
          </cell>
          <cell r="X13">
            <v>601</v>
          </cell>
          <cell r="Y13">
            <v>555</v>
          </cell>
          <cell r="Z13">
            <v>616</v>
          </cell>
          <cell r="AA13">
            <v>598</v>
          </cell>
          <cell r="AB13">
            <v>544</v>
          </cell>
          <cell r="AC13">
            <v>606</v>
          </cell>
          <cell r="AD13">
            <v>592</v>
          </cell>
          <cell r="AE13">
            <v>590</v>
          </cell>
          <cell r="AF13">
            <v>598</v>
          </cell>
          <cell r="AG13">
            <v>588</v>
          </cell>
          <cell r="AH13">
            <v>569</v>
          </cell>
          <cell r="AI13">
            <v>560</v>
          </cell>
          <cell r="AJ13">
            <v>577</v>
          </cell>
          <cell r="AK13">
            <v>544</v>
          </cell>
          <cell r="AL13">
            <v>569</v>
          </cell>
          <cell r="AM13">
            <v>543</v>
          </cell>
          <cell r="AN13">
            <v>520</v>
          </cell>
          <cell r="AO13">
            <v>582</v>
          </cell>
          <cell r="AP13">
            <v>545</v>
          </cell>
          <cell r="AQ13">
            <v>532</v>
          </cell>
          <cell r="AR13">
            <v>551</v>
          </cell>
          <cell r="AS13">
            <v>546</v>
          </cell>
          <cell r="AT13">
            <v>544</v>
          </cell>
          <cell r="AU13">
            <v>525</v>
          </cell>
          <cell r="AV13">
            <v>533</v>
          </cell>
          <cell r="AW13">
            <v>526</v>
          </cell>
          <cell r="AX13">
            <v>550</v>
          </cell>
          <cell r="AY13">
            <v>518.596</v>
          </cell>
          <cell r="AZ13">
            <v>522.23599999999999</v>
          </cell>
          <cell r="BA13">
            <v>552.03599999999994</v>
          </cell>
          <cell r="BB13">
            <v>515.154</v>
          </cell>
          <cell r="BC13">
            <v>570.85900000000004</v>
          </cell>
          <cell r="BD13">
            <v>537.65200000000004</v>
          </cell>
          <cell r="BE13">
            <v>529.98699999999997</v>
          </cell>
          <cell r="BF13">
            <v>541.48500000000001</v>
          </cell>
          <cell r="BG13">
            <v>511.57400000000001</v>
          </cell>
          <cell r="BH13">
            <v>534.05499999999995</v>
          </cell>
          <cell r="BI13">
            <v>513.99199999999996</v>
          </cell>
        </row>
        <row r="14">
          <cell r="A14" t="str">
            <v xml:space="preserve">   Year-end Branded % of Molecule</v>
          </cell>
          <cell r="B14">
            <v>0.87367365049967205</v>
          </cell>
          <cell r="C14">
            <v>0.74984002559590468</v>
          </cell>
          <cell r="D14">
            <v>0.60935867975767699</v>
          </cell>
          <cell r="E14">
            <v>0.47710190167166389</v>
          </cell>
          <cell r="F14">
            <v>0.39802373175672884</v>
          </cell>
          <cell r="G14">
            <v>0.34824294825150881</v>
          </cell>
          <cell r="H14">
            <v>0.31130284728213975</v>
          </cell>
          <cell r="I14">
            <v>0.2839521711768408</v>
          </cell>
          <cell r="J14">
            <v>0.26107256621721864</v>
          </cell>
          <cell r="K14">
            <v>0.24163519217951565</v>
          </cell>
          <cell r="L14">
            <v>0.22586077015110559</v>
          </cell>
          <cell r="M14">
            <v>0.21171476313056045</v>
          </cell>
          <cell r="N14">
            <v>0.1960888888888889</v>
          </cell>
          <cell r="O14">
            <v>0.18063340807174888</v>
          </cell>
          <cell r="P14">
            <v>0.17011450014432791</v>
          </cell>
          <cell r="Q14">
            <v>0.16027170919772352</v>
          </cell>
          <cell r="R14">
            <v>0.15331618592687857</v>
          </cell>
          <cell r="S14">
            <v>0.14701062783838195</v>
          </cell>
          <cell r="T14">
            <v>0.14105913084777963</v>
          </cell>
          <cell r="U14">
            <v>0.13584033216948194</v>
          </cell>
          <cell r="V14">
            <v>0.13050215485932884</v>
          </cell>
          <cell r="W14">
            <v>0.12607953159307148</v>
          </cell>
          <cell r="X14">
            <v>0.12247671784545683</v>
          </cell>
          <cell r="Y14">
            <v>0.11908489470228777</v>
          </cell>
          <cell r="Z14">
            <v>0.11435782933695758</v>
          </cell>
          <cell r="AA14">
            <v>0.10813327814569536</v>
          </cell>
          <cell r="AB14">
            <v>0.10386688294699388</v>
          </cell>
          <cell r="AC14">
            <v>0.1008193445243805</v>
          </cell>
          <cell r="AD14">
            <v>9.7276660727920586E-2</v>
          </cell>
          <cell r="AE14">
            <v>9.3990127728868764E-2</v>
          </cell>
          <cell r="AF14">
            <v>9.2576552708004287E-2</v>
          </cell>
          <cell r="AG14">
            <v>9.1322292461208918E-2</v>
          </cell>
          <cell r="AH14">
            <v>8.9527389903329757E-2</v>
          </cell>
          <cell r="AI14">
            <v>8.8372342134861545E-2</v>
          </cell>
          <cell r="AJ14">
            <v>8.6476540938362462E-2</v>
          </cell>
          <cell r="AK14">
            <v>8.4836155707059602E-2</v>
          </cell>
          <cell r="AL14">
            <v>8.2021177374225054E-2</v>
          </cell>
          <cell r="AM14">
            <v>7.7584217812644213E-2</v>
          </cell>
          <cell r="AN14">
            <v>7.4048989727960271E-2</v>
          </cell>
          <cell r="AO14">
            <v>7.2540558256404652E-2</v>
          </cell>
          <cell r="AP14">
            <v>7.085845535457938E-2</v>
          </cell>
          <cell r="AQ14">
            <v>6.963260619977038E-2</v>
          </cell>
          <cell r="AR14">
            <v>6.8827055762922751E-2</v>
          </cell>
          <cell r="AS14">
            <v>6.6978548607941585E-2</v>
          </cell>
          <cell r="AT14">
            <v>6.481643102344796E-2</v>
          </cell>
          <cell r="AU14">
            <v>6.377701665288768E-2</v>
          </cell>
          <cell r="AV14">
            <v>6.2171886981655163E-2</v>
          </cell>
          <cell r="AW14">
            <v>6.1033959621892869E-2</v>
          </cell>
          <cell r="AX14">
            <v>5.8015438322079824E-2</v>
          </cell>
          <cell r="AY14">
            <v>5.2580817523940011E-2</v>
          </cell>
          <cell r="AZ14">
            <v>5.1401241850826632E-2</v>
          </cell>
          <cell r="BA14">
            <v>5.0355906592035746E-2</v>
          </cell>
          <cell r="BB14">
            <v>4.8198259307443411E-2</v>
          </cell>
          <cell r="BC14">
            <v>4.7349104784026493E-2</v>
          </cell>
          <cell r="BD14">
            <v>4.7329605557301174E-2</v>
          </cell>
          <cell r="BE14">
            <v>4.5568129599858509E-2</v>
          </cell>
          <cell r="BF14">
            <v>4.4399423832598053E-2</v>
          </cell>
          <cell r="BG14">
            <v>4.2924156159896289E-2</v>
          </cell>
          <cell r="BH14">
            <v>4.1668967107386531E-2</v>
          </cell>
          <cell r="BI14">
            <v>4.1360952712680955E-2</v>
          </cell>
        </row>
        <row r="15">
          <cell r="A15" t="str">
            <v xml:space="preserve">   Average Yearly Branded % of Molecule</v>
          </cell>
          <cell r="M15">
            <v>0.42460725607608313</v>
          </cell>
          <cell r="Y15">
            <v>0.14921994348448989</v>
          </cell>
          <cell r="AK15">
            <v>9.6200866370375504E-2</v>
          </cell>
          <cell r="AW15">
            <v>6.9632347685196216E-2</v>
          </cell>
          <cell r="BI15">
            <v>4.7650342238891225E-2</v>
          </cell>
        </row>
        <row r="17">
          <cell r="A17" t="str">
            <v>ZANTAC 7/25/97</v>
          </cell>
          <cell r="B17">
            <v>25</v>
          </cell>
        </row>
        <row r="18">
          <cell r="A18" t="str">
            <v xml:space="preserve">   Branded TRx's</v>
          </cell>
          <cell r="B18">
            <v>1803</v>
          </cell>
          <cell r="C18">
            <v>1325</v>
          </cell>
          <cell r="D18">
            <v>844</v>
          </cell>
          <cell r="E18">
            <v>679</v>
          </cell>
          <cell r="F18">
            <v>544</v>
          </cell>
          <cell r="G18">
            <v>552</v>
          </cell>
          <cell r="H18">
            <v>475</v>
          </cell>
          <cell r="I18">
            <v>406</v>
          </cell>
          <cell r="J18">
            <v>433</v>
          </cell>
          <cell r="K18">
            <v>401</v>
          </cell>
          <cell r="L18">
            <v>383</v>
          </cell>
          <cell r="M18">
            <v>376</v>
          </cell>
          <cell r="N18">
            <v>355</v>
          </cell>
          <cell r="O18">
            <v>344</v>
          </cell>
          <cell r="P18">
            <v>333</v>
          </cell>
          <cell r="Q18">
            <v>335</v>
          </cell>
          <cell r="R18">
            <v>308</v>
          </cell>
          <cell r="S18">
            <v>318</v>
          </cell>
          <cell r="T18">
            <v>284</v>
          </cell>
          <cell r="U18">
            <v>266</v>
          </cell>
          <cell r="V18">
            <v>293</v>
          </cell>
          <cell r="W18">
            <v>268</v>
          </cell>
          <cell r="X18">
            <v>257</v>
          </cell>
          <cell r="Y18">
            <v>261</v>
          </cell>
          <cell r="Z18">
            <v>250</v>
          </cell>
          <cell r="AA18">
            <v>249</v>
          </cell>
          <cell r="AB18">
            <v>238</v>
          </cell>
          <cell r="AC18">
            <v>241</v>
          </cell>
          <cell r="AD18">
            <v>235</v>
          </cell>
          <cell r="AE18">
            <v>244</v>
          </cell>
          <cell r="AF18">
            <v>213.36600000000001</v>
          </cell>
          <cell r="AG18">
            <v>211.13</v>
          </cell>
          <cell r="AH18">
            <v>225.23699999999999</v>
          </cell>
          <cell r="AI18">
            <v>203.50299999999999</v>
          </cell>
          <cell r="AJ18">
            <v>213.34299999999999</v>
          </cell>
          <cell r="AK18">
            <v>207.36099999999999</v>
          </cell>
          <cell r="AL18">
            <v>199.17599999999999</v>
          </cell>
          <cell r="AM18">
            <v>206.86</v>
          </cell>
          <cell r="AN18">
            <v>197.53299999999999</v>
          </cell>
          <cell r="AO18">
            <v>204.28</v>
          </cell>
          <cell r="AP18">
            <v>197.453</v>
          </cell>
          <cell r="AQ18">
            <v>196.55600000000001</v>
          </cell>
          <cell r="AR18">
            <v>202.85599999999999</v>
          </cell>
          <cell r="AS18">
            <v>181.054</v>
          </cell>
          <cell r="AT18">
            <v>199.86799999999999</v>
          </cell>
          <cell r="AU18">
            <v>186.24100000000001</v>
          </cell>
          <cell r="AV18">
            <v>192.52199999999999</v>
          </cell>
          <cell r="AW18">
            <v>182.09800000000001</v>
          </cell>
          <cell r="AX18">
            <v>184.08500000000001</v>
          </cell>
          <cell r="AY18">
            <v>187.09100000000001</v>
          </cell>
          <cell r="AZ18">
            <v>162.30600000000001</v>
          </cell>
          <cell r="BA18">
            <v>179.2</v>
          </cell>
          <cell r="BB18">
            <v>171.321</v>
          </cell>
          <cell r="BC18">
            <v>173.959</v>
          </cell>
          <cell r="BD18">
            <v>180.827</v>
          </cell>
          <cell r="BE18">
            <v>163.46899999999999</v>
          </cell>
          <cell r="BF18">
            <v>175.529</v>
          </cell>
          <cell r="BG18">
            <v>177.23599999999999</v>
          </cell>
          <cell r="BH18">
            <v>173.2</v>
          </cell>
          <cell r="BI18">
            <v>151.14599999999999</v>
          </cell>
        </row>
        <row r="19">
          <cell r="A19" t="str">
            <v xml:space="preserve">   Generic TRx's</v>
          </cell>
          <cell r="B19">
            <v>0</v>
          </cell>
          <cell r="C19">
            <v>441</v>
          </cell>
          <cell r="D19">
            <v>935</v>
          </cell>
          <cell r="E19">
            <v>1116</v>
          </cell>
          <cell r="F19">
            <v>1108</v>
          </cell>
          <cell r="G19">
            <v>1281</v>
          </cell>
          <cell r="H19">
            <v>1319</v>
          </cell>
          <cell r="I19">
            <v>1221</v>
          </cell>
          <cell r="J19">
            <v>1376</v>
          </cell>
          <cell r="K19">
            <v>1340</v>
          </cell>
          <cell r="L19">
            <v>1334</v>
          </cell>
          <cell r="M19">
            <v>1366</v>
          </cell>
          <cell r="N19">
            <v>1362</v>
          </cell>
          <cell r="O19">
            <v>1364</v>
          </cell>
          <cell r="P19">
            <v>1369</v>
          </cell>
          <cell r="Q19">
            <v>1449</v>
          </cell>
          <cell r="R19">
            <v>1383</v>
          </cell>
          <cell r="S19">
            <v>1472</v>
          </cell>
          <cell r="T19">
            <v>1431</v>
          </cell>
          <cell r="U19">
            <v>1394</v>
          </cell>
          <cell r="V19">
            <v>1580</v>
          </cell>
          <cell r="W19">
            <v>1489</v>
          </cell>
          <cell r="X19">
            <v>1464</v>
          </cell>
          <cell r="Y19">
            <v>1525</v>
          </cell>
          <cell r="Z19">
            <v>1527</v>
          </cell>
          <cell r="AA19">
            <v>1570</v>
          </cell>
          <cell r="AB19">
            <v>1529</v>
          </cell>
          <cell r="AC19">
            <v>1581</v>
          </cell>
          <cell r="AD19">
            <v>1577</v>
          </cell>
          <cell r="AE19">
            <v>1642</v>
          </cell>
          <cell r="AF19">
            <v>1563.7670000000001</v>
          </cell>
          <cell r="AG19">
            <v>1583.4870000000001</v>
          </cell>
          <cell r="AH19">
            <v>1698.43</v>
          </cell>
          <cell r="AI19">
            <v>1576.498</v>
          </cell>
          <cell r="AJ19">
            <v>1708.2090000000001</v>
          </cell>
          <cell r="AK19">
            <v>1652.4580000000001</v>
          </cell>
          <cell r="AL19">
            <v>1639.779</v>
          </cell>
          <cell r="AM19">
            <v>1704.086</v>
          </cell>
          <cell r="AN19">
            <v>1621.7329999999999</v>
          </cell>
          <cell r="AO19">
            <v>1711.3869999999999</v>
          </cell>
          <cell r="AP19">
            <v>1660.942</v>
          </cell>
          <cell r="AQ19">
            <v>1671.704</v>
          </cell>
          <cell r="AR19">
            <v>1754.595</v>
          </cell>
          <cell r="AS19">
            <v>1588.3050000000001</v>
          </cell>
          <cell r="AT19">
            <v>1759.4559999999999</v>
          </cell>
          <cell r="AU19">
            <v>1662.595</v>
          </cell>
          <cell r="AV19">
            <v>1709.16</v>
          </cell>
          <cell r="AW19">
            <v>1634.9749999999999</v>
          </cell>
          <cell r="AX19">
            <v>1677.7</v>
          </cell>
          <cell r="AY19">
            <v>1702.2819999999999</v>
          </cell>
          <cell r="AZ19">
            <v>1587.3430000000001</v>
          </cell>
          <cell r="BA19">
            <v>1734.895</v>
          </cell>
          <cell r="BB19">
            <v>1646.9829999999999</v>
          </cell>
          <cell r="BC19">
            <v>1667.133</v>
          </cell>
          <cell r="BD19">
            <v>1724.1959999999999</v>
          </cell>
          <cell r="BE19">
            <v>1579.077</v>
          </cell>
          <cell r="BF19">
            <v>1691.87</v>
          </cell>
          <cell r="BG19">
            <v>1723.0889999999999</v>
          </cell>
          <cell r="BH19">
            <v>1727.3420000000001</v>
          </cell>
          <cell r="BI19">
            <v>1618.0809999999999</v>
          </cell>
        </row>
        <row r="20">
          <cell r="A20" t="str">
            <v xml:space="preserve">   Year-end Branded % of Molecule</v>
          </cell>
          <cell r="B20">
            <v>0.79262672811059909</v>
          </cell>
          <cell r="C20">
            <v>0.5201200637838852</v>
          </cell>
          <cell r="D20">
            <v>0.39417891017295892</v>
          </cell>
          <cell r="E20">
            <v>0.33804077573346591</v>
          </cell>
          <cell r="F20">
            <v>0.30544513266155127</v>
          </cell>
          <cell r="G20">
            <v>0.2709432565028233</v>
          </cell>
          <cell r="H20">
            <v>0.25229126800282003</v>
          </cell>
          <cell r="I20">
            <v>0.24091079460269865</v>
          </cell>
          <cell r="J20">
            <v>0.23188130112231312</v>
          </cell>
          <cell r="K20">
            <v>0.22428820453224868</v>
          </cell>
          <cell r="L20">
            <v>0.21703270355807039</v>
          </cell>
          <cell r="M20">
            <v>0.20828895129272781</v>
          </cell>
          <cell r="N20">
            <v>0.20230086770010725</v>
          </cell>
          <cell r="O20">
            <v>0.19661381875122333</v>
          </cell>
          <cell r="P20">
            <v>0.18904161174919978</v>
          </cell>
          <cell r="Q20">
            <v>0.183123351889833</v>
          </cell>
          <cell r="R20">
            <v>0.17836669485950568</v>
          </cell>
          <cell r="S20">
            <v>0.16767969126869273</v>
          </cell>
          <cell r="T20">
            <v>0.16115826260609087</v>
          </cell>
          <cell r="U20">
            <v>0.15700680272108844</v>
          </cell>
          <cell r="V20">
            <v>0.15321823981985364</v>
          </cell>
          <cell r="W20">
            <v>0.14987454159428681</v>
          </cell>
          <cell r="X20">
            <v>0.14665289644164867</v>
          </cell>
          <cell r="Y20">
            <v>0.1415987255177584</v>
          </cell>
          <cell r="Z20">
            <v>0.13750919793966151</v>
          </cell>
          <cell r="AA20">
            <v>0.13506664163694387</v>
          </cell>
          <cell r="AB20">
            <v>0.13266525696423645</v>
          </cell>
          <cell r="AC20">
            <v>0.13012313912883661</v>
          </cell>
          <cell r="AD20">
            <v>0.12942536915139655</v>
          </cell>
          <cell r="AE20">
            <v>0.12169242173795787</v>
          </cell>
          <cell r="AF20">
            <v>0.11804560614491724</v>
          </cell>
          <cell r="AG20">
            <v>0.11717520585384045</v>
          </cell>
          <cell r="AH20">
            <v>0.11481796565897415</v>
          </cell>
          <cell r="AI20">
            <v>0.11154238309005607</v>
          </cell>
          <cell r="AJ20">
            <v>0.11141496564324677</v>
          </cell>
          <cell r="AK20">
            <v>0.10884533615617181</v>
          </cell>
          <cell r="AL20">
            <v>0.10825961925399905</v>
          </cell>
          <cell r="AM20">
            <v>0.10852139984497529</v>
          </cell>
          <cell r="AN20">
            <v>0.10694645302989639</v>
          </cell>
          <cell r="AO20">
            <v>0.1063154051494507</v>
          </cell>
          <cell r="AP20">
            <v>0.1053808161740119</v>
          </cell>
          <cell r="AQ20">
            <v>0.10388524230804044</v>
          </cell>
          <cell r="AR20">
            <v>0.10256393643758202</v>
          </cell>
          <cell r="AS20">
            <v>0.10205742203059506</v>
          </cell>
          <cell r="AT20">
            <v>0.10095707557207102</v>
          </cell>
          <cell r="AU20">
            <v>0.10115577315134321</v>
          </cell>
          <cell r="AV20">
            <v>0.10039203436555792</v>
          </cell>
          <cell r="AW20">
            <v>9.909430147300044E-2</v>
          </cell>
          <cell r="AX20">
            <v>9.8998554204082712E-2</v>
          </cell>
          <cell r="AY20">
            <v>9.3876373451274531E-2</v>
          </cell>
          <cell r="AZ20">
            <v>9.3488905245207546E-2</v>
          </cell>
          <cell r="BA20">
            <v>9.4116048944107161E-2</v>
          </cell>
          <cell r="BB20">
            <v>9.4442878131280744E-2</v>
          </cell>
          <cell r="BC20">
            <v>9.4850815227982402E-2</v>
          </cell>
          <cell r="BD20">
            <v>9.4009721265883653E-2</v>
          </cell>
          <cell r="BE20">
            <v>9.3967250087345688E-2</v>
          </cell>
          <cell r="BF20">
            <v>9.338611652152376E-2</v>
          </cell>
          <cell r="BG20">
            <v>9.1487573264486172E-2</v>
          </cell>
          <cell r="BH20">
            <v>8.6438812667394768E-2</v>
          </cell>
          <cell r="BI20">
            <v>8.665459816617517E-2</v>
          </cell>
        </row>
        <row r="21">
          <cell r="A21" t="str">
            <v xml:space="preserve">   Average Yearly Branded % of Molecule</v>
          </cell>
          <cell r="M21">
            <v>0.3342333899839578</v>
          </cell>
          <cell r="Y21">
            <v>0.1686790111673189</v>
          </cell>
          <cell r="AK21">
            <v>0.12225617494472787</v>
          </cell>
          <cell r="AW21">
            <v>0.10380254215704907</v>
          </cell>
          <cell r="BI21">
            <v>9.2988966141322099E-2</v>
          </cell>
        </row>
        <row r="23">
          <cell r="A23" t="str">
            <v>VASOTEC 8/22/00</v>
          </cell>
          <cell r="B23">
            <v>22</v>
          </cell>
          <cell r="C23" t="str">
            <v>Forecasted for months 34-60</v>
          </cell>
        </row>
        <row r="24">
          <cell r="A24" t="str">
            <v xml:space="preserve">   Branded TRx's</v>
          </cell>
          <cell r="B24">
            <v>1321.56</v>
          </cell>
          <cell r="C24">
            <v>710.65700000000004</v>
          </cell>
          <cell r="D24">
            <v>519.096</v>
          </cell>
          <cell r="E24">
            <v>418.33600000000001</v>
          </cell>
          <cell r="F24">
            <v>370.46</v>
          </cell>
          <cell r="G24">
            <v>321.98099999999999</v>
          </cell>
          <cell r="H24">
            <v>261.952</v>
          </cell>
          <cell r="I24">
            <v>265.04899999999998</v>
          </cell>
          <cell r="J24">
            <v>231.816</v>
          </cell>
          <cell r="K24">
            <v>226.447</v>
          </cell>
          <cell r="L24">
            <v>206.21600000000001</v>
          </cell>
          <cell r="M24">
            <v>200.43600000000001</v>
          </cell>
          <cell r="N24">
            <v>192.72900000000001</v>
          </cell>
          <cell r="O24">
            <v>168.113</v>
          </cell>
          <cell r="P24">
            <v>175.92</v>
          </cell>
          <cell r="Q24">
            <v>159.49799999999999</v>
          </cell>
          <cell r="R24">
            <v>157.345</v>
          </cell>
          <cell r="S24">
            <v>147.16200000000001</v>
          </cell>
          <cell r="T24">
            <v>126.982</v>
          </cell>
          <cell r="U24">
            <v>132.27500000000001</v>
          </cell>
          <cell r="V24">
            <v>128.624</v>
          </cell>
          <cell r="W24">
            <v>123.018</v>
          </cell>
          <cell r="X24">
            <v>110.261</v>
          </cell>
          <cell r="Y24">
            <v>112.301</v>
          </cell>
          <cell r="Z24">
            <v>105.15600000000001</v>
          </cell>
          <cell r="AA24">
            <v>96.858999999999995</v>
          </cell>
          <cell r="AB24">
            <v>97.543999999999997</v>
          </cell>
          <cell r="AC24">
            <v>88.385999999999996</v>
          </cell>
          <cell r="AD24">
            <v>91.506</v>
          </cell>
          <cell r="AE24">
            <v>83.430999999999997</v>
          </cell>
          <cell r="AF24">
            <v>74.06</v>
          </cell>
          <cell r="AG24">
            <v>75.11</v>
          </cell>
          <cell r="AH24">
            <v>70.400999999999996</v>
          </cell>
          <cell r="AI24">
            <v>69.042000000000002</v>
          </cell>
          <cell r="AJ24" t="str">
            <v>R2 = 0.9753</v>
          </cell>
        </row>
        <row r="25">
          <cell r="A25" t="str">
            <v xml:space="preserve">   Generic TRx's</v>
          </cell>
          <cell r="B25">
            <v>35.404000000000003</v>
          </cell>
          <cell r="C25">
            <v>618.26300000000003</v>
          </cell>
          <cell r="D25">
            <v>863.726</v>
          </cell>
          <cell r="E25">
            <v>925.53599999999994</v>
          </cell>
          <cell r="F25">
            <v>993.23900000000003</v>
          </cell>
          <cell r="G25">
            <v>1085.4580000000001</v>
          </cell>
          <cell r="H25">
            <v>1016.408</v>
          </cell>
          <cell r="I25">
            <v>1140.375</v>
          </cell>
          <cell r="J25">
            <v>1102.9690000000001</v>
          </cell>
          <cell r="K25">
            <v>1171.9280000000001</v>
          </cell>
          <cell r="L25">
            <v>1144.354</v>
          </cell>
          <cell r="M25">
            <v>1181.4349999999999</v>
          </cell>
          <cell r="N25">
            <v>1205.021</v>
          </cell>
          <cell r="O25">
            <v>1126.096</v>
          </cell>
          <cell r="P25">
            <v>1240.683</v>
          </cell>
          <cell r="Q25">
            <v>1185.75</v>
          </cell>
          <cell r="R25">
            <v>1223.4780000000001</v>
          </cell>
          <cell r="S25">
            <v>1288.356</v>
          </cell>
          <cell r="T25">
            <v>1196.0029999999999</v>
          </cell>
          <cell r="U25">
            <v>1308.819</v>
          </cell>
          <cell r="V25">
            <v>1348.9970000000001</v>
          </cell>
          <cell r="W25">
            <v>1365.7159999999999</v>
          </cell>
          <cell r="X25">
            <v>1295.953</v>
          </cell>
          <cell r="Y25">
            <v>1390.838</v>
          </cell>
          <cell r="Z25">
            <v>1367.038</v>
          </cell>
          <cell r="AA25">
            <v>1304.991</v>
          </cell>
          <cell r="AB25">
            <v>1392.3610000000001</v>
          </cell>
          <cell r="AC25">
            <v>1325.26</v>
          </cell>
          <cell r="AD25">
            <v>1408.7080000000001</v>
          </cell>
          <cell r="AE25">
            <v>1408.1559999999999</v>
          </cell>
          <cell r="AF25">
            <v>1284.335</v>
          </cell>
          <cell r="AG25">
            <v>1399.88</v>
          </cell>
          <cell r="AH25">
            <v>1369.2380000000001</v>
          </cell>
          <cell r="AI25">
            <v>1394.162</v>
          </cell>
          <cell r="AJ25" t="str">
            <v>= 0.79401879054x-0.74826516038</v>
          </cell>
        </row>
        <row r="26">
          <cell r="A26" t="str">
            <v xml:space="preserve">   Year-end Branded % of Molecule</v>
          </cell>
          <cell r="B26">
            <v>0.65367069181365867</v>
          </cell>
          <cell r="C26">
            <v>0.41666097489896342</v>
          </cell>
          <cell r="D26">
            <v>0.32874468097675091</v>
          </cell>
          <cell r="E26">
            <v>0.28211396082788248</v>
          </cell>
          <cell r="F26">
            <v>0.23994464246267011</v>
          </cell>
          <cell r="G26">
            <v>0.21173350255508458</v>
          </cell>
          <cell r="H26">
            <v>0.19264701136007478</v>
          </cell>
          <cell r="I26">
            <v>0.17780305098454119</v>
          </cell>
          <cell r="J26">
            <v>0.16496005432100791</v>
          </cell>
          <cell r="K26">
            <v>0.15521758924428</v>
          </cell>
          <cell r="L26">
            <v>0.14705045090582325</v>
          </cell>
          <cell r="M26">
            <v>0.13977898776303618</v>
          </cell>
          <cell r="N26">
            <v>0.13214906377313421</v>
          </cell>
          <cell r="O26">
            <v>0.12560880049484888</v>
          </cell>
          <cell r="P26">
            <v>0.12012026891919231</v>
          </cell>
          <cell r="Q26">
            <v>0.11515711317111849</v>
          </cell>
          <cell r="R26">
            <v>0.10547823284143421</v>
          </cell>
          <cell r="S26">
            <v>9.7829962955730709E-2</v>
          </cell>
          <cell r="T26">
            <v>9.2837467545126576E-2</v>
          </cell>
          <cell r="U26">
            <v>8.8288932881773696E-2</v>
          </cell>
          <cell r="V26">
            <v>8.3803609332585141E-2</v>
          </cell>
          <cell r="W26">
            <v>7.9583621376548591E-2</v>
          </cell>
          <cell r="X26">
            <v>7.5649888297892751E-2</v>
          </cell>
          <cell r="Y26">
            <v>7.2316945929357335E-2</v>
          </cell>
          <cell r="Z26">
            <v>6.9738805805550169E-2</v>
          </cell>
          <cell r="AA26">
            <v>6.639372750621636E-2</v>
          </cell>
          <cell r="AB26">
            <v>6.3339811952974195E-2</v>
          </cell>
          <cell r="AC26">
            <v>6.1385287082538209E-2</v>
          </cell>
          <cell r="AD26">
            <v>5.7289676380368304E-2</v>
          </cell>
          <cell r="AE26">
            <v>5.4923758266477968E-2</v>
          </cell>
          <cell r="AF26">
            <v>5.18249904079097E-2</v>
          </cell>
          <cell r="AG26">
            <v>4.9450291863876075E-2</v>
          </cell>
          <cell r="AH26">
            <v>4.7637756362737836E-2</v>
          </cell>
          <cell r="AI26">
            <v>4.6783466626849277E-2</v>
          </cell>
          <cell r="AJ26">
            <v>4.6003349461288603E-2</v>
          </cell>
          <cell r="AK26">
            <v>4.5252963424836666E-2</v>
          </cell>
          <cell r="AL26">
            <v>4.4530565295050291E-2</v>
          </cell>
          <cell r="AM26">
            <v>4.3834548339806351E-2</v>
          </cell>
          <cell r="AN26">
            <v>4.3163429056163327E-2</v>
          </cell>
          <cell r="AO26">
            <v>4.2515835437733178E-2</v>
          </cell>
          <cell r="AP26">
            <v>4.1890496567799418E-2</v>
          </cell>
          <cell r="AQ26">
            <v>4.1286233365704444E-2</v>
          </cell>
          <cell r="AR26">
            <v>4.0701950339306903E-2</v>
          </cell>
          <cell r="AS26">
            <v>4.0136628217481006E-2</v>
          </cell>
          <cell r="AT26">
            <v>3.9589317354426876E-2</v>
          </cell>
          <cell r="AU26">
            <v>3.9059131812570071E-2</v>
          </cell>
          <cell r="AV26">
            <v>3.8545244043529686E-2</v>
          </cell>
          <cell r="AW26">
            <v>3.8046880097415262E-2</v>
          </cell>
          <cell r="AX26">
            <v>3.7563315299891174E-2</v>
          </cell>
          <cell r="AY26">
            <v>3.7093870344285622E-2</v>
          </cell>
          <cell r="AZ26">
            <v>3.6637907752730889E-2</v>
          </cell>
          <cell r="BA26">
            <v>3.6194828666086067E-2</v>
          </cell>
          <cell r="BB26">
            <v>3.576406992735167E-2</v>
          </cell>
          <cell r="BC26">
            <v>3.5345101427567929E-2</v>
          </cell>
          <cell r="BD26">
            <v>3.4937423686891948E-2</v>
          </cell>
          <cell r="BE26">
            <v>3.4540565646760467E-2</v>
          </cell>
          <cell r="BF26">
            <v>3.4154082651836816E-2</v>
          </cell>
          <cell r="BG26">
            <v>3.377755460287233E-2</v>
          </cell>
          <cell r="BH26">
            <v>3.3410584263735846E-2</v>
          </cell>
          <cell r="BI26">
            <v>3.3052795707720906E-2</v>
          </cell>
        </row>
        <row r="27">
          <cell r="A27" t="str">
            <v xml:space="preserve">   Average Yearly Branded % of Molecule</v>
          </cell>
          <cell r="M27">
            <v>0.25827744471197789</v>
          </cell>
          <cell r="Y27">
            <v>9.8441145952704145E-2</v>
          </cell>
          <cell r="AK27">
            <v>5.5001990428468615E-2</v>
          </cell>
          <cell r="AW27">
            <v>4.1108354993915568E-2</v>
          </cell>
          <cell r="BI27">
            <v>3.5206008331477641E-2</v>
          </cell>
        </row>
        <row r="29">
          <cell r="A29" t="str">
            <v>CARDURA 10/18/00</v>
          </cell>
          <cell r="B29">
            <v>18</v>
          </cell>
          <cell r="C29" t="str">
            <v>Forecasted for months 32-60</v>
          </cell>
        </row>
        <row r="30">
          <cell r="A30" t="str">
            <v xml:space="preserve">   Branded TRx's</v>
          </cell>
          <cell r="B30">
            <v>958.21900000000005</v>
          </cell>
          <cell r="C30">
            <v>515.93600000000004</v>
          </cell>
          <cell r="D30">
            <v>377.78899999999999</v>
          </cell>
          <cell r="E30">
            <v>316.16800000000001</v>
          </cell>
          <cell r="F30">
            <v>246.67099999999999</v>
          </cell>
          <cell r="G30">
            <v>241.803</v>
          </cell>
          <cell r="H30">
            <v>208.67599999999999</v>
          </cell>
          <cell r="I30">
            <v>194.083</v>
          </cell>
          <cell r="J30">
            <v>166.535</v>
          </cell>
          <cell r="K30">
            <v>157.142</v>
          </cell>
          <cell r="L30">
            <v>145.84399999999999</v>
          </cell>
          <cell r="M30">
            <v>126.878</v>
          </cell>
          <cell r="N30">
            <v>129.6</v>
          </cell>
          <cell r="O30">
            <v>116.45399999999999</v>
          </cell>
          <cell r="P30">
            <v>114.949</v>
          </cell>
          <cell r="Q30">
            <v>103.848</v>
          </cell>
          <cell r="R30">
            <v>87.372</v>
          </cell>
          <cell r="S30">
            <v>89.826999999999998</v>
          </cell>
          <cell r="T30">
            <v>86.12</v>
          </cell>
          <cell r="U30">
            <v>81.572999999999993</v>
          </cell>
          <cell r="V30">
            <v>73.228999999999999</v>
          </cell>
          <cell r="W30">
            <v>74.2</v>
          </cell>
          <cell r="X30">
            <v>70.266000000000005</v>
          </cell>
          <cell r="Y30">
            <v>63.923999999999999</v>
          </cell>
          <cell r="Z30">
            <v>65.91</v>
          </cell>
          <cell r="AA30">
            <v>59.588999999999999</v>
          </cell>
          <cell r="AB30">
            <v>62.034999999999997</v>
          </cell>
          <cell r="AC30">
            <v>56.097000000000001</v>
          </cell>
          <cell r="AD30">
            <v>49.204000000000001</v>
          </cell>
          <cell r="AE30">
            <v>52.030999999999999</v>
          </cell>
          <cell r="AF30">
            <v>48.204000000000001</v>
          </cell>
          <cell r="AG30">
            <v>48.048999999999999</v>
          </cell>
          <cell r="AH30" t="str">
            <v>R2 = 0.9918</v>
          </cell>
        </row>
        <row r="31">
          <cell r="A31" t="str">
            <v xml:space="preserve">   Generic TRx's</v>
          </cell>
          <cell r="B31">
            <v>44.939</v>
          </cell>
          <cell r="C31">
            <v>476.60899999999998</v>
          </cell>
          <cell r="D31">
            <v>650.49400000000003</v>
          </cell>
          <cell r="E31">
            <v>733.18600000000004</v>
          </cell>
          <cell r="F31">
            <v>697.62300000000005</v>
          </cell>
          <cell r="G31">
            <v>792.26400000000001</v>
          </cell>
          <cell r="H31">
            <v>770.827</v>
          </cell>
          <cell r="I31">
            <v>816.26800000000003</v>
          </cell>
          <cell r="J31">
            <v>772.91800000000001</v>
          </cell>
          <cell r="K31">
            <v>792.53599999999994</v>
          </cell>
          <cell r="L31">
            <v>797.18499999999995</v>
          </cell>
          <cell r="M31">
            <v>739</v>
          </cell>
          <cell r="N31">
            <v>806.947</v>
          </cell>
          <cell r="O31">
            <v>758.37699999999995</v>
          </cell>
          <cell r="P31">
            <v>785.68600000000004</v>
          </cell>
          <cell r="Q31">
            <v>794.54300000000001</v>
          </cell>
          <cell r="R31">
            <v>720.84299999999996</v>
          </cell>
          <cell r="S31">
            <v>775.56600000000003</v>
          </cell>
          <cell r="T31">
            <v>789.50400000000002</v>
          </cell>
          <cell r="U31">
            <v>784.58799999999997</v>
          </cell>
          <cell r="V31">
            <v>728.08299999999997</v>
          </cell>
          <cell r="W31">
            <v>778.096</v>
          </cell>
          <cell r="X31">
            <v>756.83</v>
          </cell>
          <cell r="Y31">
            <v>721.99400000000003</v>
          </cell>
          <cell r="Z31">
            <v>767.17399999999998</v>
          </cell>
          <cell r="AA31">
            <v>725.02300000000002</v>
          </cell>
          <cell r="AB31">
            <v>772.67100000000005</v>
          </cell>
          <cell r="AC31">
            <v>759.57</v>
          </cell>
          <cell r="AD31">
            <v>687.96400000000006</v>
          </cell>
          <cell r="AE31">
            <v>742.45100000000002</v>
          </cell>
          <cell r="AF31">
            <v>722.303</v>
          </cell>
          <cell r="AG31">
            <v>728.71699999999998</v>
          </cell>
          <cell r="AH31" t="str">
            <v>= 0.74948443447x-0.69936275431</v>
          </cell>
        </row>
        <row r="32">
          <cell r="A32" t="str">
            <v xml:space="preserve">   Year-end Branded % of Molecule</v>
          </cell>
          <cell r="B32">
            <v>0.6950802686463009</v>
          </cell>
          <cell r="C32">
            <v>0.4270739746572888</v>
          </cell>
          <cell r="D32">
            <v>0.32741667608136454</v>
          </cell>
          <cell r="E32">
            <v>0.27827718849296063</v>
          </cell>
          <cell r="F32">
            <v>0.24420006536040692</v>
          </cell>
          <cell r="G32">
            <v>0.22163233927404052</v>
          </cell>
          <cell r="H32">
            <v>0.20031847318839316</v>
          </cell>
          <cell r="I32">
            <v>0.18345935296124602</v>
          </cell>
          <cell r="J32">
            <v>0.17015782772201002</v>
          </cell>
          <cell r="K32">
            <v>0.1589986386639323</v>
          </cell>
          <cell r="L32">
            <v>0.1499483015336468</v>
          </cell>
          <cell r="M32">
            <v>0.14148862123262951</v>
          </cell>
          <cell r="N32">
            <v>0.13530855545429138</v>
          </cell>
          <cell r="O32">
            <v>0.12978688178791872</v>
          </cell>
          <cell r="P32">
            <v>0.12041562630728335</v>
          </cell>
          <cell r="Q32">
            <v>0.11129222416969428</v>
          </cell>
          <cell r="R32">
            <v>0.10545127734380286</v>
          </cell>
          <cell r="S32">
            <v>0.10051591933098007</v>
          </cell>
          <cell r="T32">
            <v>9.5858571484075686E-2</v>
          </cell>
          <cell r="U32">
            <v>9.2555396689471506E-2</v>
          </cell>
          <cell r="V32">
            <v>8.8726273659025384E-2</v>
          </cell>
          <cell r="W32">
            <v>8.581182451479738E-2</v>
          </cell>
          <cell r="X32">
            <v>8.2828632289666915E-2</v>
          </cell>
          <cell r="Y32">
            <v>7.9973216005156361E-2</v>
          </cell>
          <cell r="Z32">
            <v>7.7260370885203086E-2</v>
          </cell>
          <cell r="AA32">
            <v>7.494656721679642E-2</v>
          </cell>
          <cell r="AB32">
            <v>7.1023242808726905E-2</v>
          </cell>
          <cell r="AC32">
            <v>6.7607846076259276E-2</v>
          </cell>
          <cell r="AD32">
            <v>6.5970809133331018E-2</v>
          </cell>
          <cell r="AE32">
            <v>6.3754635641465107E-2</v>
          </cell>
          <cell r="AF32">
            <v>6.2137848873973486E-2</v>
          </cell>
          <cell r="AG32">
            <v>6.1142418627524668E-2</v>
          </cell>
          <cell r="AH32">
            <v>5.9981972123639551E-2</v>
          </cell>
          <cell r="AI32">
            <v>5.8873629488316682E-2</v>
          </cell>
          <cell r="AJ32">
            <v>5.7813770197786989E-2</v>
          </cell>
          <cell r="AK32">
            <v>5.6799109858274154E-2</v>
          </cell>
          <cell r="AL32">
            <v>5.5826661533957801E-2</v>
          </cell>
          <cell r="AM32">
            <v>5.4893702342089623E-2</v>
          </cell>
          <cell r="AN32">
            <v>5.3997744491672078E-2</v>
          </cell>
          <cell r="AO32">
            <v>5.3136510086736734E-2</v>
          </cell>
          <cell r="AP32">
            <v>5.2307909131832343E-2</v>
          </cell>
          <cell r="AQ32">
            <v>5.151002027178242E-2</v>
          </cell>
          <cell r="AR32">
            <v>5.0741073874683164E-2</v>
          </cell>
          <cell r="AS32">
            <v>4.9999437130038009E-2</v>
          </cell>
          <cell r="AT32">
            <v>4.9283600885644756E-2</v>
          </cell>
          <cell r="AU32">
            <v>4.8592167989541787E-2</v>
          </cell>
          <cell r="AV32">
            <v>4.792384293870907E-2</v>
          </cell>
          <cell r="AW32">
            <v>4.7277422665668332E-2</v>
          </cell>
          <cell r="AX32">
            <v>4.6651788318728585E-2</v>
          </cell>
          <cell r="AY32">
            <v>4.6045897912250479E-2</v>
          </cell>
          <cell r="AZ32">
            <v>4.5458779740657491E-2</v>
          </cell>
          <cell r="BA32">
            <v>4.4889526464573996E-2</v>
          </cell>
          <cell r="BB32">
            <v>4.4337289789879532E-2</v>
          </cell>
          <cell r="BC32">
            <v>4.3801275671011129E-2</v>
          </cell>
          <cell r="BD32">
            <v>4.3280739978831084E-2</v>
          </cell>
          <cell r="BE32">
            <v>4.2774984581055248E-2</v>
          </cell>
          <cell r="BF32">
            <v>4.228335378981702E-2</v>
          </cell>
          <cell r="BG32">
            <v>4.1805231136599265E-2</v>
          </cell>
          <cell r="BH32">
            <v>4.1340036439635609E-2</v>
          </cell>
          <cell r="BI32">
            <v>4.0887223133093689E-2</v>
          </cell>
        </row>
        <row r="33">
          <cell r="A33" t="str">
            <v xml:space="preserve">   Average Yearly Branded % of Molecule</v>
          </cell>
          <cell r="M33">
            <v>0.26997209073274336</v>
          </cell>
          <cell r="Y33">
            <v>0.10294358510740582</v>
          </cell>
          <cell r="AK33">
            <v>6.4776018410941452E-2</v>
          </cell>
          <cell r="AW33">
            <v>5.1290841111863016E-2</v>
          </cell>
          <cell r="BI33">
            <v>4.362967724634443E-2</v>
          </cell>
        </row>
        <row r="35">
          <cell r="A35" t="str">
            <v>PEPCID 4/15/01</v>
          </cell>
          <cell r="B35">
            <v>15</v>
          </cell>
          <cell r="C35" t="str">
            <v>Forecasted for months 26-60</v>
          </cell>
        </row>
        <row r="36">
          <cell r="A36" t="str">
            <v xml:space="preserve">   Branded TRx's</v>
          </cell>
          <cell r="B36">
            <v>574.03600000000006</v>
          </cell>
          <cell r="C36">
            <v>293.10000000000002</v>
          </cell>
          <cell r="D36">
            <v>183.41</v>
          </cell>
          <cell r="E36">
            <v>140.047</v>
          </cell>
          <cell r="F36">
            <v>118.348</v>
          </cell>
          <cell r="G36">
            <v>94.828999999999994</v>
          </cell>
          <cell r="H36">
            <v>94.265999999999991</v>
          </cell>
          <cell r="I36">
            <v>82.272999999999996</v>
          </cell>
          <cell r="J36">
            <v>78.878</v>
          </cell>
          <cell r="K36">
            <v>70.634</v>
          </cell>
          <cell r="L36">
            <v>58.056000000000004</v>
          </cell>
          <cell r="M36">
            <v>59.138999999999996</v>
          </cell>
          <cell r="N36">
            <v>54.892999999999994</v>
          </cell>
          <cell r="O36">
            <v>52.558</v>
          </cell>
          <cell r="P36">
            <v>48.529000000000003</v>
          </cell>
          <cell r="Q36">
            <v>48.827999999999996</v>
          </cell>
          <cell r="R36">
            <v>46.024999999999999</v>
          </cell>
          <cell r="S36">
            <v>42.443000000000005</v>
          </cell>
          <cell r="T36">
            <v>42.917000000000002</v>
          </cell>
          <cell r="U36">
            <v>39.351000000000006</v>
          </cell>
          <cell r="V36">
            <v>40.698999999999998</v>
          </cell>
          <cell r="W36">
            <v>38.749000000000002</v>
          </cell>
          <cell r="X36">
            <v>33.748999999999995</v>
          </cell>
          <cell r="Y36">
            <v>35.341999999999999</v>
          </cell>
          <cell r="Z36">
            <v>32.942999999999998</v>
          </cell>
          <cell r="AA36">
            <v>32.14</v>
          </cell>
          <cell r="AB36" t="str">
            <v>R2 = 0.9955</v>
          </cell>
        </row>
        <row r="37">
          <cell r="A37" t="str">
            <v xml:space="preserve">   Generic TRx's</v>
          </cell>
          <cell r="B37">
            <v>59.12</v>
          </cell>
          <cell r="C37">
            <v>379.79700000000003</v>
          </cell>
          <cell r="D37">
            <v>467.77499999999998</v>
          </cell>
          <cell r="E37">
            <v>524.54899999999998</v>
          </cell>
          <cell r="F37">
            <v>559.18299999999999</v>
          </cell>
          <cell r="G37">
            <v>531.56700000000001</v>
          </cell>
          <cell r="H37">
            <v>592.29700000000003</v>
          </cell>
          <cell r="I37">
            <v>571.16899999999998</v>
          </cell>
          <cell r="J37">
            <v>577.95799999999997</v>
          </cell>
          <cell r="K37">
            <v>615.47299999999996</v>
          </cell>
          <cell r="L37">
            <v>572.87599999999998</v>
          </cell>
          <cell r="M37">
            <v>615.75199999999995</v>
          </cell>
          <cell r="N37">
            <v>621.19299999999998</v>
          </cell>
          <cell r="O37">
            <v>618.83399999999995</v>
          </cell>
          <cell r="P37">
            <v>579.52599999999995</v>
          </cell>
          <cell r="Q37">
            <v>618.101</v>
          </cell>
          <cell r="R37">
            <v>612.346</v>
          </cell>
          <cell r="S37">
            <v>578.42100000000005</v>
          </cell>
          <cell r="T37">
            <v>607.79999999999995</v>
          </cell>
          <cell r="U37">
            <v>581.49</v>
          </cell>
          <cell r="V37">
            <v>613.08900000000006</v>
          </cell>
          <cell r="W37">
            <v>618.12800000000004</v>
          </cell>
          <cell r="X37">
            <v>563.03800000000001</v>
          </cell>
          <cell r="Y37">
            <v>615.85699999999997</v>
          </cell>
          <cell r="Z37">
            <v>601.38</v>
          </cell>
          <cell r="AA37">
            <v>605.11800000000005</v>
          </cell>
          <cell r="AB37" t="str">
            <v>= 0.59089556740x-0.76280190096</v>
          </cell>
        </row>
        <row r="38">
          <cell r="A38" t="str">
            <v xml:space="preserve">   Year-end Branded % of Molecule</v>
          </cell>
          <cell r="B38">
            <v>0.66393630273809723</v>
          </cell>
          <cell r="C38">
            <v>0.35987952407781393</v>
          </cell>
          <cell r="D38">
            <v>0.24582890313813618</v>
          </cell>
          <cell r="E38">
            <v>0.19252648966901048</v>
          </cell>
          <cell r="F38">
            <v>0.16348844682255984</v>
          </cell>
          <cell r="G38">
            <v>0.14402201439648915</v>
          </cell>
          <cell r="H38">
            <v>0.13174503080212388</v>
          </cell>
          <cell r="I38">
            <v>0.12298993038118629</v>
          </cell>
          <cell r="J38">
            <v>0.11133160528778958</v>
          </cell>
          <cell r="K38">
            <v>9.7711609147489178E-2</v>
          </cell>
          <cell r="L38">
            <v>8.9747998005855298E-2</v>
          </cell>
          <cell r="M38">
            <v>8.4407062444438352E-2</v>
          </cell>
          <cell r="N38">
            <v>7.9742303770451176E-2</v>
          </cell>
          <cell r="O38">
            <v>7.7792322426386007E-2</v>
          </cell>
          <cell r="P38">
            <v>7.5180079444997008E-2</v>
          </cell>
          <cell r="Q38">
            <v>7.15709650645137E-2</v>
          </cell>
          <cell r="R38">
            <v>6.9156957087634405E-2</v>
          </cell>
          <cell r="S38">
            <v>6.7129030710587845E-2</v>
          </cell>
          <cell r="T38">
            <v>6.4698582369030755E-2</v>
          </cell>
          <cell r="U38">
            <v>6.2802588047188634E-2</v>
          </cell>
          <cell r="V38">
            <v>6.0616557243841872E-2</v>
          </cell>
          <cell r="W38">
            <v>5.7828891951910551E-2</v>
          </cell>
          <cell r="X38">
            <v>5.5361999253196736E-2</v>
          </cell>
          <cell r="Y38">
            <v>5.3118499722291809E-2</v>
          </cell>
          <cell r="Z38">
            <v>5.1182740226536884E-2</v>
          </cell>
          <cell r="AA38">
            <v>5.0717686642164056E-2</v>
          </cell>
          <cell r="AB38">
            <v>4.9222806565436872E-2</v>
          </cell>
          <cell r="AC38">
            <v>4.7825963918597426E-2</v>
          </cell>
          <cell r="AD38">
            <v>4.6517443074533496E-2</v>
          </cell>
          <cell r="AE38">
            <v>4.5288794355872762E-2</v>
          </cell>
          <cell r="AF38">
            <v>4.4132632226977747E-2</v>
          </cell>
          <cell r="AG38">
            <v>4.3042471151330725E-2</v>
          </cell>
          <cell r="AH38">
            <v>4.2012591123229685E-2</v>
          </cell>
          <cell r="AI38">
            <v>4.103792676963422E-2</v>
          </cell>
          <cell r="AJ38">
            <v>4.0113975316806126E-2</v>
          </cell>
          <cell r="AK38">
            <v>3.92367197637278E-2</v>
          </cell>
          <cell r="AL38">
            <v>3.8402564395799324E-2</v>
          </cell>
          <cell r="AM38">
            <v>3.7608280375742285E-2</v>
          </cell>
          <cell r="AN38">
            <v>3.6850959612458593E-2</v>
          </cell>
          <cell r="AO38">
            <v>3.6127975467864976E-2</v>
          </cell>
          <cell r="AP38">
            <v>3.5436949142045544E-2</v>
          </cell>
          <cell r="AQ38">
            <v>3.4775720797293228E-2</v>
          </cell>
          <cell r="AR38">
            <v>3.4142324655754522E-2</v>
          </cell>
          <cell r="AS38">
            <v>3.3534967443945622E-2</v>
          </cell>
          <cell r="AT38">
            <v>3.2952009668291336E-2</v>
          </cell>
          <cell r="AU38">
            <v>3.2391949295067751E-2</v>
          </cell>
          <cell r="AV38">
            <v>3.1853407480318244E-2</v>
          </cell>
          <cell r="AW38">
            <v>3.133511605400472E-2</v>
          </cell>
          <cell r="AX38">
            <v>3.0835906510606578E-2</v>
          </cell>
          <cell r="AY38">
            <v>3.0354700297734623E-2</v>
          </cell>
          <cell r="AZ38">
            <v>2.989050022676594E-2</v>
          </cell>
          <cell r="BA38">
            <v>2.9442382856359386E-2</v>
          </cell>
          <cell r="BB38">
            <v>2.9009491722027599E-2</v>
          </cell>
          <cell r="BC38">
            <v>2.859103130356043E-2</v>
          </cell>
          <cell r="BD38">
            <v>2.8186261637684579E-2</v>
          </cell>
          <cell r="BE38">
            <v>2.779449349644553E-2</v>
          </cell>
          <cell r="BF38">
            <v>2.7415084062844139E-2</v>
          </cell>
          <cell r="BG38">
            <v>2.7047433044604784E-2</v>
          </cell>
          <cell r="BH38">
            <v>2.6690979174881606E-2</v>
          </cell>
          <cell r="BI38">
            <v>2.6345197055459346E-2</v>
          </cell>
        </row>
        <row r="39">
          <cell r="A39" t="str">
            <v xml:space="preserve">   Average Yearly Branded % of Molecule</v>
          </cell>
          <cell r="M39">
            <v>0.20003088458828805</v>
          </cell>
          <cell r="Y39">
            <v>6.6369987574091904E-2</v>
          </cell>
          <cell r="AK39">
            <v>4.5027645927903981E-2</v>
          </cell>
          <cell r="AW39">
            <v>3.4617685365715509E-2</v>
          </cell>
          <cell r="BI39">
            <v>2.8466955115747875E-2</v>
          </cell>
        </row>
        <row r="41">
          <cell r="A41" t="str">
            <v>PROZAC 8/2/01</v>
          </cell>
          <cell r="B41">
            <v>2</v>
          </cell>
          <cell r="C41" t="str">
            <v>Forecasted for months 22-60</v>
          </cell>
        </row>
        <row r="42">
          <cell r="A42" t="str">
            <v xml:space="preserve">   Branded TRx's</v>
          </cell>
          <cell r="B42">
            <v>1176.2449999999999</v>
          </cell>
          <cell r="C42">
            <v>582.67499999999995</v>
          </cell>
          <cell r="D42">
            <v>516.56799999999998</v>
          </cell>
          <cell r="E42">
            <v>435.44099999999997</v>
          </cell>
          <cell r="F42">
            <v>408.476</v>
          </cell>
          <cell r="G42">
            <v>371.87799999999999</v>
          </cell>
          <cell r="H42">
            <v>308.55799999999999</v>
          </cell>
          <cell r="I42">
            <v>307.24700000000001</v>
          </cell>
          <cell r="J42">
            <v>289.3</v>
          </cell>
          <cell r="K42">
            <v>275.83300000000003</v>
          </cell>
          <cell r="L42">
            <v>248.92</v>
          </cell>
          <cell r="M42">
            <v>252.89</v>
          </cell>
          <cell r="N42">
            <v>237.244</v>
          </cell>
          <cell r="O42">
            <v>219.20099999999999</v>
          </cell>
          <cell r="P42">
            <v>222.887</v>
          </cell>
          <cell r="Q42">
            <v>206.48</v>
          </cell>
          <cell r="R42">
            <v>210.60499999999999</v>
          </cell>
          <cell r="S42">
            <v>180.77699999999999</v>
          </cell>
          <cell r="T42">
            <v>154.51900000000001</v>
          </cell>
          <cell r="U42">
            <v>162.34299999999999</v>
          </cell>
          <cell r="V42">
            <v>153.209</v>
          </cell>
          <cell r="W42">
            <v>152.15199999999999</v>
          </cell>
          <cell r="X42" t="str">
            <v>R2 = 0.9833</v>
          </cell>
        </row>
        <row r="43">
          <cell r="A43" t="str">
            <v xml:space="preserve">   Generic TRx's</v>
          </cell>
          <cell r="B43">
            <v>1070.8810000000001</v>
          </cell>
          <cell r="C43">
            <v>1547.3820000000001</v>
          </cell>
          <cell r="D43">
            <v>1815.172</v>
          </cell>
          <cell r="E43">
            <v>1768.17</v>
          </cell>
          <cell r="F43">
            <v>1829.816</v>
          </cell>
          <cell r="G43">
            <v>1939.3630000000001</v>
          </cell>
          <cell r="H43">
            <v>1769.1759999999999</v>
          </cell>
          <cell r="I43">
            <v>1946.3150000000001</v>
          </cell>
          <cell r="J43">
            <v>1991.415</v>
          </cell>
          <cell r="K43">
            <v>2000.2339999999999</v>
          </cell>
          <cell r="L43">
            <v>1883.163</v>
          </cell>
          <cell r="M43">
            <v>2009.5530000000001</v>
          </cell>
          <cell r="N43">
            <v>1982.239</v>
          </cell>
          <cell r="O43">
            <v>1899.384</v>
          </cell>
          <cell r="P43">
            <v>2007.93</v>
          </cell>
          <cell r="Q43">
            <v>1915.3330000000001</v>
          </cell>
          <cell r="R43">
            <v>2026.8710000000001</v>
          </cell>
          <cell r="S43">
            <v>2060.8429999999998</v>
          </cell>
          <cell r="T43">
            <v>1874.703</v>
          </cell>
          <cell r="U43">
            <v>2044.4079999999999</v>
          </cell>
          <cell r="V43">
            <v>2000.9269999999999</v>
          </cell>
          <cell r="W43">
            <v>2041.9549999999999</v>
          </cell>
          <cell r="X43" t="str">
            <v>= 0.45517246722x-0.58287638336</v>
          </cell>
        </row>
        <row r="44">
          <cell r="A44" t="str">
            <v xml:space="preserve">   Year-end Branded % of Molecule</v>
          </cell>
          <cell r="B44">
            <v>0.50759737600268839</v>
          </cell>
          <cell r="C44">
            <v>0.26977708571559733</v>
          </cell>
          <cell r="D44">
            <v>0.22002408691168848</v>
          </cell>
          <cell r="E44">
            <v>0.19658134949765246</v>
          </cell>
          <cell r="F44">
            <v>0.18101115841914228</v>
          </cell>
          <cell r="G44">
            <v>0.16015195886709574</v>
          </cell>
          <cell r="H44">
            <v>0.14763202464386424</v>
          </cell>
          <cell r="I44">
            <v>0.13569845958610885</v>
          </cell>
          <cell r="J44">
            <v>0.12646972057041209</v>
          </cell>
          <cell r="K44">
            <v>0.12091006444358758</v>
          </cell>
          <cell r="L44">
            <v>0.11639935157398702</v>
          </cell>
          <cell r="M44">
            <v>0.11145745881570562</v>
          </cell>
          <cell r="N44">
            <v>0.10667289278738823</v>
          </cell>
          <cell r="O44">
            <v>0.1032172173177222</v>
          </cell>
          <cell r="P44">
            <v>9.9747337973140907E-2</v>
          </cell>
          <cell r="Q44">
            <v>9.7089778253404868E-2</v>
          </cell>
          <cell r="R44">
            <v>9.32258989407347E-2</v>
          </cell>
          <cell r="S44">
            <v>8.0372467272291165E-2</v>
          </cell>
          <cell r="T44">
            <v>7.5960926002435536E-2</v>
          </cell>
          <cell r="U44">
            <v>7.3407264744550837E-2</v>
          </cell>
          <cell r="V44">
            <v>7.1002634117551464E-2</v>
          </cell>
          <cell r="W44">
            <v>6.9718778239469287E-2</v>
          </cell>
          <cell r="X44">
            <v>6.8143029368185601E-2</v>
          </cell>
          <cell r="Y44">
            <v>6.6660389994437602E-2</v>
          </cell>
          <cell r="Z44">
            <v>6.5262205257058239E-2</v>
          </cell>
          <cell r="AA44">
            <v>6.3940897547925993E-2</v>
          </cell>
          <cell r="AB44">
            <v>6.2689800756616385E-2</v>
          </cell>
          <cell r="AC44">
            <v>6.1503024576596774E-2</v>
          </cell>
          <cell r="AD44">
            <v>6.0375342646467683E-2</v>
          </cell>
          <cell r="AE44">
            <v>5.9302099740059497E-2</v>
          </cell>
          <cell r="AF44">
            <v>5.8279134293542742E-2</v>
          </cell>
          <cell r="AG44">
            <v>5.7302713366939782E-2</v>
          </cell>
          <cell r="AH44">
            <v>5.6369477752543272E-2</v>
          </cell>
          <cell r="AI44">
            <v>5.5476395414324725E-2</v>
          </cell>
          <cell r="AJ44">
            <v>5.4620721806867022E-2</v>
          </cell>
          <cell r="AK44">
            <v>5.3799965906146968E-2</v>
          </cell>
          <cell r="AL44">
            <v>5.3011861007058798E-2</v>
          </cell>
          <cell r="AM44">
            <v>5.2254339518294564E-2</v>
          </cell>
          <cell r="AN44">
            <v>5.1525511124824619E-2</v>
          </cell>
          <cell r="AO44">
            <v>5.0823643799838662E-2</v>
          </cell>
          <cell r="AP44">
            <v>5.0147147237742322E-2</v>
          </cell>
          <cell r="AQ44">
            <v>4.9494558352343336E-2</v>
          </cell>
          <cell r="AR44">
            <v>4.8864528543299535E-2</v>
          </cell>
          <cell r="AS44">
            <v>4.8255812482027774E-2</v>
          </cell>
          <cell r="AT44">
            <v>4.7667258207754512E-2</v>
          </cell>
          <cell r="AU44">
            <v>4.7097798356924514E-2</v>
          </cell>
          <cell r="AV44">
            <v>4.6546442376110275E-2</v>
          </cell>
          <cell r="AW44">
            <v>4.6012269590940909E-2</v>
          </cell>
          <cell r="AX44">
            <v>4.5494423022235483E-2</v>
          </cell>
          <cell r="AY44">
            <v>4.4992103856158573E-2</v>
          </cell>
          <cell r="AZ44">
            <v>4.4504566488351986E-2</v>
          </cell>
          <cell r="BA44">
            <v>4.4031114073076659E-2</v>
          </cell>
          <cell r="BB44">
            <v>4.3571094517772579E-2</v>
          </cell>
          <cell r="BC44">
            <v>4.3123896871402445E-2</v>
          </cell>
          <cell r="BD44">
            <v>4.2688948061720418E-2</v>
          </cell>
          <cell r="BE44">
            <v>4.2265709942393877E-2</v>
          </cell>
          <cell r="BF44">
            <v>4.1853676615861091E-2</v>
          </cell>
          <cell r="BG44">
            <v>4.1452372002064461E-2</v>
          </cell>
          <cell r="BH44">
            <v>4.1061347626863538E-2</v>
          </cell>
          <cell r="BI44">
            <v>4.0680180607094878E-2</v>
          </cell>
        </row>
        <row r="45">
          <cell r="A45" t="str">
            <v xml:space="preserve">   Average Yearly Branded % of Molecule</v>
          </cell>
          <cell r="M45">
            <v>0.19113277428434133</v>
          </cell>
          <cell r="Y45">
            <v>8.3768217917609369E-2</v>
          </cell>
          <cell r="AK45">
            <v>5.9076814922090763E-2</v>
          </cell>
          <cell r="AW45">
            <v>4.9308430883096659E-2</v>
          </cell>
          <cell r="BI45">
            <v>4.2976619473749665E-2</v>
          </cell>
        </row>
        <row r="47">
          <cell r="A47" t="str">
            <v>MEVACOR 12/15/01</v>
          </cell>
          <cell r="B47">
            <v>15</v>
          </cell>
          <cell r="C47" t="str">
            <v>Forecasted for months 18-60</v>
          </cell>
        </row>
        <row r="48">
          <cell r="A48" t="str">
            <v xml:space="preserve">   Branded TRx's</v>
          </cell>
          <cell r="B48">
            <v>151.43</v>
          </cell>
          <cell r="C48">
            <v>81.44</v>
          </cell>
          <cell r="D48">
            <v>56.701000000000001</v>
          </cell>
          <cell r="E48">
            <v>51.098999999999997</v>
          </cell>
          <cell r="F48">
            <v>42.82</v>
          </cell>
          <cell r="G48">
            <v>37.920999999999999</v>
          </cell>
          <cell r="H48">
            <v>31.747</v>
          </cell>
          <cell r="I48">
            <v>30.692</v>
          </cell>
          <cell r="J48">
            <v>27.026</v>
          </cell>
          <cell r="K48">
            <v>23.849</v>
          </cell>
          <cell r="L48">
            <v>24.084</v>
          </cell>
          <cell r="M48">
            <v>21.477</v>
          </cell>
          <cell r="N48">
            <v>21.048999999999999</v>
          </cell>
          <cell r="O48">
            <v>19.702999999999999</v>
          </cell>
          <cell r="P48">
            <v>17.46</v>
          </cell>
          <cell r="Q48">
            <v>18.433</v>
          </cell>
          <cell r="R48">
            <v>16.870999999999999</v>
          </cell>
          <cell r="S48">
            <v>16.355</v>
          </cell>
          <cell r="T48" t="str">
            <v>R2 = 0.9691</v>
          </cell>
        </row>
        <row r="49">
          <cell r="A49" t="str">
            <v xml:space="preserve">   Generic TRx's</v>
          </cell>
          <cell r="B49">
            <v>9.7439999999999998</v>
          </cell>
          <cell r="C49">
            <v>103.503</v>
          </cell>
          <cell r="D49">
            <v>103.121</v>
          </cell>
          <cell r="E49">
            <v>132.149</v>
          </cell>
          <cell r="F49">
            <v>163.30099999999999</v>
          </cell>
          <cell r="G49">
            <v>178.71299999999999</v>
          </cell>
          <cell r="H49">
            <v>178.78100000000001</v>
          </cell>
          <cell r="I49">
            <v>190.23099999999999</v>
          </cell>
          <cell r="J49">
            <v>197.21100000000001</v>
          </cell>
          <cell r="K49">
            <v>199.31200000000001</v>
          </cell>
          <cell r="L49">
            <v>246.36</v>
          </cell>
          <cell r="M49">
            <v>225.60300000000001</v>
          </cell>
          <cell r="N49">
            <v>256.565</v>
          </cell>
          <cell r="O49">
            <v>286.35500000000002</v>
          </cell>
          <cell r="P49">
            <v>287.459</v>
          </cell>
          <cell r="Q49">
            <v>354.72800000000001</v>
          </cell>
          <cell r="R49">
            <v>381.05099999999999</v>
          </cell>
          <cell r="S49">
            <v>405.79500000000002</v>
          </cell>
          <cell r="T49" t="str">
            <v>= 0.85295198331x-0.97807344963</v>
          </cell>
        </row>
        <row r="50">
          <cell r="A50" t="str">
            <v xml:space="preserve">   Year-end Branded % of Molecule</v>
          </cell>
          <cell r="B50">
            <v>0.67280717214121255</v>
          </cell>
          <cell r="C50">
            <v>0.40068162371470423</v>
          </cell>
          <cell r="D50">
            <v>0.31422158743113654</v>
          </cell>
          <cell r="E50">
            <v>0.24120821123407357</v>
          </cell>
          <cell r="F50">
            <v>0.19098768790434176</v>
          </cell>
          <cell r="G50">
            <v>0.16309503186144833</v>
          </cell>
          <cell r="H50">
            <v>0.14471863548815508</v>
          </cell>
          <cell r="I50">
            <v>0.12965675262826848</v>
          </cell>
          <cell r="J50">
            <v>0.11371306979467945</v>
          </cell>
          <cell r="K50">
            <v>9.7108011466658553E-2</v>
          </cell>
          <cell r="L50">
            <v>8.8036496858116708E-2</v>
          </cell>
          <cell r="M50">
            <v>8.1049144834894254E-2</v>
          </cell>
          <cell r="N50">
            <v>6.9820035910579906E-2</v>
          </cell>
          <cell r="O50">
            <v>6.0825530257276474E-2</v>
          </cell>
          <cell r="P50">
            <v>5.293328220858895E-2</v>
          </cell>
          <cell r="Q50">
            <v>4.5784954408280301E-2</v>
          </cell>
          <cell r="R50">
            <v>4.0515954696660778E-2</v>
          </cell>
          <cell r="S50">
            <v>3.8104530331464999E-2</v>
          </cell>
          <cell r="T50">
            <v>3.661310631704412E-2</v>
          </cell>
          <cell r="U50">
            <v>3.523519828236877E-2</v>
          </cell>
          <cell r="V50">
            <v>3.3958280307989787E-2</v>
          </cell>
          <cell r="W50">
            <v>3.2771606801952777E-2</v>
          </cell>
          <cell r="X50">
            <v>3.1665906772929846E-2</v>
          </cell>
          <cell r="Y50">
            <v>3.0633139048509003E-2</v>
          </cell>
          <cell r="Z50">
            <v>2.9666294714848714E-2</v>
          </cell>
          <cell r="AA50">
            <v>2.8759236476686018E-2</v>
          </cell>
          <cell r="AB50">
            <v>2.7906567127927363E-2</v>
          </cell>
          <cell r="AC50">
            <v>2.710352115622865E-2</v>
          </cell>
          <cell r="AD50">
            <v>2.6345874867753194E-2</v>
          </cell>
          <cell r="AE50">
            <v>2.5629871441103291E-2</v>
          </cell>
          <cell r="AF50">
            <v>2.4952158093966798E-2</v>
          </cell>
          <cell r="AG50">
            <v>2.4309733137511325E-2</v>
          </cell>
          <cell r="AH50">
            <v>2.3699901148845227E-2</v>
          </cell>
          <cell r="AI50">
            <v>2.3120234844931215E-2</v>
          </cell>
          <cell r="AJ50">
            <v>2.2568542517070075E-2</v>
          </cell>
          <cell r="AK50">
            <v>2.20428401018463E-2</v>
          </cell>
          <cell r="AL50">
            <v>2.1541327135928521E-2</v>
          </cell>
          <cell r="AM50">
            <v>2.1062365978615629E-2</v>
          </cell>
          <cell r="AN50">
            <v>2.060446379527758E-2</v>
          </cell>
          <cell r="AO50">
            <v>2.0166256882767401E-2</v>
          </cell>
          <cell r="AP50">
            <v>1.9746496989009536E-2</v>
          </cell>
          <cell r="AQ50">
            <v>1.934403933678959E-2</v>
          </cell>
          <cell r="AR50">
            <v>1.8957832108995064E-2</v>
          </cell>
          <cell r="AS50">
            <v>1.858690719129856E-2</v>
          </cell>
          <cell r="AT50">
            <v>1.8230372000196123E-2</v>
          </cell>
          <cell r="AU50">
            <v>1.7887402250721229E-2</v>
          </cell>
          <cell r="AV50">
            <v>1.7557235540088749E-2</v>
          </cell>
          <cell r="AW50">
            <v>1.7239165641809565E-2</v>
          </cell>
          <cell r="AX50">
            <v>1.6932537420117098E-2</v>
          </cell>
          <cell r="AY50">
            <v>1.6636742287394111E-2</v>
          </cell>
          <cell r="AZ50">
            <v>1.6351214138111358E-2</v>
          </cell>
          <cell r="BA50">
            <v>1.6075425701936909E-2</v>
          </cell>
          <cell r="BB50">
            <v>1.580888526643064E-2</v>
          </cell>
          <cell r="BC50">
            <v>1.5551133726332459E-2</v>
          </cell>
          <cell r="BD50">
            <v>1.5301741922076777E-2</v>
          </cell>
          <cell r="BE50">
            <v>1.5060308234975247E-2</v>
          </cell>
          <cell r="BF50">
            <v>1.4826456410633213E-2</v>
          </cell>
          <cell r="BG50">
            <v>1.459983358571054E-2</v>
          </cell>
          <cell r="BH50">
            <v>1.4380108496193337E-2</v>
          </cell>
          <cell r="BI50">
            <v>1.416696984798216E-2</v>
          </cell>
        </row>
        <row r="51">
          <cell r="A51" t="str">
            <v xml:space="preserve">   Average Yearly Branded % of Molecule</v>
          </cell>
          <cell r="M51">
            <v>0.2006968539295198</v>
          </cell>
          <cell r="Y51">
            <v>4.2405127111970475E-2</v>
          </cell>
          <cell r="AK51">
            <v>2.5508731302393187E-2</v>
          </cell>
          <cell r="AW51">
            <v>1.924365540429146E-2</v>
          </cell>
          <cell r="BI51">
            <v>1.5474279753157821E-2</v>
          </cell>
        </row>
        <row r="53">
          <cell r="A53" t="str">
            <v>PRINIVIL/ZESTRIL 6/29/02</v>
          </cell>
          <cell r="B53">
            <v>29</v>
          </cell>
          <cell r="C53" t="str">
            <v>Forecasted for months 12-60</v>
          </cell>
        </row>
        <row r="54">
          <cell r="A54" t="str">
            <v xml:space="preserve">   Branded TRx's</v>
          </cell>
          <cell r="B54">
            <v>3714.5920000000001</v>
          </cell>
          <cell r="C54">
            <v>1971.3739999999998</v>
          </cell>
          <cell r="D54">
            <v>821.82799999999997</v>
          </cell>
          <cell r="E54">
            <v>613.09400000000005</v>
          </cell>
          <cell r="F54">
            <v>497.88400000000001</v>
          </cell>
          <cell r="G54">
            <v>405.40599999999995</v>
          </cell>
          <cell r="H54">
            <v>389.84800000000001</v>
          </cell>
          <cell r="I54">
            <v>338.67700000000002</v>
          </cell>
          <cell r="J54">
            <v>283.30399999999997</v>
          </cell>
          <cell r="K54">
            <v>288.358</v>
          </cell>
          <cell r="L54">
            <v>250.44400000000002</v>
          </cell>
          <cell r="M54">
            <v>234.19799999999998</v>
          </cell>
          <cell r="N54" t="str">
            <v>R2 = 0.9882</v>
          </cell>
        </row>
        <row r="55">
          <cell r="A55" t="str">
            <v xml:space="preserve">   Generic TRx's</v>
          </cell>
          <cell r="B55">
            <v>0.184</v>
          </cell>
          <cell r="C55">
            <v>1968.787</v>
          </cell>
          <cell r="D55">
            <v>3185.203</v>
          </cell>
          <cell r="E55">
            <v>3175.989</v>
          </cell>
          <cell r="F55">
            <v>3562.9609999999998</v>
          </cell>
          <cell r="G55">
            <v>3455.2649999999999</v>
          </cell>
          <cell r="H55">
            <v>3745.27</v>
          </cell>
          <cell r="I55">
            <v>3821.3620000000001</v>
          </cell>
          <cell r="J55">
            <v>3532.7049999999999</v>
          </cell>
          <cell r="K55">
            <v>3889.2280000000001</v>
          </cell>
          <cell r="L55">
            <v>3844.616</v>
          </cell>
          <cell r="M55">
            <v>3966.692</v>
          </cell>
          <cell r="N55" t="str">
            <v>= 0.44641813651x-0.87299818562</v>
          </cell>
        </row>
        <row r="56">
          <cell r="A56" t="str">
            <v xml:space="preserve">   Year-end Branded % of Molecule</v>
          </cell>
          <cell r="B56">
            <v>0.51605970853651661</v>
          </cell>
          <cell r="C56">
            <v>0.2147787081608529</v>
          </cell>
          <cell r="D56">
            <v>0.16332849646253886</v>
          </cell>
          <cell r="E56">
            <v>0.1238279366957066</v>
          </cell>
          <cell r="F56">
            <v>0.10562511541083359</v>
          </cell>
          <cell r="G56">
            <v>9.4612084449511996E-2</v>
          </cell>
          <cell r="H56">
            <v>8.1838339282021527E-2</v>
          </cell>
          <cell r="I56">
            <v>7.4500719795374315E-2</v>
          </cell>
          <cell r="J56">
            <v>6.918430447039263E-2</v>
          </cell>
          <cell r="K56">
            <v>6.1424943266049227E-2</v>
          </cell>
          <cell r="L56">
            <v>5.5925487173015875E-2</v>
          </cell>
          <cell r="M56">
            <v>5.100568218572233E-2</v>
          </cell>
          <cell r="N56">
            <v>4.756322617701806E-2</v>
          </cell>
          <cell r="O56">
            <v>4.4583497445559395E-2</v>
          </cell>
          <cell r="P56">
            <v>4.1977473388070688E-2</v>
          </cell>
          <cell r="Q56">
            <v>3.9677771325156715E-2</v>
          </cell>
          <cell r="R56">
            <v>3.7632420634512373E-2</v>
          </cell>
          <cell r="S56">
            <v>3.5800674650451392E-2</v>
          </cell>
          <cell r="T56">
            <v>3.4150121783437147E-2</v>
          </cell>
          <cell r="U56">
            <v>3.2654647845607149E-2</v>
          </cell>
          <cell r="V56">
            <v>3.1292970085487724E-2</v>
          </cell>
          <cell r="W56">
            <v>3.0047563770579946E-2</v>
          </cell>
          <cell r="X56">
            <v>2.8903863667405997E-2</v>
          </cell>
          <cell r="Y56">
            <v>2.7849661472904935E-2</v>
          </cell>
          <cell r="Z56">
            <v>2.6874645180601103E-2</v>
          </cell>
          <cell r="AA56">
            <v>2.5970042764371769E-2</v>
          </cell>
          <cell r="AB56">
            <v>2.5128343559068143E-2</v>
          </cell>
          <cell r="AC56">
            <v>2.4343078220499012E-2</v>
          </cell>
          <cell r="AD56">
            <v>2.3608643349424519E-2</v>
          </cell>
          <cell r="AE56">
            <v>2.2920160524250201E-2</v>
          </cell>
          <cell r="AF56">
            <v>2.2273362097269947E-2</v>
          </cell>
          <cell r="AG56">
            <v>2.1664497994191477E-2</v>
          </cell>
          <cell r="AH56">
            <v>2.10902591337234E-2</v>
          </cell>
          <cell r="AI56">
            <v>2.0547714100969429E-2</v>
          </cell>
          <cell r="AJ56">
            <v>2.003425646703267E-2</v>
          </cell>
          <cell r="AK56">
            <v>1.9547560718554104E-2</v>
          </cell>
          <cell r="AL56">
            <v>1.9085545194974594E-2</v>
          </cell>
          <cell r="AM56">
            <v>1.8646340763841956E-2</v>
          </cell>
          <cell r="AN56">
            <v>1.8228264221232981E-2</v>
          </cell>
          <cell r="AO56">
            <v>1.7829795604060204E-2</v>
          </cell>
          <cell r="AP56">
            <v>1.7449558757444996E-2</v>
          </cell>
          <cell r="AQ56">
            <v>1.7086304623654791E-2</v>
          </cell>
          <cell r="AR56">
            <v>1.6738896816932428E-2</v>
          </cell>
          <cell r="AS56">
            <v>1.6406299126618069E-2</v>
          </cell>
          <cell r="AT56">
            <v>1.6087564653619983E-2</v>
          </cell>
          <cell r="AU56">
            <v>1.5781826335842672E-2</v>
          </cell>
          <cell r="AV56">
            <v>1.5488288659176503E-2</v>
          </cell>
          <cell r="AW56">
            <v>1.5206220384059785E-2</v>
          </cell>
          <cell r="AX56">
            <v>1.4934948144973535E-2</v>
          </cell>
          <cell r="AY56">
            <v>1.4673850802718708E-2</v>
          </cell>
          <cell r="AZ56">
            <v>1.4422354447897506E-2</v>
          </cell>
          <cell r="BA56">
            <v>1.417992796941895E-2</v>
          </cell>
          <cell r="BB56">
            <v>1.3946079114666703E-2</v>
          </cell>
          <cell r="BC56">
            <v>1.3720350978675747E-2</v>
          </cell>
          <cell r="BD56">
            <v>1.3502318868643988E-2</v>
          </cell>
          <cell r="BE56">
            <v>1.3291587497659537E-2</v>
          </cell>
          <cell r="BF56">
            <v>1.3087788467901682E-2</v>
          </cell>
          <cell r="BG56">
            <v>1.2890578008974638E-2</v>
          </cell>
          <cell r="BH56">
            <v>1.2699634941620318E-2</v>
          </cell>
          <cell r="BI56">
            <v>1.2514658840965136E-2</v>
          </cell>
        </row>
        <row r="57">
          <cell r="A57" t="str">
            <v xml:space="preserve">   Average Yearly Branded % of Molecule</v>
          </cell>
          <cell r="M57">
            <v>0.13434262715737805</v>
          </cell>
          <cell r="Y57">
            <v>3.6011157687182625E-2</v>
          </cell>
          <cell r="AK57">
            <v>2.2833547009162986E-2</v>
          </cell>
          <cell r="AW57">
            <v>1.7002908761788244E-2</v>
          </cell>
          <cell r="BI57">
            <v>1.3655339840343039E-2</v>
          </cell>
        </row>
        <row r="59">
          <cell r="A59" t="str">
            <v>PRILOSEC (omeprazole) 11/15/02</v>
          </cell>
          <cell r="B59">
            <v>15</v>
          </cell>
        </row>
        <row r="60">
          <cell r="A60" t="str">
            <v xml:space="preserve">   Branded TRx's</v>
          </cell>
          <cell r="B60">
            <v>2021.569</v>
          </cell>
          <cell r="C60">
            <v>1730.547</v>
          </cell>
          <cell r="D60">
            <v>1210.42</v>
          </cell>
          <cell r="E60">
            <v>985.51900000000001</v>
          </cell>
          <cell r="F60">
            <v>1001.407</v>
          </cell>
          <cell r="G60">
            <v>952.13099999999997</v>
          </cell>
          <cell r="H60">
            <v>887.84900000000005</v>
          </cell>
          <cell r="I60">
            <v>859.19</v>
          </cell>
          <cell r="J60">
            <v>880.97699999999998</v>
          </cell>
          <cell r="K60">
            <v>829.63300000000004</v>
          </cell>
          <cell r="L60">
            <v>719.24599999999998</v>
          </cell>
          <cell r="M60">
            <v>495.45699999999999</v>
          </cell>
          <cell r="N60">
            <v>413.363</v>
          </cell>
          <cell r="O60">
            <v>444.512</v>
          </cell>
          <cell r="P60">
            <v>388.18400000000003</v>
          </cell>
          <cell r="Q60">
            <v>349.55099999999999</v>
          </cell>
          <cell r="R60">
            <v>376.37900000000002</v>
          </cell>
          <cell r="S60">
            <v>342.48099999999999</v>
          </cell>
          <cell r="T60">
            <v>327.983</v>
          </cell>
          <cell r="U60">
            <v>351.03699999999998</v>
          </cell>
          <cell r="V60">
            <v>341.69499999999999</v>
          </cell>
          <cell r="W60">
            <v>320.791</v>
          </cell>
          <cell r="X60">
            <v>194.827</v>
          </cell>
          <cell r="Y60">
            <v>176.20500000000001</v>
          </cell>
          <cell r="Z60">
            <v>173.173</v>
          </cell>
          <cell r="AA60">
            <v>177.88900000000001</v>
          </cell>
          <cell r="AB60">
            <v>171.77500000000001</v>
          </cell>
        </row>
        <row r="61">
          <cell r="A61" t="str">
            <v xml:space="preserve">   Generic TRx's</v>
          </cell>
          <cell r="B61">
            <v>3.0000000000000001E-3</v>
          </cell>
          <cell r="C61">
            <v>444.80900000000003</v>
          </cell>
          <cell r="D61">
            <v>994.70500000000004</v>
          </cell>
          <cell r="E61">
            <v>979.87400000000002</v>
          </cell>
          <cell r="F61">
            <v>1119.701</v>
          </cell>
          <cell r="G61">
            <v>1124.971</v>
          </cell>
          <cell r="H61">
            <v>1186.529</v>
          </cell>
          <cell r="I61">
            <v>1185.125</v>
          </cell>
          <cell r="J61">
            <v>1219.9870000000001</v>
          </cell>
          <cell r="K61">
            <v>1217.123</v>
          </cell>
          <cell r="L61">
            <v>1171.7919999999999</v>
          </cell>
          <cell r="M61">
            <v>969.83199999999999</v>
          </cell>
          <cell r="N61">
            <v>842.12099999999998</v>
          </cell>
          <cell r="O61">
            <v>915.63099999999997</v>
          </cell>
          <cell r="P61">
            <v>851.22299999999996</v>
          </cell>
          <cell r="Q61">
            <v>786.66</v>
          </cell>
          <cell r="R61">
            <v>865.33199999999999</v>
          </cell>
          <cell r="S61">
            <v>810.3</v>
          </cell>
          <cell r="T61">
            <v>819.94399999999996</v>
          </cell>
          <cell r="U61">
            <v>864.94200000000001</v>
          </cell>
          <cell r="V61">
            <v>881.99900000000002</v>
          </cell>
          <cell r="W61">
            <v>944.45399999999995</v>
          </cell>
          <cell r="X61">
            <v>1080.7070000000001</v>
          </cell>
          <cell r="Y61">
            <v>1105.0050000000001</v>
          </cell>
          <cell r="Z61">
            <v>1113.5450000000001</v>
          </cell>
          <cell r="AA61">
            <v>1173.0909999999999</v>
          </cell>
          <cell r="AB61">
            <v>1126.0329999999999</v>
          </cell>
        </row>
        <row r="62">
          <cell r="A62" t="str">
            <v xml:space="preserve">   Year-end Branded % of Molecule</v>
          </cell>
          <cell r="B62">
            <v>0.89401486039312572</v>
          </cell>
          <cell r="C62">
            <v>0.67137992380288847</v>
          </cell>
          <cell r="D62">
            <v>0.52653866977675201</v>
          </cell>
          <cell r="E62">
            <v>0.48621693717926412</v>
          </cell>
          <cell r="F62">
            <v>0.46532641292360316</v>
          </cell>
          <cell r="G62">
            <v>0.44321061404607515</v>
          </cell>
          <cell r="H62">
            <v>0.42417315395927779</v>
          </cell>
          <cell r="I62">
            <v>0.41979490403420372</v>
          </cell>
          <cell r="J62">
            <v>0.41242176424638116</v>
          </cell>
          <cell r="K62">
            <v>0.39333672609588005</v>
          </cell>
          <cell r="L62">
            <v>0.36191437842617835</v>
          </cell>
          <cell r="M62">
            <v>0.33403007160097514</v>
          </cell>
          <cell r="N62">
            <v>0.32798063332424693</v>
          </cell>
          <cell r="O62">
            <v>0.32032313284991637</v>
          </cell>
          <cell r="P62">
            <v>0.31054445622149685</v>
          </cell>
          <cell r="Q62">
            <v>0.30527914708724679</v>
          </cell>
          <cell r="R62">
            <v>0.30021399110959651</v>
          </cell>
          <cell r="S62">
            <v>0.29141638139216275</v>
          </cell>
          <cell r="T62">
            <v>0.28724492429055981</v>
          </cell>
          <cell r="U62">
            <v>0.28394461060970055</v>
          </cell>
          <cell r="V62">
            <v>0.26617205162521063</v>
          </cell>
          <cell r="W62">
            <v>0.20293697326686028</v>
          </cell>
          <cell r="X62">
            <v>0.14511894816219376</v>
          </cell>
          <cell r="Y62">
            <v>0.13605443766336128</v>
          </cell>
          <cell r="Z62">
            <v>0.13309408431139577</v>
          </cell>
          <cell r="AA62">
            <v>0.132009054707285</v>
          </cell>
        </row>
        <row r="63">
          <cell r="A63" t="str">
            <v xml:space="preserve">   Average Yearly Branded % of Molecule</v>
          </cell>
          <cell r="M63">
            <v>0.48602986804038367</v>
          </cell>
          <cell r="Y63">
            <v>0.26476914063354606</v>
          </cell>
        </row>
        <row r="65">
          <cell r="A65" t="str">
            <v>RELAFEN (nabumetone) 8/15/01</v>
          </cell>
          <cell r="B65">
            <v>15</v>
          </cell>
        </row>
        <row r="66">
          <cell r="A66" t="str">
            <v xml:space="preserve">   Branded TRx's</v>
          </cell>
          <cell r="B66">
            <v>373.84</v>
          </cell>
          <cell r="C66">
            <v>260.40800000000002</v>
          </cell>
          <cell r="D66">
            <v>177.87</v>
          </cell>
          <cell r="E66">
            <v>115.01</v>
          </cell>
          <cell r="F66">
            <v>95.024000000000001</v>
          </cell>
          <cell r="G66">
            <v>73.974999999999994</v>
          </cell>
          <cell r="H66">
            <v>57.048000000000002</v>
          </cell>
          <cell r="I66">
            <v>52.353999999999999</v>
          </cell>
          <cell r="J66">
            <v>46.402999999999999</v>
          </cell>
          <cell r="K66">
            <v>41.97</v>
          </cell>
          <cell r="L66">
            <v>34.686</v>
          </cell>
          <cell r="M66">
            <v>33.941000000000003</v>
          </cell>
          <cell r="N66">
            <v>29.978999999999999</v>
          </cell>
          <cell r="O66">
            <v>26.847000000000001</v>
          </cell>
          <cell r="P66">
            <v>25.718</v>
          </cell>
          <cell r="Q66">
            <v>22.452999999999999</v>
          </cell>
          <cell r="R66">
            <v>23.091000000000001</v>
          </cell>
          <cell r="S66">
            <v>20.292999999999999</v>
          </cell>
          <cell r="T66">
            <v>17.558</v>
          </cell>
          <cell r="U66">
            <v>18.048999999999999</v>
          </cell>
          <cell r="V66">
            <v>17.28</v>
          </cell>
          <cell r="W66">
            <v>16.75</v>
          </cell>
          <cell r="X66">
            <v>15.923</v>
          </cell>
          <cell r="Y66">
            <v>15.367000000000001</v>
          </cell>
          <cell r="Z66">
            <v>14.462</v>
          </cell>
          <cell r="AA66">
            <v>13.849</v>
          </cell>
          <cell r="AB66">
            <v>13.555</v>
          </cell>
          <cell r="AC66">
            <v>11.058999999999999</v>
          </cell>
          <cell r="AD66">
            <v>11.616</v>
          </cell>
          <cell r="AE66">
            <v>10.384</v>
          </cell>
          <cell r="AF66">
            <v>9.1359999999999992</v>
          </cell>
          <cell r="AG66">
            <v>10.090999999999999</v>
          </cell>
          <cell r="AH66">
            <v>8.7530000000000001</v>
          </cell>
          <cell r="AI66">
            <v>8.4700000000000006</v>
          </cell>
          <cell r="AJ66">
            <v>8.6020000000000003</v>
          </cell>
          <cell r="AK66">
            <v>8.2379999999999995</v>
          </cell>
          <cell r="AL66">
            <v>8.1020000000000003</v>
          </cell>
          <cell r="AM66">
            <v>7.952</v>
          </cell>
          <cell r="AN66">
            <v>8.5449999999999999</v>
          </cell>
          <cell r="AO66">
            <v>8.5830000000000002</v>
          </cell>
          <cell r="AP66">
            <v>8.9269999999999996</v>
          </cell>
          <cell r="AQ66">
            <v>9.1419999999999995</v>
          </cell>
        </row>
        <row r="67">
          <cell r="A67" t="str">
            <v xml:space="preserve">   Generic TRx's</v>
          </cell>
          <cell r="B67">
            <v>7.1580000000000004</v>
          </cell>
          <cell r="C67">
            <v>95.894000000000005</v>
          </cell>
          <cell r="D67">
            <v>218.322</v>
          </cell>
          <cell r="E67">
            <v>250.96899999999999</v>
          </cell>
          <cell r="F67">
            <v>269.04899999999998</v>
          </cell>
          <cell r="G67">
            <v>299.51799999999997</v>
          </cell>
          <cell r="H67">
            <v>279.27199999999999</v>
          </cell>
          <cell r="I67">
            <v>301.73500000000001</v>
          </cell>
          <cell r="J67">
            <v>313.43</v>
          </cell>
          <cell r="K67">
            <v>312.65600000000001</v>
          </cell>
          <cell r="L67">
            <v>289.35599999999999</v>
          </cell>
          <cell r="M67">
            <v>302.49700000000001</v>
          </cell>
          <cell r="N67">
            <v>299.65800000000002</v>
          </cell>
          <cell r="O67">
            <v>285.22800000000001</v>
          </cell>
          <cell r="P67">
            <v>306.14299999999997</v>
          </cell>
          <cell r="Q67">
            <v>282.483</v>
          </cell>
          <cell r="R67">
            <v>292.93</v>
          </cell>
          <cell r="S67">
            <v>298.66300000000001</v>
          </cell>
          <cell r="T67">
            <v>268.96600000000001</v>
          </cell>
          <cell r="U67">
            <v>295.18099999999998</v>
          </cell>
          <cell r="V67">
            <v>290.34800000000001</v>
          </cell>
          <cell r="W67">
            <v>296.81799999999998</v>
          </cell>
          <cell r="X67">
            <v>291.33199999999999</v>
          </cell>
          <cell r="Y67">
            <v>298.483</v>
          </cell>
          <cell r="Z67">
            <v>289.976</v>
          </cell>
          <cell r="AA67">
            <v>294.84100000000001</v>
          </cell>
          <cell r="AB67">
            <v>307.37900000000002</v>
          </cell>
          <cell r="AC67">
            <v>278.584</v>
          </cell>
          <cell r="AD67">
            <v>304.99</v>
          </cell>
          <cell r="AE67">
            <v>295.88900000000001</v>
          </cell>
          <cell r="AF67">
            <v>276.74099999999999</v>
          </cell>
          <cell r="AG67">
            <v>314.94400000000002</v>
          </cell>
          <cell r="AH67">
            <v>294.11</v>
          </cell>
          <cell r="AI67">
            <v>288.036</v>
          </cell>
          <cell r="AJ67">
            <v>302.53199999999998</v>
          </cell>
          <cell r="AK67">
            <v>296.20600000000002</v>
          </cell>
          <cell r="AL67">
            <v>304.72899999999998</v>
          </cell>
          <cell r="AM67">
            <v>303.99299999999999</v>
          </cell>
          <cell r="AN67">
            <v>365.79700000000003</v>
          </cell>
          <cell r="AO67">
            <v>372.82900000000001</v>
          </cell>
          <cell r="AP67">
            <v>413.32299999999998</v>
          </cell>
          <cell r="AQ67">
            <v>463.517</v>
          </cell>
        </row>
        <row r="68">
          <cell r="A68" t="str">
            <v xml:space="preserve">   Year-end Branded % of Molecule</v>
          </cell>
          <cell r="B68">
            <v>0.8602305710023056</v>
          </cell>
          <cell r="C68">
            <v>0.58243387987146744</v>
          </cell>
          <cell r="D68">
            <v>0.38427072139979096</v>
          </cell>
          <cell r="E68">
            <v>0.2876973147118288</v>
          </cell>
          <cell r="F68">
            <v>0.22913068118649726</v>
          </cell>
          <cell r="G68">
            <v>0.18458805347323873</v>
          </cell>
          <cell r="H68">
            <v>0.15845969562969195</v>
          </cell>
          <cell r="I68">
            <v>0.13833023775706588</v>
          </cell>
          <cell r="J68">
            <v>0.12369219227415428</v>
          </cell>
          <cell r="K68">
            <v>0.11295066217944563</v>
          </cell>
          <cell r="L68">
            <v>0.10390473594961241</v>
          </cell>
          <cell r="M68">
            <v>9.5965169087565208E-2</v>
          </cell>
          <cell r="N68">
            <v>8.855374373550752E-2</v>
          </cell>
          <cell r="O68">
            <v>8.1630783183421957E-2</v>
          </cell>
          <cell r="P68">
            <v>7.5645770944272675E-2</v>
          </cell>
          <cell r="Q68">
            <v>7.3344853186291498E-2</v>
          </cell>
          <cell r="R68">
            <v>6.8323734560464394E-2</v>
          </cell>
          <cell r="S68">
            <v>6.2514038448833978E-2</v>
          </cell>
          <cell r="T68">
            <v>5.9369341429986303E-2</v>
          </cell>
          <cell r="U68">
            <v>5.690351094775295E-2</v>
          </cell>
          <cell r="V68">
            <v>5.4781421644698292E-2</v>
          </cell>
          <cell r="W68">
            <v>5.262852697145564E-2</v>
          </cell>
          <cell r="X68">
            <v>5.0377955418166011E-2</v>
          </cell>
          <cell r="Y68">
            <v>4.8244507414020657E-2</v>
          </cell>
          <cell r="Z68">
            <v>4.6174697616158458E-2</v>
          </cell>
          <cell r="AA68">
            <v>4.3524389159244246E-2</v>
          </cell>
          <cell r="AB68">
            <v>4.0312687834622003E-2</v>
          </cell>
          <cell r="AC68">
            <v>3.7402123549894514E-2</v>
          </cell>
          <cell r="AD68">
            <v>3.5319861481925056E-2</v>
          </cell>
          <cell r="AE68">
            <v>3.2964620450899262E-2</v>
          </cell>
          <cell r="AF68">
            <v>3.147261798753339E-2</v>
          </cell>
          <cell r="AG68">
            <v>3.0011243864449314E-2</v>
          </cell>
          <cell r="AH68">
            <v>2.8735219872899669E-2</v>
          </cell>
          <cell r="AI68">
            <v>2.8095582910934114E-2</v>
          </cell>
          <cell r="AJ68">
            <v>2.7356403250278605E-2</v>
          </cell>
          <cell r="AK68">
            <v>2.6471183832165564E-2</v>
          </cell>
          <cell r="AL68">
            <v>2.5695609306375405E-2</v>
          </cell>
          <cell r="AM68">
            <v>2.4038048221808078E-2</v>
          </cell>
          <cell r="AN68">
            <v>2.2663459273784856E-2</v>
          </cell>
          <cell r="AO68">
            <v>2.1787766498851505E-2</v>
          </cell>
          <cell r="AP68">
            <v>2.019087974308002E-2</v>
          </cell>
        </row>
        <row r="69">
          <cell r="A69" t="str">
            <v xml:space="preserve">   Average Yearly Branded % of Molecule</v>
          </cell>
          <cell r="M69">
            <v>0.27180449287688863</v>
          </cell>
          <cell r="Y69">
            <v>6.4359848990405977E-2</v>
          </cell>
        </row>
        <row r="71">
          <cell r="A71" t="str">
            <v>Remeron without Soltabs (mirtazapine) 1/27/2003</v>
          </cell>
          <cell r="B71">
            <v>27</v>
          </cell>
        </row>
        <row r="72">
          <cell r="A72" t="str">
            <v xml:space="preserve">   Branded TRx's</v>
          </cell>
          <cell r="B72">
            <v>413.51100000000002</v>
          </cell>
          <cell r="C72">
            <v>287.62099999999998</v>
          </cell>
          <cell r="D72">
            <v>217.43600000000001</v>
          </cell>
          <cell r="E72">
            <v>171.18299999999999</v>
          </cell>
          <cell r="F72">
            <v>153.762</v>
          </cell>
          <cell r="G72">
            <v>137.60900000000001</v>
          </cell>
          <cell r="H72">
            <v>111.81699999999999</v>
          </cell>
          <cell r="I72">
            <v>84.941000000000003</v>
          </cell>
          <cell r="J72">
            <v>70.296999999999997</v>
          </cell>
          <cell r="K72">
            <v>62.59</v>
          </cell>
          <cell r="L72">
            <v>51.534999999999997</v>
          </cell>
          <cell r="M72">
            <v>51.828000000000003</v>
          </cell>
          <cell r="N72">
            <v>43.69</v>
          </cell>
          <cell r="O72">
            <v>36.969000000000001</v>
          </cell>
          <cell r="P72">
            <v>37.302</v>
          </cell>
          <cell r="Q72">
            <v>32.633000000000003</v>
          </cell>
          <cell r="R72">
            <v>30.155000000000001</v>
          </cell>
          <cell r="S72">
            <v>30.643999999999998</v>
          </cell>
          <cell r="T72">
            <v>28.829000000000001</v>
          </cell>
          <cell r="U72">
            <v>28.695</v>
          </cell>
          <cell r="V72">
            <v>26.835999999999999</v>
          </cell>
          <cell r="W72">
            <v>25.355</v>
          </cell>
          <cell r="X72">
            <v>19.850999999999999</v>
          </cell>
          <cell r="Y72">
            <v>17.321000000000002</v>
          </cell>
          <cell r="Z72">
            <v>15.928000000000001</v>
          </cell>
          <cell r="AA72">
            <v>14.346</v>
          </cell>
          <cell r="AB72">
            <v>14.081</v>
          </cell>
        </row>
        <row r="73">
          <cell r="A73" t="str">
            <v xml:space="preserve">   Generic TRx's</v>
          </cell>
          <cell r="B73">
            <v>2.1000000000000001E-2</v>
          </cell>
          <cell r="C73">
            <v>92.569000000000003</v>
          </cell>
          <cell r="D73">
            <v>196.81200000000001</v>
          </cell>
          <cell r="E73">
            <v>244.94399999999999</v>
          </cell>
          <cell r="F73">
            <v>270.791</v>
          </cell>
          <cell r="G73">
            <v>279.25700000000001</v>
          </cell>
          <cell r="H73">
            <v>328.245</v>
          </cell>
          <cell r="I73">
            <v>355.09199999999998</v>
          </cell>
          <cell r="J73">
            <v>384.01400000000001</v>
          </cell>
          <cell r="K73">
            <v>417.71100000000001</v>
          </cell>
          <cell r="L73">
            <v>401.27499999999998</v>
          </cell>
          <cell r="M73">
            <v>455.01299999999998</v>
          </cell>
          <cell r="N73">
            <v>493.82</v>
          </cell>
          <cell r="O73">
            <v>500.78500000000003</v>
          </cell>
          <cell r="P73">
            <v>572.41499999999996</v>
          </cell>
          <cell r="Q73">
            <v>548.37199999999996</v>
          </cell>
          <cell r="R73">
            <v>549.18700000000001</v>
          </cell>
          <cell r="S73">
            <v>574.24300000000005</v>
          </cell>
          <cell r="T73">
            <v>576.17499999999995</v>
          </cell>
          <cell r="U73">
            <v>592.04700000000003</v>
          </cell>
          <cell r="V73">
            <v>585.27099999999996</v>
          </cell>
          <cell r="W73">
            <v>591.57600000000002</v>
          </cell>
          <cell r="X73">
            <v>605.92700000000002</v>
          </cell>
          <cell r="Y73">
            <v>634.94600000000003</v>
          </cell>
          <cell r="Z73">
            <v>652.50199999999995</v>
          </cell>
          <cell r="AA73">
            <v>613.32799999999997</v>
          </cell>
          <cell r="AB73">
            <v>680.07</v>
          </cell>
        </row>
        <row r="74">
          <cell r="A74" t="str">
            <v xml:space="preserve">   Year-end Branded % of Molecule</v>
          </cell>
          <cell r="B74">
            <v>0.78276677195337352</v>
          </cell>
          <cell r="C74">
            <v>0.54632776282475359</v>
          </cell>
          <cell r="D74">
            <v>0.42267798338747187</v>
          </cell>
          <cell r="E74">
            <v>0.36700562459642244</v>
          </cell>
          <cell r="F74">
            <v>0.3333638224984658</v>
          </cell>
          <cell r="G74">
            <v>0.2613322355796468</v>
          </cell>
          <cell r="H74">
            <v>0.19913966110492351</v>
          </cell>
          <cell r="I74">
            <v>0.1584545419216257</v>
          </cell>
          <cell r="J74">
            <v>0.13263645536338553</v>
          </cell>
          <cell r="K74">
            <v>0.11555141802677193</v>
          </cell>
          <cell r="L74">
            <v>0.1033003289141088</v>
          </cell>
          <cell r="M74">
            <v>8.3271352927935624E-2</v>
          </cell>
          <cell r="N74">
            <v>7.0000052070780555E-2</v>
          </cell>
          <cell r="O74">
            <v>6.1854638355163562E-2</v>
          </cell>
          <cell r="P74">
            <v>5.6689928447160552E-2</v>
          </cell>
          <cell r="Q74">
            <v>5.2463096732177958E-2</v>
          </cell>
          <cell r="R74">
            <v>5.0794370219106551E-2</v>
          </cell>
          <cell r="S74">
            <v>4.7951849965693794E-2</v>
          </cell>
          <cell r="T74">
            <v>4.6366076293969868E-2</v>
          </cell>
          <cell r="U74">
            <v>4.408352441104426E-2</v>
          </cell>
          <cell r="V74">
            <v>4.1371008061337151E-2</v>
          </cell>
          <cell r="W74">
            <v>3.2647813634743714E-2</v>
          </cell>
          <cell r="X74">
            <v>2.7052817647784135E-2</v>
          </cell>
          <cell r="Y74">
            <v>2.4095635707544708E-2</v>
          </cell>
          <cell r="Z74">
            <v>2.2958779871012185E-2</v>
          </cell>
          <cell r="AA74">
            <v>2.0519901504472776E-2</v>
          </cell>
        </row>
        <row r="75">
          <cell r="A75" t="str">
            <v xml:space="preserve">   Average Yearly Branded % of Molecule</v>
          </cell>
          <cell r="M75">
            <v>0.29215232992490708</v>
          </cell>
          <cell r="Y75">
            <v>4.6280900962208889E-2</v>
          </cell>
        </row>
        <row r="77">
          <cell r="A77" t="str">
            <v>Remeron + Remeron Soltabs (mirtazapine) 1/27/2003</v>
          </cell>
          <cell r="B77">
            <v>27</v>
          </cell>
        </row>
        <row r="78">
          <cell r="A78" t="str">
            <v xml:space="preserve">   Branded TRx's</v>
          </cell>
          <cell r="B78">
            <v>668.23300000000006</v>
          </cell>
          <cell r="C78">
            <v>520.02499999999998</v>
          </cell>
          <cell r="D78">
            <v>469.60599999999999</v>
          </cell>
          <cell r="E78">
            <v>420.50400000000002</v>
          </cell>
          <cell r="F78">
            <v>407.34699999999998</v>
          </cell>
          <cell r="G78">
            <v>381.62800000000004</v>
          </cell>
          <cell r="H78">
            <v>354.25599999999997</v>
          </cell>
          <cell r="I78">
            <v>315.59399999999999</v>
          </cell>
          <cell r="J78">
            <v>293.59100000000001</v>
          </cell>
          <cell r="K78">
            <v>286.24</v>
          </cell>
          <cell r="L78">
            <v>256.06700000000001</v>
          </cell>
          <cell r="M78">
            <v>265.58199999999999</v>
          </cell>
          <cell r="N78">
            <v>212.911</v>
          </cell>
          <cell r="O78">
            <v>168.126</v>
          </cell>
          <cell r="P78">
            <v>163.44200000000001</v>
          </cell>
          <cell r="Q78">
            <v>140.13200000000001</v>
          </cell>
          <cell r="R78">
            <v>129.357</v>
          </cell>
          <cell r="S78">
            <v>129.65799999999999</v>
          </cell>
          <cell r="T78">
            <v>121.197</v>
          </cell>
          <cell r="U78">
            <v>118.584</v>
          </cell>
          <cell r="V78">
            <v>112.839</v>
          </cell>
          <cell r="W78">
            <v>106.435</v>
          </cell>
          <cell r="X78">
            <v>93.881</v>
          </cell>
          <cell r="Y78">
            <v>77.894000000000005</v>
          </cell>
          <cell r="Z78">
            <v>60.272999999999996</v>
          </cell>
          <cell r="AA78">
            <v>49.222999999999999</v>
          </cell>
          <cell r="AB78">
            <v>49.161000000000001</v>
          </cell>
        </row>
        <row r="79">
          <cell r="A79" t="str">
            <v xml:space="preserve">   Generic TRx's</v>
          </cell>
          <cell r="B79">
            <v>2.1000000000000001E-2</v>
          </cell>
          <cell r="C79">
            <v>92.569000000000003</v>
          </cell>
          <cell r="D79">
            <v>196.81200000000001</v>
          </cell>
          <cell r="E79">
            <v>244.94399999999999</v>
          </cell>
          <cell r="F79">
            <v>270.791</v>
          </cell>
          <cell r="G79">
            <v>279.25700000000001</v>
          </cell>
          <cell r="H79">
            <v>328.245</v>
          </cell>
          <cell r="I79">
            <v>355.09199999999998</v>
          </cell>
          <cell r="J79">
            <v>384.01400000000001</v>
          </cell>
          <cell r="K79">
            <v>417.71100000000001</v>
          </cell>
          <cell r="L79">
            <v>401.27499999999998</v>
          </cell>
          <cell r="M79">
            <v>455.01299999999998</v>
          </cell>
          <cell r="N79">
            <v>493.82</v>
          </cell>
          <cell r="O79">
            <v>500.78500000000003</v>
          </cell>
          <cell r="P79">
            <v>572.41499999999996</v>
          </cell>
          <cell r="Q79">
            <v>548.37199999999996</v>
          </cell>
          <cell r="R79">
            <v>549.18700000000001</v>
          </cell>
          <cell r="S79">
            <v>574.24300000000005</v>
          </cell>
          <cell r="T79">
            <v>576.17499999999995</v>
          </cell>
          <cell r="U79">
            <v>592.04700000000003</v>
          </cell>
          <cell r="V79">
            <v>585.27099999999996</v>
          </cell>
          <cell r="W79">
            <v>591.57600000000002</v>
          </cell>
          <cell r="X79">
            <v>605.92700000000002</v>
          </cell>
          <cell r="Y79">
            <v>634.94600000000003</v>
          </cell>
          <cell r="Z79">
            <v>652.50199999999995</v>
          </cell>
          <cell r="AA79">
            <v>613.32799999999997</v>
          </cell>
          <cell r="AB79">
            <v>680.07</v>
          </cell>
        </row>
        <row r="80">
          <cell r="A80" t="str">
            <v xml:space="preserve">   Year-end Branded % of Molecule</v>
          </cell>
          <cell r="B80">
            <v>0.86522227255079609</v>
          </cell>
          <cell r="C80">
            <v>0.71803681980214074</v>
          </cell>
          <cell r="D80">
            <v>0.63919674852940078</v>
          </cell>
          <cell r="E80">
            <v>0.60375449311462037</v>
          </cell>
          <cell r="F80">
            <v>0.57982784149295596</v>
          </cell>
          <cell r="G80">
            <v>0.52472809894590844</v>
          </cell>
          <cell r="H80">
            <v>0.47548095420600051</v>
          </cell>
          <cell r="I80">
            <v>0.43697086080916442</v>
          </cell>
          <cell r="J80">
            <v>0.40919490831812866</v>
          </cell>
          <cell r="K80">
            <v>0.39136429764884717</v>
          </cell>
          <cell r="L80">
            <v>0.37049100640836369</v>
          </cell>
          <cell r="M80">
            <v>0.30811006762437976</v>
          </cell>
          <cell r="N80">
            <v>0.25658732884094232</v>
          </cell>
          <cell r="O80">
            <v>0.22479272107283646</v>
          </cell>
          <cell r="P80">
            <v>0.2055033521613677</v>
          </cell>
          <cell r="Q80">
            <v>0.19194528651735002</v>
          </cell>
          <cell r="R80">
            <v>0.18482223172432394</v>
          </cell>
          <cell r="S80">
            <v>0.17484061098680004</v>
          </cell>
          <cell r="T80">
            <v>0.16755173478944388</v>
          </cell>
          <cell r="U80">
            <v>0.16216706624508248</v>
          </cell>
          <cell r="V80">
            <v>0.15339855869645161</v>
          </cell>
          <cell r="W80">
            <v>0.13598134895343714</v>
          </cell>
          <cell r="X80">
            <v>0.11171973115093976</v>
          </cell>
          <cell r="Y80">
            <v>8.7032421576598157E-2</v>
          </cell>
          <cell r="Z80">
            <v>7.5389462791657078E-2</v>
          </cell>
          <cell r="AA80">
            <v>6.8045554505281894E-2</v>
          </cell>
        </row>
        <row r="81">
          <cell r="A81" t="str">
            <v xml:space="preserve">   Average Yearly Branded % of Molecule</v>
          </cell>
          <cell r="M81">
            <v>0.52686486412089217</v>
          </cell>
          <cell r="Y81">
            <v>0.17136186605963113</v>
          </cell>
        </row>
        <row r="83">
          <cell r="A83" t="str">
            <v>Paxil (paroxetine) without Paxil CR 9/8/2003</v>
          </cell>
          <cell r="B83">
            <v>8</v>
          </cell>
        </row>
        <row r="84">
          <cell r="A84" t="str">
            <v xml:space="preserve">   Branded TRx's</v>
          </cell>
          <cell r="B84">
            <v>1213.806</v>
          </cell>
          <cell r="C84">
            <v>514.61500000000001</v>
          </cell>
          <cell r="D84">
            <v>390.99799999999999</v>
          </cell>
          <cell r="E84">
            <v>361.04599999999999</v>
          </cell>
          <cell r="F84">
            <v>289.62099999999998</v>
          </cell>
          <cell r="G84">
            <v>238.565</v>
          </cell>
          <cell r="H84">
            <v>238.333</v>
          </cell>
          <cell r="I84">
            <v>207.89599999999999</v>
          </cell>
          <cell r="J84">
            <v>192.61500000000001</v>
          </cell>
          <cell r="K84">
            <v>189.452</v>
          </cell>
          <cell r="L84">
            <v>170.18700000000001</v>
          </cell>
          <cell r="M84">
            <v>159.08099999999999</v>
          </cell>
          <cell r="N84">
            <v>145.82599999999999</v>
          </cell>
          <cell r="O84">
            <v>137.75200000000001</v>
          </cell>
          <cell r="P84">
            <v>129.46</v>
          </cell>
          <cell r="Q84">
            <v>126.539</v>
          </cell>
          <cell r="R84">
            <v>118.453</v>
          </cell>
          <cell r="S84">
            <v>102.55800000000001</v>
          </cell>
          <cell r="T84">
            <v>102.392</v>
          </cell>
        </row>
        <row r="85">
          <cell r="A85" t="str">
            <v xml:space="preserve">   Generic TRx's</v>
          </cell>
          <cell r="B85">
            <v>580.548</v>
          </cell>
          <cell r="C85">
            <v>1311.6420000000001</v>
          </cell>
          <cell r="D85">
            <v>1267.3710000000001</v>
          </cell>
          <cell r="E85">
            <v>1439.489</v>
          </cell>
          <cell r="F85">
            <v>1443.1590000000001</v>
          </cell>
          <cell r="G85">
            <v>1350.854</v>
          </cell>
          <cell r="H85">
            <v>1491.1590000000001</v>
          </cell>
          <cell r="I85">
            <v>1392.5429999999999</v>
          </cell>
          <cell r="J85">
            <v>1364.5889999999999</v>
          </cell>
          <cell r="K85">
            <v>1407.2570000000001</v>
          </cell>
          <cell r="L85">
            <v>1387.2739999999999</v>
          </cell>
          <cell r="M85">
            <v>1408.605</v>
          </cell>
          <cell r="N85">
            <v>1357.2629999999999</v>
          </cell>
          <cell r="O85">
            <v>1352.5060000000001</v>
          </cell>
          <cell r="P85">
            <v>1347.6890000000001</v>
          </cell>
          <cell r="Q85">
            <v>1377.2529999999999</v>
          </cell>
          <cell r="R85">
            <v>1359.867</v>
          </cell>
          <cell r="S85">
            <v>1247.98</v>
          </cell>
          <cell r="T85">
            <v>1563.078</v>
          </cell>
        </row>
        <row r="86">
          <cell r="A86" t="str">
            <v xml:space="preserve">   Year-end Branded % of Molecule</v>
          </cell>
          <cell r="B86">
            <v>0.56984692704434825</v>
          </cell>
          <cell r="C86">
            <v>0.27036430954323065</v>
          </cell>
          <cell r="D86">
            <v>0.22579457109260936</v>
          </cell>
          <cell r="E86">
            <v>0.19186853576157833</v>
          </cell>
          <cell r="F86">
            <v>0.16287864124116144</v>
          </cell>
          <cell r="G86">
            <v>0.14661130303176717</v>
          </cell>
          <cell r="H86">
            <v>0.13581468509135938</v>
          </cell>
          <cell r="I86">
            <v>0.12827731553440525</v>
          </cell>
          <cell r="J86">
            <v>0.12232366108637156</v>
          </cell>
          <cell r="K86">
            <v>0.11619574186264794</v>
          </cell>
          <cell r="L86">
            <v>0.1071828752224893</v>
          </cell>
          <cell r="M86">
            <v>0.10032269130256471</v>
          </cell>
          <cell r="N86">
            <v>9.5803198318062624E-2</v>
          </cell>
          <cell r="O86">
            <v>9.1165079339741106E-2</v>
          </cell>
          <cell r="P86">
            <v>8.6697481702028775E-2</v>
          </cell>
          <cell r="Q86">
            <v>8.3088027820272664E-2</v>
          </cell>
          <cell r="R86">
            <v>7.9082391941680069E-2</v>
          </cell>
          <cell r="S86">
            <v>7.1462052018519753E-2</v>
          </cell>
        </row>
        <row r="87">
          <cell r="A87" t="str">
            <v xml:space="preserve">   Average Yearly Branded % of Molecule</v>
          </cell>
          <cell r="M87">
            <v>0.18979010481787781</v>
          </cell>
        </row>
        <row r="89">
          <cell r="A89" t="str">
            <v>Paxil + Paxil CR (Paroxetine) 9/8/2003</v>
          </cell>
          <cell r="B89">
            <v>8</v>
          </cell>
        </row>
        <row r="90">
          <cell r="A90" t="str">
            <v xml:space="preserve">   Branded TRx's</v>
          </cell>
          <cell r="B90">
            <v>2090.0070000000001</v>
          </cell>
          <cell r="C90">
            <v>1446.4569999999999</v>
          </cell>
          <cell r="D90">
            <v>1266.855</v>
          </cell>
          <cell r="E90">
            <v>1326.4449999999999</v>
          </cell>
          <cell r="F90">
            <v>1226.412</v>
          </cell>
          <cell r="G90">
            <v>1105.2429999999999</v>
          </cell>
          <cell r="H90">
            <v>1206.318</v>
          </cell>
          <cell r="I90">
            <v>1115.79</v>
          </cell>
          <cell r="J90">
            <v>1087.27</v>
          </cell>
          <cell r="K90">
            <v>1106.424</v>
          </cell>
          <cell r="L90">
            <v>1068.4389999999999</v>
          </cell>
          <cell r="M90">
            <v>1065.568</v>
          </cell>
          <cell r="N90">
            <v>1024.5309999999999</v>
          </cell>
          <cell r="O90">
            <v>1003.95</v>
          </cell>
          <cell r="P90">
            <v>991.77800000000002</v>
          </cell>
          <cell r="Q90">
            <v>1005.761</v>
          </cell>
          <cell r="R90">
            <v>973.60299999999995</v>
          </cell>
          <cell r="S90">
            <v>886.005</v>
          </cell>
          <cell r="T90">
            <v>771.18399999999997</v>
          </cell>
        </row>
        <row r="91">
          <cell r="A91" t="str">
            <v xml:space="preserve">   Generic TRx's</v>
          </cell>
          <cell r="B91">
            <v>580.548</v>
          </cell>
          <cell r="C91">
            <v>1311.6420000000001</v>
          </cell>
          <cell r="D91">
            <v>1267.3710000000001</v>
          </cell>
          <cell r="E91">
            <v>1439.489</v>
          </cell>
          <cell r="F91">
            <v>1443.1590000000001</v>
          </cell>
          <cell r="G91">
            <v>1350.854</v>
          </cell>
          <cell r="H91">
            <v>1491.1590000000001</v>
          </cell>
          <cell r="I91">
            <v>1392.5429999999999</v>
          </cell>
          <cell r="J91">
            <v>1364.5889999999999</v>
          </cell>
          <cell r="K91">
            <v>1407.2570000000001</v>
          </cell>
          <cell r="L91">
            <v>1387.2739999999999</v>
          </cell>
          <cell r="M91">
            <v>1408.605</v>
          </cell>
          <cell r="N91">
            <v>1357.2629999999999</v>
          </cell>
          <cell r="O91">
            <v>1352.5060000000001</v>
          </cell>
          <cell r="P91">
            <v>1347.6890000000001</v>
          </cell>
          <cell r="Q91">
            <v>1377.2529999999999</v>
          </cell>
          <cell r="R91">
            <v>1359.867</v>
          </cell>
          <cell r="S91">
            <v>1247.98</v>
          </cell>
          <cell r="T91">
            <v>1563.078</v>
          </cell>
        </row>
        <row r="92">
          <cell r="A92" t="str">
            <v xml:space="preserve">   Year-end Branded % of Molecule</v>
          </cell>
          <cell r="B92">
            <v>0.71212503032468333</v>
          </cell>
          <cell r="C92">
            <v>0.51829357219228689</v>
          </cell>
          <cell r="D92">
            <v>0.49412109155412626</v>
          </cell>
          <cell r="E92">
            <v>0.47432738061264662</v>
          </cell>
          <cell r="F92">
            <v>0.4570465752083796</v>
          </cell>
          <cell r="G92">
            <v>0.44920137091105555</v>
          </cell>
          <cell r="H92">
            <v>0.44660368760772889</v>
          </cell>
          <cell r="I92">
            <v>0.44446979859060237</v>
          </cell>
          <cell r="J92">
            <v>0.4425547451189491</v>
          </cell>
          <cell r="K92">
            <v>0.43882981030008444</v>
          </cell>
          <cell r="L92">
            <v>0.43390145662902557</v>
          </cell>
          <cell r="M92">
            <v>0.43054018417999212</v>
          </cell>
          <cell r="N92">
            <v>0.4290639040657272</v>
          </cell>
          <cell r="O92">
            <v>0.42548290359751739</v>
          </cell>
          <cell r="P92">
            <v>0.42342540347351926</v>
          </cell>
          <cell r="Q92">
            <v>0.42078849672802515</v>
          </cell>
          <cell r="R92">
            <v>0.41672339961484162</v>
          </cell>
          <cell r="S92">
            <v>0.39105290156317951</v>
          </cell>
        </row>
        <row r="93">
          <cell r="A93" t="str">
            <v xml:space="preserve">   Average Yearly Branded % of Molecule</v>
          </cell>
          <cell r="M93">
            <v>0.47850122526913003</v>
          </cell>
        </row>
        <row r="95">
          <cell r="A95" t="str">
            <v>Glucophage (Metformin) 1/28/2002</v>
          </cell>
          <cell r="B95">
            <v>28</v>
          </cell>
        </row>
        <row r="96">
          <cell r="A96" t="str">
            <v xml:space="preserve">   Branded TRx's</v>
          </cell>
          <cell r="B96">
            <v>2264.6439999999998</v>
          </cell>
          <cell r="C96">
            <v>912.577</v>
          </cell>
          <cell r="D96">
            <v>523.25900000000001</v>
          </cell>
          <cell r="E96">
            <v>413.52699999999999</v>
          </cell>
          <cell r="F96">
            <v>352.81700000000001</v>
          </cell>
          <cell r="G96">
            <v>295.90499999999997</v>
          </cell>
          <cell r="H96">
            <v>284.53199999999998</v>
          </cell>
          <cell r="I96">
            <v>257.83</v>
          </cell>
          <cell r="J96">
            <v>233.72499999999999</v>
          </cell>
          <cell r="K96">
            <v>231.16800000000001</v>
          </cell>
          <cell r="L96">
            <v>210.25800000000001</v>
          </cell>
          <cell r="M96">
            <v>215.74</v>
          </cell>
          <cell r="N96">
            <v>194.506</v>
          </cell>
          <cell r="O96">
            <v>171.57499999999999</v>
          </cell>
          <cell r="P96">
            <v>179.51599999999999</v>
          </cell>
          <cell r="Q96">
            <v>169.54900000000001</v>
          </cell>
          <cell r="R96">
            <v>170.73699999999999</v>
          </cell>
          <cell r="S96">
            <v>164.65299999999999</v>
          </cell>
          <cell r="T96">
            <v>163.376</v>
          </cell>
          <cell r="U96">
            <v>157.292</v>
          </cell>
          <cell r="V96">
            <v>154.25800000000001</v>
          </cell>
          <cell r="W96">
            <v>152.75200000000001</v>
          </cell>
          <cell r="X96">
            <v>140.22200000000001</v>
          </cell>
          <cell r="Y96">
            <v>152.75899999999999</v>
          </cell>
          <cell r="Z96">
            <v>140.49199999999999</v>
          </cell>
          <cell r="AA96">
            <v>127.929</v>
          </cell>
          <cell r="AB96">
            <v>137.715</v>
          </cell>
          <cell r="AC96">
            <v>105.38500000000001</v>
          </cell>
          <cell r="AD96">
            <v>95.94</v>
          </cell>
          <cell r="AE96">
            <v>96.013999999999996</v>
          </cell>
          <cell r="AF96">
            <v>91.608000000000004</v>
          </cell>
          <cell r="AG96">
            <v>90.135000000000005</v>
          </cell>
          <cell r="AH96">
            <v>85.474999999999994</v>
          </cell>
          <cell r="AI96">
            <v>83.497</v>
          </cell>
          <cell r="AJ96">
            <v>75.164000000000001</v>
          </cell>
          <cell r="AK96">
            <v>75.031999999999996</v>
          </cell>
          <cell r="AL96">
            <v>69.936999999999998</v>
          </cell>
          <cell r="AM96">
            <v>62.572000000000003</v>
          </cell>
          <cell r="AN96">
            <v>68.016999999999996</v>
          </cell>
        </row>
        <row r="97">
          <cell r="A97" t="str">
            <v xml:space="preserve">   Generic TRx's</v>
          </cell>
          <cell r="B97">
            <v>17.585000000000001</v>
          </cell>
          <cell r="C97">
            <v>1249.2550000000001</v>
          </cell>
          <cell r="D97">
            <v>1836.673</v>
          </cell>
          <cell r="E97">
            <v>1984.0940000000001</v>
          </cell>
          <cell r="F97">
            <v>2034.08</v>
          </cell>
          <cell r="G97">
            <v>1941.018</v>
          </cell>
          <cell r="H97">
            <v>2119.895</v>
          </cell>
          <cell r="I97">
            <v>2119.953</v>
          </cell>
          <cell r="J97">
            <v>2051.7069999999999</v>
          </cell>
          <cell r="K97">
            <v>2199.335</v>
          </cell>
          <cell r="L97">
            <v>2130.759</v>
          </cell>
          <cell r="M97">
            <v>2265.19</v>
          </cell>
          <cell r="N97">
            <v>2302.527</v>
          </cell>
          <cell r="O97">
            <v>2135.739</v>
          </cell>
          <cell r="P97">
            <v>2343.6570000000002</v>
          </cell>
          <cell r="Q97">
            <v>2294.857</v>
          </cell>
          <cell r="R97">
            <v>2358.9699999999998</v>
          </cell>
          <cell r="S97">
            <v>2328.1060000000002</v>
          </cell>
          <cell r="T97">
            <v>2400.634</v>
          </cell>
          <cell r="U97">
            <v>2342.5680000000002</v>
          </cell>
          <cell r="V97">
            <v>2357.6089999999999</v>
          </cell>
          <cell r="W97">
            <v>2471.7440000000001</v>
          </cell>
          <cell r="X97">
            <v>2312.1010000000001</v>
          </cell>
          <cell r="Y97">
            <v>2562.748</v>
          </cell>
          <cell r="Z97">
            <v>2537.6660000000002</v>
          </cell>
          <cell r="AA97">
            <v>2405.8510000000001</v>
          </cell>
          <cell r="AB97">
            <v>2691.5859999999998</v>
          </cell>
          <cell r="AC97">
            <v>2607.4050000000002</v>
          </cell>
          <cell r="AD97">
            <v>2605.8319999999999</v>
          </cell>
          <cell r="AE97">
            <v>2737.6529999999998</v>
          </cell>
          <cell r="AF97">
            <v>2728.1129999999998</v>
          </cell>
          <cell r="AG97">
            <v>2776.59</v>
          </cell>
          <cell r="AH97">
            <v>2724.4050000000002</v>
          </cell>
          <cell r="AI97">
            <v>2761.779</v>
          </cell>
          <cell r="AJ97">
            <v>2807.136</v>
          </cell>
          <cell r="AK97">
            <v>2911.0509999999999</v>
          </cell>
          <cell r="AL97">
            <v>2901.1149999999998</v>
          </cell>
          <cell r="AM97">
            <v>2743.08</v>
          </cell>
          <cell r="AN97">
            <v>3130.4009999999998</v>
          </cell>
        </row>
        <row r="98">
          <cell r="A98" t="str">
            <v xml:space="preserve">   Year-end Branded % of Molecule</v>
          </cell>
          <cell r="B98">
            <v>0.46211069311832531</v>
          </cell>
          <cell r="C98">
            <v>0.23403400710436784</v>
          </cell>
          <cell r="D98">
            <v>0.17570915231505455</v>
          </cell>
          <cell r="E98">
            <v>0.14946496470015411</v>
          </cell>
          <cell r="F98">
            <v>0.13338212503455471</v>
          </cell>
          <cell r="G98">
            <v>0.11920568264749942</v>
          </cell>
          <cell r="H98">
            <v>0.10910009133624156</v>
          </cell>
          <cell r="I98">
            <v>0.10269381960945814</v>
          </cell>
          <cell r="J98">
            <v>9.5561569283326708E-2</v>
          </cell>
          <cell r="K98">
            <v>9.0180467454653357E-2</v>
          </cell>
          <cell r="L98">
            <v>8.7139633593180041E-2</v>
          </cell>
          <cell r="M98">
            <v>7.849550548256766E-2</v>
          </cell>
          <cell r="N98">
            <v>7.4614902445669429E-2</v>
          </cell>
          <cell r="O98">
            <v>7.1344011341916286E-2</v>
          </cell>
          <cell r="P98">
            <v>6.8959131969098489E-2</v>
          </cell>
          <cell r="Q98">
            <v>6.757778395865037E-2</v>
          </cell>
          <cell r="R98">
            <v>6.6149860321056769E-2</v>
          </cell>
          <cell r="S98">
            <v>6.3870469429196192E-2</v>
          </cell>
          <cell r="T98">
            <v>6.2974837635326089E-2</v>
          </cell>
          <cell r="U98">
            <v>6.1511817634567922E-2</v>
          </cell>
          <cell r="V98">
            <v>5.8407770706118037E-2</v>
          </cell>
          <cell r="W98">
            <v>5.7251913560774845E-2</v>
          </cell>
          <cell r="X98">
            <v>5.6310368265461465E-2</v>
          </cell>
          <cell r="Y98">
            <v>5.2714792659953671E-2</v>
          </cell>
          <cell r="Z98">
            <v>5.0627612671914526E-2</v>
          </cell>
          <cell r="AA98">
            <v>4.8783677218632859E-2</v>
          </cell>
          <cell r="AB98">
            <v>3.9528786760144569E-2</v>
          </cell>
          <cell r="AC98">
            <v>3.5733370289971297E-2</v>
          </cell>
          <cell r="AD98">
            <v>3.3987026206006597E-2</v>
          </cell>
          <cell r="AE98">
            <v>3.2581748689150009E-2</v>
          </cell>
          <cell r="AF98">
            <v>3.1510501114090504E-2</v>
          </cell>
          <cell r="AG98">
            <v>3.0488890605376677E-2</v>
          </cell>
          <cell r="AH98">
            <v>2.9416577493758523E-2</v>
          </cell>
          <cell r="AI98">
            <v>2.6293040824885233E-2</v>
          </cell>
          <cell r="AJ98">
            <v>2.5188541698787897E-2</v>
          </cell>
          <cell r="AK98">
            <v>2.3645823760361829E-2</v>
          </cell>
          <cell r="AL98">
            <v>2.2389135383565236E-2</v>
          </cell>
          <cell r="AM98">
            <v>2.1326928760857962E-2</v>
          </cell>
        </row>
        <row r="99">
          <cell r="A99" t="str">
            <v xml:space="preserve">   Average Yearly Branded % of Molecule</v>
          </cell>
          <cell r="M99">
            <v>0.15308980930661528</v>
          </cell>
          <cell r="Y99">
            <v>6.3473971660649123E-2</v>
          </cell>
          <cell r="AK99">
            <v>3.3982133111090052E-2</v>
          </cell>
        </row>
        <row r="101">
          <cell r="A101" t="str">
            <v>Total Glucophage and Total Metformin 1/28/02</v>
          </cell>
          <cell r="B101">
            <v>28</v>
          </cell>
        </row>
        <row r="102">
          <cell r="A102" t="str">
            <v xml:space="preserve">   Branded TRx's</v>
          </cell>
          <cell r="B102">
            <v>3025.9439999999995</v>
          </cell>
          <cell r="C102">
            <v>1632.1689999999999</v>
          </cell>
          <cell r="D102">
            <v>1320.0120000000002</v>
          </cell>
          <cell r="E102">
            <v>1233.17</v>
          </cell>
          <cell r="F102">
            <v>1170.73</v>
          </cell>
          <cell r="G102">
            <v>1073.1400000000001</v>
          </cell>
          <cell r="H102">
            <v>1127.8689999999999</v>
          </cell>
          <cell r="I102">
            <v>1085.729</v>
          </cell>
          <cell r="J102">
            <v>1023.94</v>
          </cell>
          <cell r="K102">
            <v>1076.7850000000001</v>
          </cell>
          <cell r="L102">
            <v>1012.544</v>
          </cell>
          <cell r="M102">
            <v>1058.229</v>
          </cell>
          <cell r="N102">
            <v>1024.444</v>
          </cell>
          <cell r="O102">
            <v>932.77</v>
          </cell>
          <cell r="P102">
            <v>1010.8869999999999</v>
          </cell>
          <cell r="Q102">
            <v>972.33500000000004</v>
          </cell>
          <cell r="R102">
            <v>995.66300000000001</v>
          </cell>
          <cell r="S102">
            <v>971.74</v>
          </cell>
          <cell r="T102">
            <v>994.31299999999999</v>
          </cell>
          <cell r="U102">
            <v>961.06799999999998</v>
          </cell>
          <cell r="V102">
            <v>962.03700000000003</v>
          </cell>
          <cell r="W102">
            <v>988.21</v>
          </cell>
          <cell r="X102">
            <v>905.24599999999998</v>
          </cell>
          <cell r="Y102">
            <v>646.42599999999993</v>
          </cell>
          <cell r="Z102">
            <v>413.05700000000002</v>
          </cell>
          <cell r="AA102">
            <v>342.73900000000003</v>
          </cell>
          <cell r="AB102">
            <v>349.553</v>
          </cell>
          <cell r="AC102">
            <v>286.95</v>
          </cell>
          <cell r="AD102">
            <v>262.97699999999998</v>
          </cell>
          <cell r="AE102">
            <v>258.85500000000002</v>
          </cell>
          <cell r="AF102">
            <v>245.071</v>
          </cell>
          <cell r="AG102">
            <v>235.63</v>
          </cell>
          <cell r="AH102">
            <v>220.358</v>
          </cell>
          <cell r="AI102">
            <v>212.863</v>
          </cell>
          <cell r="AJ102">
            <v>188.64</v>
          </cell>
          <cell r="AK102">
            <v>179.61699999999999</v>
          </cell>
          <cell r="AL102">
            <v>163.21199999999999</v>
          </cell>
          <cell r="AM102">
            <v>143.31700000000001</v>
          </cell>
          <cell r="AN102">
            <v>154.25700000000001</v>
          </cell>
        </row>
        <row r="103">
          <cell r="A103" t="str">
            <v xml:space="preserve">   Generic TRx's</v>
          </cell>
          <cell r="B103">
            <v>17.585000000000001</v>
          </cell>
          <cell r="C103">
            <v>1249.2550000000001</v>
          </cell>
          <cell r="D103">
            <v>1836.673</v>
          </cell>
          <cell r="E103">
            <v>1984.0940000000001</v>
          </cell>
          <cell r="F103">
            <v>2034.08</v>
          </cell>
          <cell r="G103">
            <v>1941.018</v>
          </cell>
          <cell r="H103">
            <v>2119.895</v>
          </cell>
          <cell r="I103">
            <v>2119.953</v>
          </cell>
          <cell r="J103">
            <v>2051.7069999999999</v>
          </cell>
          <cell r="K103">
            <v>2199.335</v>
          </cell>
          <cell r="L103">
            <v>2130.759</v>
          </cell>
          <cell r="M103">
            <v>2265.19</v>
          </cell>
          <cell r="N103">
            <v>2302.527</v>
          </cell>
          <cell r="O103">
            <v>2135.739</v>
          </cell>
          <cell r="P103">
            <v>2343.6570000000002</v>
          </cell>
          <cell r="Q103">
            <v>2294.857</v>
          </cell>
          <cell r="R103">
            <v>2358.9699999999998</v>
          </cell>
          <cell r="S103">
            <v>2328.1060000000002</v>
          </cell>
          <cell r="T103">
            <v>2400.634</v>
          </cell>
          <cell r="U103">
            <v>2342.5700000000002</v>
          </cell>
          <cell r="V103">
            <v>2357.6089999999999</v>
          </cell>
          <cell r="W103">
            <v>2471.7440000000001</v>
          </cell>
          <cell r="X103">
            <v>2312.1040000000003</v>
          </cell>
          <cell r="Y103">
            <v>2901.2780000000002</v>
          </cell>
          <cell r="Z103">
            <v>3084.2520000000004</v>
          </cell>
          <cell r="AA103">
            <v>2953.181</v>
          </cell>
          <cell r="AB103">
            <v>3317.2449999999999</v>
          </cell>
          <cell r="AC103">
            <v>3209.1150000000002</v>
          </cell>
          <cell r="AD103">
            <v>3212.855</v>
          </cell>
          <cell r="AE103">
            <v>3372.4389999999999</v>
          </cell>
          <cell r="AF103">
            <v>3362.4129999999996</v>
          </cell>
          <cell r="AG103">
            <v>3427.6730000000002</v>
          </cell>
          <cell r="AH103">
            <v>3358.6820000000002</v>
          </cell>
          <cell r="AI103">
            <v>3404.9279999999999</v>
          </cell>
          <cell r="AJ103">
            <v>3459.7190000000001</v>
          </cell>
          <cell r="AK103">
            <v>3597.0920000000001</v>
          </cell>
          <cell r="AL103">
            <v>3576.2689999999998</v>
          </cell>
          <cell r="AM103">
            <v>3379.585</v>
          </cell>
          <cell r="AN103">
            <v>3840.944</v>
          </cell>
        </row>
        <row r="104">
          <cell r="A104" t="str">
            <v xml:space="preserve">   Year-end Branded % of Molecule</v>
          </cell>
          <cell r="B104">
            <v>0.59645558509445928</v>
          </cell>
          <cell r="C104">
            <v>0.42724017033749578</v>
          </cell>
          <cell r="D104">
            <v>0.38558125012539318</v>
          </cell>
          <cell r="E104">
            <v>0.36650795751588178</v>
          </cell>
          <cell r="F104">
            <v>0.35668749097802344</v>
          </cell>
          <cell r="G104">
            <v>0.34781999426023885</v>
          </cell>
          <cell r="H104">
            <v>0.33926837634314588</v>
          </cell>
          <cell r="I104">
            <v>0.33331839755286641</v>
          </cell>
          <cell r="J104">
            <v>0.3289434714346835</v>
          </cell>
          <cell r="K104">
            <v>0.32258119846043221</v>
          </cell>
          <cell r="L104">
            <v>0.31865064419965639</v>
          </cell>
          <cell r="M104">
            <v>0.30861988713535737</v>
          </cell>
          <cell r="N104">
            <v>0.30426466936713192</v>
          </cell>
          <cell r="O104">
            <v>0.30151003979942892</v>
          </cell>
          <cell r="P104">
            <v>0.29786145017096571</v>
          </cell>
          <cell r="Q104">
            <v>0.29685461398811203</v>
          </cell>
          <cell r="R104">
            <v>0.29463760207183992</v>
          </cell>
          <cell r="S104">
            <v>0.29298415333073746</v>
          </cell>
          <cell r="T104">
            <v>0.29104661436249318</v>
          </cell>
          <cell r="U104">
            <v>0.28987481026516532</v>
          </cell>
          <cell r="V104">
            <v>0.28588219301446349</v>
          </cell>
          <cell r="W104">
            <v>0.28166701283186341</v>
          </cell>
          <cell r="X104">
            <v>0.1882418686239021</v>
          </cell>
          <cell r="Y104">
            <v>0.12243801803198361</v>
          </cell>
          <cell r="Z104">
            <v>0.10498354468392534</v>
          </cell>
          <cell r="AA104">
            <v>9.5851662639289736E-2</v>
          </cell>
          <cell r="AB104">
            <v>8.3001544066959379E-2</v>
          </cell>
          <cell r="AC104">
            <v>7.6088995696571265E-2</v>
          </cell>
          <cell r="AD104">
            <v>7.1564434977181193E-2</v>
          </cell>
          <cell r="AE104">
            <v>6.815878950947124E-2</v>
          </cell>
          <cell r="AF104">
            <v>6.4559126483780663E-2</v>
          </cell>
          <cell r="AG104">
            <v>6.1756564267236462E-2</v>
          </cell>
          <cell r="AH104">
            <v>5.9018095300161104E-2</v>
          </cell>
          <cell r="AI104">
            <v>5.2177210868079145E-2</v>
          </cell>
          <cell r="AJ104">
            <v>4.7826764257672877E-2</v>
          </cell>
          <cell r="AK104">
            <v>4.390895167087263E-2</v>
          </cell>
          <cell r="AL104">
            <v>4.0890417318969328E-2</v>
          </cell>
          <cell r="AM104">
            <v>3.8733281758813569E-2</v>
          </cell>
        </row>
        <row r="105">
          <cell r="A105" t="str">
            <v xml:space="preserve">   Average Yearly Branded % of Molecule</v>
          </cell>
          <cell r="M105">
            <v>0.36930620195313613</v>
          </cell>
          <cell r="Y105">
            <v>0.2706052538215073</v>
          </cell>
          <cell r="AK105">
            <v>6.9074640368433415E-2</v>
          </cell>
        </row>
        <row r="107">
          <cell r="A107" t="str">
            <v>Branded Product Name and Expiry Date</v>
          </cell>
        </row>
        <row r="108">
          <cell r="A108" t="str">
            <v xml:space="preserve">   Branded TRx's</v>
          </cell>
        </row>
        <row r="109">
          <cell r="A109" t="str">
            <v xml:space="preserve">   Generic TRx's</v>
          </cell>
        </row>
        <row r="110">
          <cell r="A110" t="str">
            <v xml:space="preserve">   Year-end Branded % of Molecule</v>
          </cell>
        </row>
        <row r="111">
          <cell r="A111" t="str">
            <v xml:space="preserve">   Average Yearly Branded % of Molecule</v>
          </cell>
        </row>
        <row r="113">
          <cell r="A113" t="str">
            <v>Branded Product Name and Expiry Date</v>
          </cell>
        </row>
        <row r="114">
          <cell r="A114" t="str">
            <v xml:space="preserve">   Branded TRx's</v>
          </cell>
        </row>
        <row r="115">
          <cell r="A115" t="str">
            <v xml:space="preserve">   Generic TRx's</v>
          </cell>
        </row>
        <row r="116">
          <cell r="A116" t="str">
            <v xml:space="preserve">   Year-end Branded % of Molecule</v>
          </cell>
        </row>
        <row r="117">
          <cell r="A117" t="str">
            <v xml:space="preserve">   Average Yearly Branded % of Molecule</v>
          </cell>
        </row>
        <row r="119">
          <cell r="A119" t="str">
            <v>Branded Product Name and Expiry Date</v>
          </cell>
        </row>
        <row r="120">
          <cell r="A120" t="str">
            <v xml:space="preserve">   Branded TRx's</v>
          </cell>
        </row>
        <row r="121">
          <cell r="A121" t="str">
            <v xml:space="preserve">   Generic TRx's</v>
          </cell>
        </row>
        <row r="122">
          <cell r="A122" t="str">
            <v xml:space="preserve">   Year-end Branded % of Molecule</v>
          </cell>
        </row>
        <row r="123">
          <cell r="A123" t="str">
            <v xml:space="preserve">   Average Yearly Branded % of Molecule</v>
          </cell>
        </row>
        <row r="125">
          <cell r="A125" t="str">
            <v>Branded Product Name and Expiry Date</v>
          </cell>
        </row>
        <row r="126">
          <cell r="A126" t="str">
            <v xml:space="preserve">   Branded TRx's</v>
          </cell>
        </row>
        <row r="127">
          <cell r="A127" t="str">
            <v xml:space="preserve">   Generic TRx's</v>
          </cell>
        </row>
        <row r="128">
          <cell r="A128" t="str">
            <v xml:space="preserve">   Year-end Branded % of Molecule</v>
          </cell>
        </row>
        <row r="129">
          <cell r="A129" t="str">
            <v xml:space="preserve">   Average Yearly Branded % of Molecule</v>
          </cell>
        </row>
        <row r="131">
          <cell r="A131" t="str">
            <v>Branded Product Name and Expiry Date</v>
          </cell>
        </row>
        <row r="132">
          <cell r="A132" t="str">
            <v xml:space="preserve">   Branded TRx's</v>
          </cell>
        </row>
        <row r="133">
          <cell r="A133" t="str">
            <v xml:space="preserve">   Generic TRx's</v>
          </cell>
        </row>
        <row r="134">
          <cell r="A134" t="str">
            <v xml:space="preserve">   Year-end Branded % of Molecule</v>
          </cell>
        </row>
        <row r="135">
          <cell r="A135" t="str">
            <v xml:space="preserve">   Average Yearly Branded % of Molecule</v>
          </cell>
        </row>
        <row r="137">
          <cell r="A137" t="str">
            <v>Branded Product Name and Expiry Date</v>
          </cell>
        </row>
        <row r="138">
          <cell r="A138" t="str">
            <v xml:space="preserve">   Branded TRx's</v>
          </cell>
        </row>
        <row r="139">
          <cell r="A139" t="str">
            <v xml:space="preserve">   Generic TRx's</v>
          </cell>
        </row>
        <row r="140">
          <cell r="A140" t="str">
            <v xml:space="preserve">   Year-end Branded % of Molecule</v>
          </cell>
        </row>
        <row r="141">
          <cell r="A141" t="str">
            <v xml:space="preserve">   Average Yearly Branded % of Molecule</v>
          </cell>
        </row>
      </sheetData>
      <sheetData sheetId="3"/>
      <sheetData sheetId="4" refreshError="1"/>
      <sheetData sheetId="5"/>
      <sheetData sheetId="6"/>
      <sheetData sheetId="7"/>
      <sheetData sheetId="8"/>
      <sheetData sheetId="9"/>
      <sheetData sheetId="10"/>
      <sheetData sheetId="11"/>
      <sheetData sheetId="12"/>
      <sheetData sheetId="13"/>
      <sheetData sheetId="1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 Nmbr"/>
      <sheetName val="Signif Vars"/>
      <sheetName val="MODEL"/>
      <sheetName val="Aug 2013 Forecast "/>
      <sheetName val="May 2013 Forecast without plug"/>
      <sheetName val="Scenarios Table"/>
      <sheetName val="Summary"/>
      <sheetName val="Summary (in Millions)"/>
      <sheetName val="Total Promo - Tier 1"/>
      <sheetName val="Adherence Promo - Tier 1"/>
      <sheetName val="Brand Promo - Tier 1"/>
      <sheetName val="Total Promo - Tier 2"/>
      <sheetName val="Adherence Promo - Tier 2"/>
      <sheetName val="Brand Promo - Tier 2"/>
      <sheetName val="LROP Comparison Summary"/>
      <sheetName val="LROP Comparison Tier 1"/>
      <sheetName val="LROP Comparison Tier 2"/>
      <sheetName val="Net Sales"/>
      <sheetName val="2011 LROP"/>
      <sheetName val="Zetia Family"/>
      <sheetName val="Januvia"/>
      <sheetName val="Model Arrow Results"/>
      <sheetName val="vs CBL Recommendation"/>
      <sheetName val="Final Alloc"/>
    </sheetNames>
    <sheetDataSet>
      <sheetData sheetId="0"/>
      <sheetData sheetId="1"/>
      <sheetData sheetId="2"/>
      <sheetData sheetId="3">
        <row r="4">
          <cell r="P4">
            <v>59382</v>
          </cell>
        </row>
        <row r="7">
          <cell r="B7" t="str">
            <v>JANUVIA/JANUMET</v>
          </cell>
          <cell r="D7">
            <v>134450.24955999997</v>
          </cell>
          <cell r="G7">
            <v>7450</v>
          </cell>
          <cell r="H7">
            <v>124655</v>
          </cell>
          <cell r="I7">
            <v>132105</v>
          </cell>
          <cell r="J7">
            <v>130980</v>
          </cell>
          <cell r="K7">
            <v>100000</v>
          </cell>
          <cell r="L7">
            <v>2600</v>
          </cell>
          <cell r="M7">
            <v>102600</v>
          </cell>
          <cell r="O7">
            <v>100400</v>
          </cell>
          <cell r="P7">
            <v>15700</v>
          </cell>
          <cell r="Q7">
            <v>105000</v>
          </cell>
          <cell r="R7">
            <v>-8800</v>
          </cell>
          <cell r="T7">
            <v>96200</v>
          </cell>
          <cell r="U7">
            <v>9620</v>
          </cell>
          <cell r="V7">
            <v>86580</v>
          </cell>
          <cell r="W7">
            <v>96200</v>
          </cell>
          <cell r="X7">
            <v>111900</v>
          </cell>
        </row>
        <row r="8">
          <cell r="B8" t="str">
            <v>ZETIA/VYTORIN/LIPTRUZET</v>
          </cell>
          <cell r="D8">
            <v>98604.952619999996</v>
          </cell>
          <cell r="G8">
            <v>10709.6</v>
          </cell>
          <cell r="H8">
            <v>68053.399999999994</v>
          </cell>
          <cell r="I8">
            <v>78763</v>
          </cell>
          <cell r="J8">
            <v>76998</v>
          </cell>
          <cell r="K8">
            <v>83400</v>
          </cell>
          <cell r="L8">
            <v>629.07014974932451</v>
          </cell>
          <cell r="M8">
            <v>84029.070149749328</v>
          </cell>
          <cell r="O8">
            <v>66000</v>
          </cell>
          <cell r="P8">
            <v>14100</v>
          </cell>
          <cell r="Q8">
            <v>111700</v>
          </cell>
          <cell r="R8">
            <v>-2000</v>
          </cell>
          <cell r="S8">
            <v>-2150</v>
          </cell>
          <cell r="T8">
            <v>107550</v>
          </cell>
          <cell r="U8">
            <v>10755</v>
          </cell>
          <cell r="V8">
            <v>96795</v>
          </cell>
          <cell r="W8">
            <v>107550</v>
          </cell>
          <cell r="X8">
            <v>121650</v>
          </cell>
        </row>
        <row r="9">
          <cell r="B9" t="str">
            <v>TREDAPTIVE</v>
          </cell>
          <cell r="D9">
            <v>0</v>
          </cell>
          <cell r="G9">
            <v>0</v>
          </cell>
          <cell r="H9">
            <v>4800</v>
          </cell>
          <cell r="I9">
            <v>4800</v>
          </cell>
          <cell r="J9">
            <v>711</v>
          </cell>
          <cell r="K9">
            <v>20000</v>
          </cell>
          <cell r="L9">
            <v>15000</v>
          </cell>
          <cell r="M9">
            <v>35000</v>
          </cell>
          <cell r="O9">
            <v>35000</v>
          </cell>
          <cell r="P9" t="str">
            <v>Included in Zetia/Vytorin</v>
          </cell>
        </row>
        <row r="10">
          <cell r="B10" t="str">
            <v>DULERA</v>
          </cell>
          <cell r="D10">
            <v>98779.131880000001</v>
          </cell>
          <cell r="G10">
            <v>700</v>
          </cell>
          <cell r="H10">
            <v>86254</v>
          </cell>
          <cell r="I10">
            <v>86954</v>
          </cell>
          <cell r="J10">
            <v>82857</v>
          </cell>
          <cell r="K10">
            <v>60000</v>
          </cell>
          <cell r="L10">
            <v>-3120.5742012189148</v>
          </cell>
          <cell r="M10">
            <v>56879.425798781085</v>
          </cell>
          <cell r="O10">
            <v>62700</v>
          </cell>
          <cell r="P10">
            <v>3000</v>
          </cell>
          <cell r="Q10">
            <v>62000</v>
          </cell>
          <cell r="R10">
            <v>-3800</v>
          </cell>
          <cell r="T10">
            <v>58200</v>
          </cell>
          <cell r="U10">
            <v>5820</v>
          </cell>
          <cell r="V10">
            <v>52380</v>
          </cell>
          <cell r="W10">
            <v>58200</v>
          </cell>
          <cell r="X10">
            <v>61200</v>
          </cell>
        </row>
        <row r="11">
          <cell r="B11" t="str">
            <v>NUVARING</v>
          </cell>
          <cell r="D11">
            <v>49866.255109999998</v>
          </cell>
          <cell r="G11">
            <v>0</v>
          </cell>
          <cell r="H11">
            <v>42914</v>
          </cell>
          <cell r="I11">
            <v>42914</v>
          </cell>
          <cell r="J11">
            <v>42267</v>
          </cell>
          <cell r="K11">
            <v>45000</v>
          </cell>
          <cell r="L11">
            <v>-7595.4643795157108</v>
          </cell>
          <cell r="M11">
            <v>37404.53562048429</v>
          </cell>
          <cell r="O11">
            <v>40000</v>
          </cell>
          <cell r="P11">
            <v>1200</v>
          </cell>
          <cell r="Q11">
            <v>37000</v>
          </cell>
          <cell r="R11">
            <v>-1000</v>
          </cell>
          <cell r="T11">
            <v>36000</v>
          </cell>
          <cell r="U11">
            <v>3600</v>
          </cell>
          <cell r="V11">
            <v>32400</v>
          </cell>
          <cell r="W11">
            <v>36000</v>
          </cell>
          <cell r="X11">
            <v>37200</v>
          </cell>
        </row>
        <row r="12">
          <cell r="B12" t="str">
            <v>SUVOREXANT</v>
          </cell>
          <cell r="C12" t="str">
            <v>Feb  2014</v>
          </cell>
          <cell r="D12">
            <v>0</v>
          </cell>
          <cell r="G12">
            <v>0</v>
          </cell>
          <cell r="H12">
            <v>8516</v>
          </cell>
          <cell r="I12">
            <v>8516</v>
          </cell>
          <cell r="J12">
            <v>8691</v>
          </cell>
          <cell r="K12">
            <v>10000</v>
          </cell>
          <cell r="L12">
            <v>24500</v>
          </cell>
          <cell r="M12">
            <v>34500</v>
          </cell>
          <cell r="O12">
            <v>42000</v>
          </cell>
          <cell r="Q12">
            <v>38000</v>
          </cell>
          <cell r="S12">
            <v>-325</v>
          </cell>
          <cell r="T12">
            <v>37675</v>
          </cell>
          <cell r="U12">
            <v>3767.5</v>
          </cell>
          <cell r="V12">
            <v>33907.5</v>
          </cell>
          <cell r="W12">
            <v>37675</v>
          </cell>
          <cell r="X12">
            <v>37675</v>
          </cell>
        </row>
        <row r="13">
          <cell r="B13" t="str">
            <v>ISENTRESS</v>
          </cell>
          <cell r="D13">
            <v>28779.0164</v>
          </cell>
          <cell r="G13">
            <v>194</v>
          </cell>
          <cell r="H13">
            <v>24676</v>
          </cell>
          <cell r="I13">
            <v>24870</v>
          </cell>
          <cell r="J13">
            <v>23991</v>
          </cell>
          <cell r="K13">
            <v>25000</v>
          </cell>
          <cell r="L13">
            <v>-800.00000000000432</v>
          </cell>
          <cell r="M13">
            <v>24199.999999999996</v>
          </cell>
          <cell r="O13">
            <v>26000</v>
          </cell>
          <cell r="P13">
            <v>200</v>
          </cell>
          <cell r="Q13">
            <v>25000</v>
          </cell>
          <cell r="R13">
            <v>-1100</v>
          </cell>
          <cell r="S13">
            <v>-900</v>
          </cell>
          <cell r="T13">
            <v>23000</v>
          </cell>
          <cell r="U13">
            <v>2300</v>
          </cell>
          <cell r="V13">
            <v>20700</v>
          </cell>
          <cell r="W13">
            <v>23000</v>
          </cell>
          <cell r="X13">
            <v>23200</v>
          </cell>
        </row>
        <row r="14">
          <cell r="B14" t="str">
            <v>Sugammadex</v>
          </cell>
          <cell r="C14" t="str">
            <v>Sep 2013</v>
          </cell>
          <cell r="D14">
            <v>0</v>
          </cell>
          <cell r="G14">
            <v>0</v>
          </cell>
          <cell r="H14">
            <v>3813</v>
          </cell>
          <cell r="I14">
            <v>3813</v>
          </cell>
          <cell r="J14">
            <v>4244</v>
          </cell>
          <cell r="K14">
            <v>9000</v>
          </cell>
          <cell r="L14">
            <v>8000</v>
          </cell>
          <cell r="M14">
            <v>17000</v>
          </cell>
          <cell r="O14">
            <v>20000</v>
          </cell>
          <cell r="Q14">
            <v>20000</v>
          </cell>
          <cell r="S14">
            <v>-2000</v>
          </cell>
          <cell r="T14">
            <v>18000</v>
          </cell>
          <cell r="U14">
            <v>1800</v>
          </cell>
          <cell r="V14">
            <v>16200</v>
          </cell>
          <cell r="W14">
            <v>18000</v>
          </cell>
          <cell r="X14">
            <v>18000</v>
          </cell>
        </row>
        <row r="15">
          <cell r="B15" t="str">
            <v>VICTRELIS</v>
          </cell>
          <cell r="D15">
            <v>46178.247149999996</v>
          </cell>
          <cell r="G15">
            <v>0</v>
          </cell>
          <cell r="H15">
            <v>35350</v>
          </cell>
          <cell r="I15">
            <v>35350</v>
          </cell>
          <cell r="J15">
            <v>30688</v>
          </cell>
          <cell r="K15">
            <v>35000</v>
          </cell>
          <cell r="L15">
            <v>-5000.0000799999998</v>
          </cell>
          <cell r="M15">
            <v>29999.999920000002</v>
          </cell>
          <cell r="O15">
            <v>30000</v>
          </cell>
          <cell r="Q15">
            <v>25000</v>
          </cell>
          <cell r="R15">
            <v>-3000</v>
          </cell>
          <cell r="T15">
            <v>22000</v>
          </cell>
          <cell r="U15">
            <v>2200</v>
          </cell>
          <cell r="V15">
            <v>19800</v>
          </cell>
          <cell r="W15">
            <v>22000</v>
          </cell>
          <cell r="X15">
            <v>22000</v>
          </cell>
        </row>
        <row r="16">
          <cell r="B16" t="str">
            <v>ODANACATIB</v>
          </cell>
          <cell r="C16" t="str">
            <v>Mar 2015</v>
          </cell>
          <cell r="D16">
            <v>342.64816999999999</v>
          </cell>
          <cell r="G16">
            <v>0</v>
          </cell>
          <cell r="H16">
            <v>8836</v>
          </cell>
          <cell r="I16">
            <v>8836</v>
          </cell>
          <cell r="J16">
            <v>8685</v>
          </cell>
          <cell r="K16">
            <v>10000</v>
          </cell>
          <cell r="L16">
            <v>22000</v>
          </cell>
          <cell r="M16">
            <v>32000</v>
          </cell>
          <cell r="O16">
            <v>32000</v>
          </cell>
          <cell r="Q16">
            <v>25000</v>
          </cell>
          <cell r="T16">
            <v>25000</v>
          </cell>
          <cell r="U16">
            <v>2500</v>
          </cell>
          <cell r="V16">
            <v>22500</v>
          </cell>
          <cell r="W16">
            <v>25000</v>
          </cell>
          <cell r="X16">
            <v>25000</v>
          </cell>
        </row>
        <row r="17">
          <cell r="B17" t="str">
            <v>PD1 Melanoma</v>
          </cell>
          <cell r="C17" t="str">
            <v>Jan 2015</v>
          </cell>
          <cell r="P17">
            <v>0</v>
          </cell>
          <cell r="W17">
            <v>0</v>
          </cell>
          <cell r="X17">
            <v>0</v>
          </cell>
        </row>
        <row r="19">
          <cell r="B19" t="str">
            <v>Total Tier 2</v>
          </cell>
          <cell r="D19">
            <v>169173.24161000003</v>
          </cell>
          <cell r="G19">
            <v>4783</v>
          </cell>
          <cell r="H19">
            <v>137387.31100223045</v>
          </cell>
          <cell r="I19">
            <v>142170.31100223045</v>
          </cell>
          <cell r="J19">
            <v>144281</v>
          </cell>
          <cell r="K19">
            <v>141512.84727141753</v>
          </cell>
          <cell r="L19">
            <v>-10382.378019135516</v>
          </cell>
          <cell r="M19">
            <v>131130.46925228203</v>
          </cell>
          <cell r="O19">
            <v>151800</v>
          </cell>
          <cell r="P19">
            <v>5000</v>
          </cell>
          <cell r="Q19">
            <v>145900</v>
          </cell>
          <cell r="R19">
            <v>-4100</v>
          </cell>
          <cell r="S19">
            <v>-1665</v>
          </cell>
          <cell r="T19">
            <v>144135</v>
          </cell>
          <cell r="U19">
            <v>14413.5</v>
          </cell>
          <cell r="V19">
            <v>129721.5</v>
          </cell>
          <cell r="W19">
            <v>144135</v>
          </cell>
          <cell r="X19">
            <v>149135</v>
          </cell>
        </row>
        <row r="20">
          <cell r="B20" t="str">
            <v>NASONEX</v>
          </cell>
          <cell r="D20">
            <v>68744.332620000016</v>
          </cell>
          <cell r="G20">
            <v>4400</v>
          </cell>
          <cell r="H20">
            <v>67991</v>
          </cell>
          <cell r="I20">
            <v>72391</v>
          </cell>
          <cell r="J20">
            <v>74291</v>
          </cell>
          <cell r="K20">
            <v>55000</v>
          </cell>
          <cell r="L20">
            <v>-7045.4671395865698</v>
          </cell>
          <cell r="M20">
            <v>47954.532860413427</v>
          </cell>
          <cell r="O20">
            <v>59900</v>
          </cell>
          <cell r="P20">
            <v>4000</v>
          </cell>
          <cell r="Q20">
            <v>55000</v>
          </cell>
          <cell r="R20">
            <v>-2500</v>
          </cell>
          <cell r="T20">
            <v>52500</v>
          </cell>
          <cell r="U20">
            <v>5250</v>
          </cell>
          <cell r="V20">
            <v>47250</v>
          </cell>
          <cell r="W20">
            <v>52500</v>
          </cell>
          <cell r="X20">
            <v>56500</v>
          </cell>
        </row>
        <row r="21">
          <cell r="B21" t="str">
            <v>NEXPLANON</v>
          </cell>
          <cell r="D21">
            <v>12833.940640000001</v>
          </cell>
          <cell r="G21">
            <v>0</v>
          </cell>
          <cell r="H21">
            <v>5237</v>
          </cell>
          <cell r="I21">
            <v>5237</v>
          </cell>
          <cell r="J21">
            <v>5632</v>
          </cell>
          <cell r="K21">
            <v>7969.0639973996695</v>
          </cell>
          <cell r="L21">
            <v>-326.00655283770942</v>
          </cell>
          <cell r="M21">
            <v>7643.0574445619604</v>
          </cell>
          <cell r="O21">
            <v>10100</v>
          </cell>
          <cell r="Q21">
            <v>10100</v>
          </cell>
          <cell r="R21">
            <v>-500</v>
          </cell>
          <cell r="T21">
            <v>15600</v>
          </cell>
          <cell r="U21">
            <v>1560</v>
          </cell>
          <cell r="V21">
            <v>14040</v>
          </cell>
          <cell r="W21">
            <v>15600</v>
          </cell>
          <cell r="X21">
            <v>15600</v>
          </cell>
        </row>
        <row r="22">
          <cell r="B22" t="str">
            <v>GRAZAX</v>
          </cell>
          <cell r="C22" t="str">
            <v>Feb 2014</v>
          </cell>
          <cell r="D22">
            <v>3332.0343599999997</v>
          </cell>
          <cell r="G22">
            <v>0</v>
          </cell>
          <cell r="H22">
            <v>4451</v>
          </cell>
          <cell r="I22">
            <v>4451</v>
          </cell>
          <cell r="J22">
            <v>5450</v>
          </cell>
          <cell r="K22">
            <v>5000</v>
          </cell>
          <cell r="L22">
            <v>11000</v>
          </cell>
          <cell r="M22">
            <v>16000</v>
          </cell>
          <cell r="O22">
            <v>16000</v>
          </cell>
          <cell r="Q22">
            <v>16000</v>
          </cell>
          <cell r="T22">
            <v>16000</v>
          </cell>
          <cell r="U22">
            <v>1600</v>
          </cell>
          <cell r="V22">
            <v>14400</v>
          </cell>
          <cell r="W22">
            <v>16000</v>
          </cell>
          <cell r="X22">
            <v>16000</v>
          </cell>
        </row>
        <row r="23">
          <cell r="B23" t="str">
            <v>ZIOPTAN</v>
          </cell>
          <cell r="D23">
            <v>12337.62594</v>
          </cell>
          <cell r="G23">
            <v>0</v>
          </cell>
          <cell r="H23">
            <v>15744</v>
          </cell>
          <cell r="I23">
            <v>15744</v>
          </cell>
          <cell r="J23">
            <v>15541</v>
          </cell>
          <cell r="K23">
            <v>15000</v>
          </cell>
          <cell r="L23">
            <v>-2000.0000500000006</v>
          </cell>
          <cell r="M23">
            <v>12999.999949999999</v>
          </cell>
          <cell r="O23">
            <v>8000</v>
          </cell>
          <cell r="P23">
            <v>300</v>
          </cell>
          <cell r="Q23">
            <v>12000</v>
          </cell>
          <cell r="R23">
            <v>-500</v>
          </cell>
          <cell r="S23">
            <v>-300</v>
          </cell>
          <cell r="T23">
            <v>9200</v>
          </cell>
          <cell r="U23">
            <v>920</v>
          </cell>
          <cell r="V23">
            <v>8280</v>
          </cell>
          <cell r="W23">
            <v>9200</v>
          </cell>
          <cell r="X23">
            <v>9500</v>
          </cell>
        </row>
        <row r="24">
          <cell r="B24" t="str">
            <v>SAPHRIS</v>
          </cell>
          <cell r="D24">
            <v>32074.158769999998</v>
          </cell>
          <cell r="G24">
            <v>383</v>
          </cell>
          <cell r="H24">
            <v>14799</v>
          </cell>
          <cell r="I24">
            <v>15182</v>
          </cell>
          <cell r="J24">
            <v>15296</v>
          </cell>
          <cell r="K24">
            <v>20000</v>
          </cell>
          <cell r="L24">
            <v>-6999.9999800000023</v>
          </cell>
          <cell r="M24">
            <v>13000.000019999998</v>
          </cell>
          <cell r="O24">
            <v>13000</v>
          </cell>
          <cell r="P24">
            <v>700</v>
          </cell>
          <cell r="Q24">
            <v>13000</v>
          </cell>
          <cell r="R24">
            <v>-600</v>
          </cell>
          <cell r="S24">
            <v>-30</v>
          </cell>
          <cell r="T24">
            <v>12370</v>
          </cell>
          <cell r="U24">
            <v>1237</v>
          </cell>
          <cell r="V24">
            <v>11133</v>
          </cell>
          <cell r="W24">
            <v>12370</v>
          </cell>
          <cell r="X24">
            <v>13070</v>
          </cell>
        </row>
        <row r="25">
          <cell r="B25" t="str">
            <v>EMEND - CINV</v>
          </cell>
          <cell r="D25">
            <v>7005.6925100000008</v>
          </cell>
          <cell r="G25">
            <v>0</v>
          </cell>
          <cell r="H25">
            <v>5810</v>
          </cell>
          <cell r="I25">
            <v>5810</v>
          </cell>
          <cell r="J25">
            <v>5610</v>
          </cell>
          <cell r="K25">
            <v>9978.3026576438606</v>
          </cell>
          <cell r="L25">
            <v>0</v>
          </cell>
          <cell r="M25">
            <v>9978.3026576438606</v>
          </cell>
          <cell r="O25">
            <v>9500</v>
          </cell>
          <cell r="Q25">
            <v>9500</v>
          </cell>
          <cell r="S25">
            <v>-200</v>
          </cell>
          <cell r="T25">
            <v>9300</v>
          </cell>
          <cell r="U25">
            <v>930</v>
          </cell>
          <cell r="V25">
            <v>8370</v>
          </cell>
          <cell r="W25">
            <v>9300</v>
          </cell>
          <cell r="X25">
            <v>9300</v>
          </cell>
        </row>
        <row r="26">
          <cell r="B26" t="str">
            <v>NOXAFIL</v>
          </cell>
          <cell r="C26" t="str">
            <v>4Q 2013</v>
          </cell>
          <cell r="D26">
            <v>3624.5248000000001</v>
          </cell>
          <cell r="G26">
            <v>0</v>
          </cell>
          <cell r="H26">
            <v>2359</v>
          </cell>
          <cell r="I26">
            <v>2359</v>
          </cell>
          <cell r="J26">
            <v>2264</v>
          </cell>
          <cell r="K26">
            <v>2658.0639691384899</v>
          </cell>
          <cell r="L26">
            <v>1300</v>
          </cell>
          <cell r="M26">
            <v>3958.0639691384899</v>
          </cell>
          <cell r="O26">
            <v>7000</v>
          </cell>
          <cell r="Q26">
            <v>7000</v>
          </cell>
          <cell r="S26">
            <v>-300</v>
          </cell>
          <cell r="T26">
            <v>6700</v>
          </cell>
          <cell r="U26">
            <v>670</v>
          </cell>
          <cell r="V26">
            <v>6030</v>
          </cell>
          <cell r="W26">
            <v>6700</v>
          </cell>
          <cell r="X26">
            <v>6700</v>
          </cell>
        </row>
        <row r="27">
          <cell r="B27" t="str">
            <v>FOLLISTIM/GANIRELIX</v>
          </cell>
          <cell r="D27">
            <v>7215.5742799999998</v>
          </cell>
          <cell r="G27">
            <v>0</v>
          </cell>
          <cell r="H27">
            <v>6334</v>
          </cell>
          <cell r="I27">
            <v>6334</v>
          </cell>
          <cell r="J27">
            <v>6374</v>
          </cell>
          <cell r="K27">
            <v>8148.3866409487391</v>
          </cell>
          <cell r="L27">
            <v>-2253.4561168485689</v>
          </cell>
          <cell r="M27">
            <v>5894.9305241001703</v>
          </cell>
          <cell r="O27">
            <v>6000</v>
          </cell>
          <cell r="Q27">
            <v>6000</v>
          </cell>
          <cell r="T27">
            <v>6000</v>
          </cell>
          <cell r="U27">
            <v>600</v>
          </cell>
          <cell r="V27">
            <v>5400</v>
          </cell>
          <cell r="W27">
            <v>6000</v>
          </cell>
          <cell r="X27">
            <v>6000</v>
          </cell>
        </row>
        <row r="28">
          <cell r="B28" t="str">
            <v>INTRON A/SYLATRON</v>
          </cell>
          <cell r="D28">
            <v>7146.1475800000007</v>
          </cell>
          <cell r="G28">
            <v>0</v>
          </cell>
          <cell r="H28">
            <v>6100</v>
          </cell>
          <cell r="I28">
            <v>6100</v>
          </cell>
          <cell r="J28">
            <v>5852</v>
          </cell>
          <cell r="K28">
            <v>6967.7412973282298</v>
          </cell>
          <cell r="L28">
            <v>-3000</v>
          </cell>
          <cell r="M28">
            <v>3967.7412973282298</v>
          </cell>
          <cell r="O28">
            <v>7400</v>
          </cell>
          <cell r="Q28">
            <v>7400</v>
          </cell>
          <cell r="S28">
            <v>-200</v>
          </cell>
          <cell r="T28">
            <v>7200</v>
          </cell>
          <cell r="U28">
            <v>720</v>
          </cell>
          <cell r="V28">
            <v>6480</v>
          </cell>
          <cell r="W28">
            <v>7200</v>
          </cell>
          <cell r="X28">
            <v>7200</v>
          </cell>
        </row>
        <row r="29">
          <cell r="B29" t="str">
            <v>INVANZ</v>
          </cell>
          <cell r="D29">
            <v>4431.05116</v>
          </cell>
          <cell r="G29">
            <v>0</v>
          </cell>
          <cell r="H29">
            <v>3480.4613053175899</v>
          </cell>
          <cell r="I29">
            <v>3480.4613053175899</v>
          </cell>
          <cell r="J29">
            <v>3274</v>
          </cell>
          <cell r="K29">
            <v>3048.38664094874</v>
          </cell>
          <cell r="L29">
            <v>1000</v>
          </cell>
          <cell r="M29">
            <v>4048.38664094874</v>
          </cell>
          <cell r="O29">
            <v>3900</v>
          </cell>
          <cell r="Q29">
            <v>3900</v>
          </cell>
          <cell r="S29">
            <v>-75</v>
          </cell>
          <cell r="T29">
            <v>3825</v>
          </cell>
          <cell r="U29">
            <v>382.5</v>
          </cell>
          <cell r="V29">
            <v>3442.5</v>
          </cell>
          <cell r="W29">
            <v>3825</v>
          </cell>
          <cell r="X29">
            <v>3825</v>
          </cell>
        </row>
        <row r="30">
          <cell r="B30" t="str">
            <v>PEGINTRON</v>
          </cell>
          <cell r="D30">
            <v>7595.3624599999994</v>
          </cell>
          <cell r="G30">
            <v>0</v>
          </cell>
          <cell r="H30">
            <v>3918.8496969128701</v>
          </cell>
          <cell r="I30">
            <v>3918.8496969128701</v>
          </cell>
          <cell r="J30">
            <v>3853</v>
          </cell>
          <cell r="K30">
            <v>3962.9026332333601</v>
          </cell>
          <cell r="L30">
            <v>-962.90260000000001</v>
          </cell>
          <cell r="M30">
            <v>3000.0000332333602</v>
          </cell>
          <cell r="O30">
            <v>3000</v>
          </cell>
          <cell r="Q30">
            <v>3000</v>
          </cell>
          <cell r="T30">
            <v>3000</v>
          </cell>
          <cell r="U30">
            <v>300</v>
          </cell>
          <cell r="V30">
            <v>2700</v>
          </cell>
          <cell r="W30">
            <v>3000</v>
          </cell>
          <cell r="X30">
            <v>3000</v>
          </cell>
        </row>
        <row r="31">
          <cell r="B31" t="str">
            <v>ELONVA</v>
          </cell>
          <cell r="C31" t="str">
            <v>Jul 2014</v>
          </cell>
          <cell r="D31">
            <v>45</v>
          </cell>
          <cell r="G31">
            <v>0</v>
          </cell>
          <cell r="H31">
            <v>1163</v>
          </cell>
          <cell r="I31">
            <v>1163</v>
          </cell>
          <cell r="J31">
            <v>792</v>
          </cell>
          <cell r="K31">
            <v>3779.9994347764373</v>
          </cell>
          <cell r="L31">
            <v>-1094.545579862666</v>
          </cell>
          <cell r="M31">
            <v>2685.4538549137715</v>
          </cell>
          <cell r="O31">
            <v>3000</v>
          </cell>
          <cell r="Q31">
            <v>3000</v>
          </cell>
          <cell r="S31">
            <v>-560</v>
          </cell>
          <cell r="T31">
            <v>2440</v>
          </cell>
          <cell r="U31">
            <v>244</v>
          </cell>
          <cell r="V31">
            <v>2196</v>
          </cell>
          <cell r="W31">
            <v>2440</v>
          </cell>
          <cell r="X31">
            <v>2440</v>
          </cell>
        </row>
        <row r="32">
          <cell r="B32" t="str">
            <v>VORAPAXAR</v>
          </cell>
          <cell r="C32" t="str">
            <v>Sep 2014</v>
          </cell>
          <cell r="D32">
            <v>2787.7964899999997</v>
          </cell>
          <cell r="G32">
            <v>0</v>
          </cell>
          <cell r="H32">
            <v>0</v>
          </cell>
          <cell r="I32">
            <v>0</v>
          </cell>
          <cell r="J32">
            <v>48</v>
          </cell>
          <cell r="O32">
            <v>5000</v>
          </cell>
          <cell r="Q32">
            <v>0</v>
          </cell>
          <cell r="T32">
            <v>0</v>
          </cell>
          <cell r="U32">
            <v>0</v>
          </cell>
          <cell r="V32">
            <v>0</v>
          </cell>
          <cell r="W32">
            <v>0</v>
          </cell>
          <cell r="X32">
            <v>0</v>
          </cell>
        </row>
        <row r="33">
          <cell r="B33" t="str">
            <v>Preladenant</v>
          </cell>
          <cell r="J33">
            <v>4</v>
          </cell>
        </row>
        <row r="35">
          <cell r="B35" t="str">
            <v>Total Tier 3</v>
          </cell>
          <cell r="D35">
            <v>57346.550210000009</v>
          </cell>
          <cell r="G35">
            <v>1505.7</v>
          </cell>
          <cell r="H35">
            <v>32036.205501115226</v>
          </cell>
          <cell r="I35">
            <v>33541.90550111523</v>
          </cell>
          <cell r="J35">
            <v>29414</v>
          </cell>
          <cell r="K35">
            <v>36951.453059622923</v>
          </cell>
          <cell r="L35">
            <v>-11388.821503065386</v>
          </cell>
          <cell r="M35">
            <v>25562.631556557535</v>
          </cell>
          <cell r="O35">
            <v>30000</v>
          </cell>
          <cell r="P35">
            <v>3000</v>
          </cell>
          <cell r="Q35">
            <v>26500</v>
          </cell>
          <cell r="R35">
            <v>-1400</v>
          </cell>
          <cell r="S35">
            <v>-275</v>
          </cell>
          <cell r="T35">
            <v>24825</v>
          </cell>
          <cell r="U35">
            <v>2482.5</v>
          </cell>
          <cell r="V35">
            <v>22342.5</v>
          </cell>
          <cell r="W35">
            <v>24825</v>
          </cell>
          <cell r="X35">
            <v>27825</v>
          </cell>
        </row>
        <row r="36">
          <cell r="B36" t="str">
            <v>ASMANEX</v>
          </cell>
          <cell r="D36">
            <v>11816.50374</v>
          </cell>
          <cell r="G36">
            <v>1445.7</v>
          </cell>
          <cell r="H36">
            <v>7082.3</v>
          </cell>
          <cell r="I36">
            <v>8528</v>
          </cell>
          <cell r="J36">
            <v>7485</v>
          </cell>
          <cell r="K36">
            <v>6000</v>
          </cell>
          <cell r="L36">
            <v>-2163.6373700050999</v>
          </cell>
          <cell r="M36">
            <v>3836.3626299949001</v>
          </cell>
          <cell r="O36">
            <v>5500</v>
          </cell>
          <cell r="P36">
            <v>3000</v>
          </cell>
          <cell r="Q36">
            <v>5500</v>
          </cell>
          <cell r="T36">
            <v>5500</v>
          </cell>
          <cell r="U36">
            <v>550</v>
          </cell>
          <cell r="V36">
            <v>4950</v>
          </cell>
          <cell r="W36">
            <v>5500</v>
          </cell>
          <cell r="X36">
            <v>8500</v>
          </cell>
        </row>
        <row r="37">
          <cell r="B37" t="str">
            <v>OTHER ONCOLOGY</v>
          </cell>
          <cell r="D37">
            <v>1602.93859</v>
          </cell>
          <cell r="G37">
            <v>0</v>
          </cell>
          <cell r="H37">
            <v>2039</v>
          </cell>
          <cell r="I37">
            <v>2039</v>
          </cell>
          <cell r="J37">
            <v>2342</v>
          </cell>
          <cell r="K37">
            <v>3031.6127938276977</v>
          </cell>
          <cell r="L37">
            <v>0</v>
          </cell>
          <cell r="M37">
            <v>3031.6127938276977</v>
          </cell>
          <cell r="O37">
            <v>3000</v>
          </cell>
          <cell r="Q37">
            <v>3000</v>
          </cell>
          <cell r="S37">
            <v>-175</v>
          </cell>
          <cell r="T37">
            <v>2825</v>
          </cell>
          <cell r="U37">
            <v>282.5</v>
          </cell>
          <cell r="V37">
            <v>2542.5</v>
          </cell>
          <cell r="W37">
            <v>2825</v>
          </cell>
          <cell r="X37">
            <v>2825</v>
          </cell>
        </row>
        <row r="38">
          <cell r="B38" t="str">
            <v>AVELOX</v>
          </cell>
          <cell r="D38">
            <v>11256.457460000001</v>
          </cell>
          <cell r="G38">
            <v>0</v>
          </cell>
          <cell r="H38">
            <v>5000</v>
          </cell>
          <cell r="I38">
            <v>5000</v>
          </cell>
          <cell r="J38">
            <v>6092</v>
          </cell>
          <cell r="K38">
            <v>5000</v>
          </cell>
          <cell r="L38">
            <v>-1163.6373700050999</v>
          </cell>
          <cell r="M38">
            <v>3836.3626299949001</v>
          </cell>
          <cell r="O38">
            <v>5000</v>
          </cell>
          <cell r="Q38">
            <v>3500</v>
          </cell>
          <cell r="T38">
            <v>3500</v>
          </cell>
          <cell r="U38">
            <v>350</v>
          </cell>
          <cell r="V38">
            <v>3150</v>
          </cell>
          <cell r="W38">
            <v>3500</v>
          </cell>
          <cell r="X38">
            <v>3500</v>
          </cell>
        </row>
        <row r="39">
          <cell r="B39" t="str">
            <v>COSOPT PF</v>
          </cell>
          <cell r="D39">
            <v>427.35</v>
          </cell>
          <cell r="G39">
            <v>0</v>
          </cell>
          <cell r="H39">
            <v>2243.4</v>
          </cell>
          <cell r="I39">
            <v>2243.4</v>
          </cell>
          <cell r="J39">
            <v>3089</v>
          </cell>
          <cell r="K39">
            <v>2372.9029158451426</v>
          </cell>
          <cell r="L39">
            <v>627</v>
          </cell>
          <cell r="M39">
            <v>2999.9029158451426</v>
          </cell>
          <cell r="O39">
            <v>3000</v>
          </cell>
          <cell r="Q39">
            <v>3000</v>
          </cell>
          <cell r="R39">
            <v>-700</v>
          </cell>
          <cell r="T39">
            <v>2300</v>
          </cell>
          <cell r="U39">
            <v>230</v>
          </cell>
          <cell r="V39">
            <v>2070</v>
          </cell>
          <cell r="W39">
            <v>2300</v>
          </cell>
          <cell r="X39">
            <v>2300</v>
          </cell>
        </row>
        <row r="40">
          <cell r="B40" t="str">
            <v>INTEGRILIN</v>
          </cell>
          <cell r="D40">
            <v>4682.7626899999996</v>
          </cell>
          <cell r="G40">
            <v>0</v>
          </cell>
          <cell r="H40">
            <v>1866.4806526587956</v>
          </cell>
          <cell r="I40">
            <v>1866.4806526587956</v>
          </cell>
          <cell r="J40">
            <v>2054</v>
          </cell>
          <cell r="K40">
            <v>1919.3546563794955</v>
          </cell>
          <cell r="L40">
            <v>-500</v>
          </cell>
          <cell r="M40">
            <v>1419.3546563794955</v>
          </cell>
          <cell r="O40">
            <v>2000</v>
          </cell>
          <cell r="Q40">
            <v>2000</v>
          </cell>
          <cell r="T40">
            <v>2000</v>
          </cell>
          <cell r="U40">
            <v>200</v>
          </cell>
          <cell r="V40">
            <v>1800</v>
          </cell>
          <cell r="W40">
            <v>2000</v>
          </cell>
          <cell r="X40">
            <v>2000</v>
          </cell>
        </row>
        <row r="41">
          <cell r="B41" t="str">
            <v>AZASITE</v>
          </cell>
          <cell r="D41">
            <v>3776.3743100000002</v>
          </cell>
          <cell r="G41">
            <v>0</v>
          </cell>
          <cell r="H41">
            <v>3272.6</v>
          </cell>
          <cell r="I41">
            <v>3272.6</v>
          </cell>
          <cell r="J41">
            <v>302</v>
          </cell>
          <cell r="K41">
            <v>9999.6</v>
          </cell>
          <cell r="L41">
            <v>-7500.0000299999992</v>
          </cell>
          <cell r="M41">
            <v>2499.5999700000011</v>
          </cell>
          <cell r="O41">
            <v>2500</v>
          </cell>
          <cell r="Q41">
            <v>2500</v>
          </cell>
          <cell r="T41">
            <v>2500</v>
          </cell>
          <cell r="U41">
            <v>250</v>
          </cell>
          <cell r="V41">
            <v>2250</v>
          </cell>
          <cell r="W41">
            <v>2500</v>
          </cell>
          <cell r="X41">
            <v>2500</v>
          </cell>
        </row>
        <row r="42">
          <cell r="B42" t="str">
            <v>PROVENTIL</v>
          </cell>
          <cell r="D42">
            <v>2773.1353600000002</v>
          </cell>
          <cell r="G42">
            <v>0</v>
          </cell>
          <cell r="H42">
            <v>1961.3168121270367</v>
          </cell>
          <cell r="I42">
            <v>1961.3168121270367</v>
          </cell>
          <cell r="J42">
            <v>1632</v>
          </cell>
          <cell r="K42">
            <v>1514.5159922846215</v>
          </cell>
          <cell r="L42">
            <v>-61.97765394517063</v>
          </cell>
          <cell r="M42">
            <v>1452.5383383394508</v>
          </cell>
          <cell r="O42">
            <v>1500</v>
          </cell>
          <cell r="Q42">
            <v>1500</v>
          </cell>
          <cell r="T42">
            <v>1500</v>
          </cell>
          <cell r="U42">
            <v>150</v>
          </cell>
          <cell r="V42">
            <v>1350</v>
          </cell>
          <cell r="W42">
            <v>1500</v>
          </cell>
          <cell r="X42">
            <v>1500</v>
          </cell>
        </row>
        <row r="43">
          <cell r="B43" t="str">
            <v>DB PORTFOLIO</v>
          </cell>
          <cell r="D43">
            <v>1362.9351099999999</v>
          </cell>
          <cell r="G43">
            <v>0</v>
          </cell>
          <cell r="H43">
            <v>992</v>
          </cell>
          <cell r="I43">
            <v>992</v>
          </cell>
          <cell r="J43">
            <v>-166</v>
          </cell>
          <cell r="K43">
            <v>1000</v>
          </cell>
          <cell r="L43">
            <v>0</v>
          </cell>
          <cell r="M43">
            <v>1000</v>
          </cell>
          <cell r="O43">
            <v>1000</v>
          </cell>
          <cell r="Q43">
            <v>0</v>
          </cell>
          <cell r="R43">
            <v>1000</v>
          </cell>
          <cell r="T43">
            <v>1000</v>
          </cell>
          <cell r="U43">
            <v>100</v>
          </cell>
          <cell r="V43">
            <v>900</v>
          </cell>
          <cell r="W43">
            <v>1000</v>
          </cell>
          <cell r="X43">
            <v>1000</v>
          </cell>
        </row>
        <row r="44">
          <cell r="B44" t="str">
            <v>TEMODAR</v>
          </cell>
          <cell r="D44">
            <v>4175.7018699999999</v>
          </cell>
          <cell r="G44">
            <v>0</v>
          </cell>
          <cell r="H44">
            <v>2775</v>
          </cell>
          <cell r="I44">
            <v>2775</v>
          </cell>
          <cell r="J44">
            <v>2437</v>
          </cell>
          <cell r="K44">
            <v>1332</v>
          </cell>
          <cell r="L44">
            <v>0</v>
          </cell>
          <cell r="M44">
            <v>1332</v>
          </cell>
          <cell r="O44">
            <v>1500</v>
          </cell>
          <cell r="Q44">
            <v>1500</v>
          </cell>
          <cell r="R44">
            <v>-500</v>
          </cell>
          <cell r="S44">
            <v>-100</v>
          </cell>
          <cell r="T44">
            <v>900</v>
          </cell>
          <cell r="U44">
            <v>90</v>
          </cell>
          <cell r="V44">
            <v>810</v>
          </cell>
          <cell r="W44">
            <v>900</v>
          </cell>
          <cell r="X44">
            <v>900</v>
          </cell>
        </row>
        <row r="45">
          <cell r="B45" t="str">
            <v>FORADIL</v>
          </cell>
          <cell r="D45">
            <v>1794.6175499999999</v>
          </cell>
          <cell r="G45">
            <v>0</v>
          </cell>
          <cell r="H45">
            <v>597.10803632939781</v>
          </cell>
          <cell r="I45">
            <v>597.10803632939781</v>
          </cell>
          <cell r="J45">
            <v>403</v>
          </cell>
          <cell r="K45">
            <v>862.09666023718466</v>
          </cell>
          <cell r="L45">
            <v>-35.263853909671347</v>
          </cell>
          <cell r="M45">
            <v>826.83280632751337</v>
          </cell>
          <cell r="O45">
            <v>1000</v>
          </cell>
          <cell r="Q45">
            <v>1000</v>
          </cell>
          <cell r="T45">
            <v>1000</v>
          </cell>
          <cell r="U45">
            <v>100</v>
          </cell>
          <cell r="V45">
            <v>900</v>
          </cell>
          <cell r="W45">
            <v>1000</v>
          </cell>
          <cell r="X45">
            <v>1000</v>
          </cell>
        </row>
        <row r="46">
          <cell r="B46" t="str">
            <v>OTHER WH/E</v>
          </cell>
          <cell r="D46">
            <v>0.93</v>
          </cell>
          <cell r="G46">
            <v>0</v>
          </cell>
          <cell r="H46">
            <v>0</v>
          </cell>
          <cell r="I46">
            <v>0</v>
          </cell>
          <cell r="K46">
            <v>609.67732818974775</v>
          </cell>
          <cell r="L46">
            <v>-24.941498895294067</v>
          </cell>
          <cell r="M46">
            <v>584.73582929445365</v>
          </cell>
          <cell r="O46">
            <v>500</v>
          </cell>
          <cell r="Q46">
            <v>500</v>
          </cell>
          <cell r="T46">
            <v>500</v>
          </cell>
          <cell r="U46">
            <v>50</v>
          </cell>
          <cell r="V46">
            <v>450</v>
          </cell>
          <cell r="W46">
            <v>500</v>
          </cell>
          <cell r="X46">
            <v>500</v>
          </cell>
        </row>
        <row r="47">
          <cell r="B47" t="str">
            <v>CANCIDAS</v>
          </cell>
          <cell r="D47">
            <v>1095.97354</v>
          </cell>
          <cell r="G47">
            <v>0</v>
          </cell>
          <cell r="H47">
            <v>87</v>
          </cell>
          <cell r="I47">
            <v>87</v>
          </cell>
          <cell r="K47">
            <v>609.67732818974775</v>
          </cell>
          <cell r="L47">
            <v>0</v>
          </cell>
          <cell r="M47">
            <v>609.67732818974775</v>
          </cell>
          <cell r="O47">
            <v>500</v>
          </cell>
          <cell r="Q47">
            <v>500</v>
          </cell>
          <cell r="T47">
            <v>500</v>
          </cell>
          <cell r="U47">
            <v>50</v>
          </cell>
          <cell r="V47">
            <v>450</v>
          </cell>
          <cell r="W47">
            <v>500</v>
          </cell>
          <cell r="X47">
            <v>500</v>
          </cell>
        </row>
        <row r="48">
          <cell r="B48" t="str">
            <v>ZOLINZA</v>
          </cell>
          <cell r="D48">
            <v>3347.1095500000006</v>
          </cell>
          <cell r="G48">
            <v>0</v>
          </cell>
          <cell r="H48">
            <v>1348</v>
          </cell>
          <cell r="I48">
            <v>1348</v>
          </cell>
          <cell r="J48">
            <v>1013</v>
          </cell>
          <cell r="K48">
            <v>1000</v>
          </cell>
          <cell r="L48">
            <v>-249.99998999999994</v>
          </cell>
          <cell r="M48">
            <v>750.00001000000009</v>
          </cell>
          <cell r="O48">
            <v>1000</v>
          </cell>
          <cell r="Q48">
            <v>1000</v>
          </cell>
          <cell r="R48">
            <v>-200</v>
          </cell>
          <cell r="T48">
            <v>800</v>
          </cell>
          <cell r="U48">
            <v>80</v>
          </cell>
          <cell r="V48">
            <v>720</v>
          </cell>
          <cell r="W48">
            <v>800</v>
          </cell>
          <cell r="X48">
            <v>800</v>
          </cell>
        </row>
        <row r="49">
          <cell r="B49" t="str">
            <v>CLARINEX</v>
          </cell>
          <cell r="D49">
            <v>3157.0628100000004</v>
          </cell>
          <cell r="G49">
            <v>60</v>
          </cell>
          <cell r="H49">
            <v>443</v>
          </cell>
          <cell r="I49">
            <v>503</v>
          </cell>
          <cell r="J49">
            <v>366</v>
          </cell>
          <cell r="K49">
            <v>700</v>
          </cell>
          <cell r="L49">
            <v>-316.36373630505113</v>
          </cell>
          <cell r="M49">
            <v>383.63626369494887</v>
          </cell>
          <cell r="O49">
            <v>0</v>
          </cell>
          <cell r="Q49">
            <v>0</v>
          </cell>
          <cell r="T49">
            <v>0</v>
          </cell>
          <cell r="U49">
            <v>0</v>
          </cell>
          <cell r="V49">
            <v>0</v>
          </cell>
          <cell r="W49">
            <v>0</v>
          </cell>
          <cell r="X49">
            <v>0</v>
          </cell>
        </row>
        <row r="50">
          <cell r="B50" t="str">
            <v>MK8669 M-TOR ONC</v>
          </cell>
          <cell r="D50">
            <v>6076.6976300000006</v>
          </cell>
          <cell r="G50">
            <v>0</v>
          </cell>
          <cell r="H50">
            <v>2329</v>
          </cell>
          <cell r="I50">
            <v>2329</v>
          </cell>
          <cell r="J50">
            <v>2365</v>
          </cell>
          <cell r="K50">
            <v>1.5384669291961472E-2</v>
          </cell>
          <cell r="L50">
            <v>0</v>
          </cell>
          <cell r="M50">
            <v>1.5384669291961472E-2</v>
          </cell>
          <cell r="O50">
            <v>0</v>
          </cell>
          <cell r="Q50">
            <v>0</v>
          </cell>
          <cell r="T50">
            <v>0</v>
          </cell>
          <cell r="U50">
            <v>0</v>
          </cell>
          <cell r="V50">
            <v>0</v>
          </cell>
          <cell r="W50">
            <v>0</v>
          </cell>
          <cell r="X50">
            <v>0</v>
          </cell>
        </row>
        <row r="51">
          <cell r="B51" t="str">
            <v>MK-3415A</v>
          </cell>
          <cell r="T51">
            <v>0</v>
          </cell>
          <cell r="U51">
            <v>0</v>
          </cell>
          <cell r="V51">
            <v>0</v>
          </cell>
          <cell r="W51">
            <v>0</v>
          </cell>
          <cell r="X51">
            <v>0</v>
          </cell>
        </row>
        <row r="52">
          <cell r="B52" t="str">
            <v>TESTOSTERONE</v>
          </cell>
          <cell r="D52">
            <v>0</v>
          </cell>
          <cell r="G52">
            <v>0</v>
          </cell>
          <cell r="H52">
            <v>0</v>
          </cell>
          <cell r="I52">
            <v>0</v>
          </cell>
          <cell r="K52">
            <v>1000</v>
          </cell>
          <cell r="L52">
            <v>0</v>
          </cell>
          <cell r="M52">
            <v>1000</v>
          </cell>
          <cell r="O52">
            <v>1000</v>
          </cell>
          <cell r="Q52">
            <v>1000</v>
          </cell>
          <cell r="R52">
            <v>-1000</v>
          </cell>
          <cell r="T52">
            <v>0</v>
          </cell>
          <cell r="U52">
            <v>0</v>
          </cell>
          <cell r="V52">
            <v>0</v>
          </cell>
          <cell r="W52">
            <v>0</v>
          </cell>
          <cell r="X52">
            <v>0</v>
          </cell>
        </row>
        <row r="53">
          <cell r="B53" t="str">
            <v>VINTAFOLIDE</v>
          </cell>
          <cell r="D53">
            <v>0</v>
          </cell>
          <cell r="G53">
            <v>0</v>
          </cell>
          <cell r="H53">
            <v>0</v>
          </cell>
          <cell r="I53">
            <v>0</v>
          </cell>
          <cell r="K53">
            <v>0</v>
          </cell>
          <cell r="L53">
            <v>0</v>
          </cell>
          <cell r="M53">
            <v>0</v>
          </cell>
          <cell r="O53">
            <v>1000</v>
          </cell>
          <cell r="Q53">
            <v>0</v>
          </cell>
          <cell r="T53">
            <v>0</v>
          </cell>
          <cell r="U53">
            <v>0</v>
          </cell>
          <cell r="V53">
            <v>0</v>
          </cell>
          <cell r="W53">
            <v>0</v>
          </cell>
          <cell r="X53">
            <v>0</v>
          </cell>
        </row>
        <row r="54">
          <cell r="T54">
            <v>0</v>
          </cell>
          <cell r="U54">
            <v>0</v>
          </cell>
          <cell r="V54">
            <v>0</v>
          </cell>
        </row>
        <row r="55">
          <cell r="T55">
            <v>0</v>
          </cell>
          <cell r="U55">
            <v>0</v>
          </cell>
          <cell r="V55">
            <v>0</v>
          </cell>
        </row>
        <row r="56">
          <cell r="B56" t="str">
            <v>M&amp;CS Promotion</v>
          </cell>
          <cell r="D56">
            <v>39087.450440000001</v>
          </cell>
          <cell r="G56">
            <v>0</v>
          </cell>
          <cell r="H56">
            <v>19615</v>
          </cell>
          <cell r="I56">
            <v>19615</v>
          </cell>
          <cell r="J56">
            <v>18136</v>
          </cell>
          <cell r="K56">
            <v>17000</v>
          </cell>
          <cell r="M56">
            <v>17000</v>
          </cell>
          <cell r="O56">
            <v>17000</v>
          </cell>
          <cell r="Q56">
            <v>17000</v>
          </cell>
          <cell r="T56">
            <v>17000</v>
          </cell>
          <cell r="U56">
            <v>1700</v>
          </cell>
          <cell r="V56">
            <v>15300</v>
          </cell>
          <cell r="W56">
            <v>17000</v>
          </cell>
          <cell r="X56">
            <v>17000</v>
          </cell>
        </row>
        <row r="57">
          <cell r="B57" t="str">
            <v>Strategy Promotion</v>
          </cell>
          <cell r="D57">
            <v>2693.9936599999996</v>
          </cell>
          <cell r="G57">
            <v>25272</v>
          </cell>
          <cell r="H57">
            <v>0</v>
          </cell>
          <cell r="I57">
            <v>25272</v>
          </cell>
          <cell r="J57">
            <v>22831</v>
          </cell>
          <cell r="K57">
            <v>29254</v>
          </cell>
          <cell r="M57">
            <v>29254</v>
          </cell>
          <cell r="P57">
            <v>17182</v>
          </cell>
          <cell r="X57">
            <v>17182</v>
          </cell>
        </row>
        <row r="58">
          <cell r="B58" t="str">
            <v>Ops Promotion</v>
          </cell>
        </row>
        <row r="59">
          <cell r="B59" t="str">
            <v>Unidentified Reduction</v>
          </cell>
          <cell r="D59">
            <v>-36679.992120000003</v>
          </cell>
          <cell r="G59">
            <v>0</v>
          </cell>
          <cell r="H59">
            <v>-22830</v>
          </cell>
          <cell r="I59">
            <v>-22830</v>
          </cell>
          <cell r="J59">
            <v>-9334</v>
          </cell>
          <cell r="K59">
            <v>-8400</v>
          </cell>
          <cell r="M59">
            <v>-8400</v>
          </cell>
          <cell r="T59">
            <v>-14000</v>
          </cell>
          <cell r="V59">
            <v>-14000</v>
          </cell>
          <cell r="W59">
            <v>-14000</v>
          </cell>
          <cell r="X59">
            <v>-14000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9 Months</v>
          </cell>
        </row>
        <row r="5">
          <cell r="B5">
            <v>5937</v>
          </cell>
        </row>
        <row r="6">
          <cell r="Q6">
            <v>3.95E-2</v>
          </cell>
        </row>
        <row r="7">
          <cell r="B7">
            <v>5.1375442142496208</v>
          </cell>
        </row>
      </sheetData>
      <sheetData sheetId="1" refreshError="1">
        <row r="16">
          <cell r="C16">
            <v>3.9227450000000097</v>
          </cell>
        </row>
        <row r="25">
          <cell r="C25">
            <v>3.7345389002366356</v>
          </cell>
        </row>
        <row r="28">
          <cell r="C28">
            <v>6.31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6 Months</v>
          </cell>
        </row>
        <row r="5">
          <cell r="B5">
            <v>6284</v>
          </cell>
        </row>
        <row r="6">
          <cell r="Q6">
            <v>3.3099999999999997E-2</v>
          </cell>
        </row>
        <row r="7">
          <cell r="B7">
            <v>3.4904264799490772</v>
          </cell>
        </row>
      </sheetData>
      <sheetData sheetId="1" refreshError="1">
        <row r="16">
          <cell r="C16">
            <v>2.5170894999999889</v>
          </cell>
        </row>
        <row r="25">
          <cell r="C25">
            <v>3.370481428578965</v>
          </cell>
        </row>
        <row r="28">
          <cell r="C28">
            <v>5.38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 Program Period"/>
      <sheetName val="Trending - Month 1"/>
      <sheetName val="Trending - Month 2"/>
      <sheetName val="Trending - Month 3"/>
      <sheetName val="Trending - Month 4"/>
      <sheetName val="Trending - Month 5"/>
      <sheetName val="Trending - Month 6"/>
      <sheetName val="Trending - Month 7"/>
      <sheetName val="Trending - Month 8"/>
      <sheetName val="Trending - Month 9"/>
      <sheetName val="Trending - Month 10"/>
      <sheetName val="Trending - Month 11"/>
      <sheetName val="Trending - Month 12"/>
      <sheetName val="Net Revenue Per TRx Table"/>
    </sheetNames>
    <sheetDataSet>
      <sheetData sheetId="0" refreshError="1">
        <row r="3">
          <cell r="B3" t="str">
            <v xml:space="preserve">  6 Months</v>
          </cell>
        </row>
        <row r="5">
          <cell r="B5">
            <v>726</v>
          </cell>
        </row>
        <row r="6">
          <cell r="Q6">
            <v>4.0099999999999997E-2</v>
          </cell>
        </row>
        <row r="7">
          <cell r="B7">
            <v>3.70129476584022</v>
          </cell>
        </row>
      </sheetData>
      <sheetData sheetId="1" refreshError="1">
        <row r="16">
          <cell r="C16">
            <v>3.202787000000006</v>
          </cell>
        </row>
        <row r="25">
          <cell r="C25">
            <v>4.0443260357280915</v>
          </cell>
        </row>
        <row r="28">
          <cell r="C28">
            <v>4.13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A93"/>
  <sheetViews>
    <sheetView tabSelected="1" workbookViewId="0">
      <pane xSplit="1" ySplit="3" topLeftCell="B4" activePane="bottomRight" state="frozen"/>
      <selection pane="topRight" activeCell="B1" sqref="B1"/>
      <selection pane="bottomLeft" activeCell="A3" sqref="A3"/>
      <selection pane="bottomRight" activeCell="I14" sqref="I14"/>
    </sheetView>
  </sheetViews>
  <sheetFormatPr defaultRowHeight="14.4" outlineLevelCol="1" x14ac:dyDescent="0.3"/>
  <cols>
    <col min="1" max="1" width="30.5546875" bestFit="1" customWidth="1"/>
    <col min="2" max="2" width="12.6640625" style="14" customWidth="1"/>
    <col min="3" max="3" width="12.6640625" style="1" customWidth="1"/>
    <col min="4" max="17" width="12.6640625" customWidth="1"/>
    <col min="18" max="18" width="12.6640625" style="6" customWidth="1"/>
    <col min="19" max="21" width="12.6640625" customWidth="1"/>
    <col min="22" max="22" width="12.6640625" style="6" customWidth="1"/>
    <col min="23" max="23" width="11.88671875" customWidth="1"/>
    <col min="24" max="24" width="12" style="59" customWidth="1"/>
    <col min="25" max="25" width="12.44140625" style="60" customWidth="1"/>
    <col min="26" max="26" width="2.33203125" customWidth="1"/>
    <col min="27" max="27" width="17.33203125" customWidth="1"/>
    <col min="30" max="30" width="11.6640625" customWidth="1"/>
    <col min="32" max="32" width="2.44140625" customWidth="1"/>
    <col min="33" max="34" width="8.6640625" customWidth="1"/>
    <col min="36" max="36" width="9" customWidth="1"/>
    <col min="39" max="39" width="2" customWidth="1"/>
    <col min="41" max="41" width="10.6640625" customWidth="1"/>
    <col min="43" max="43" width="2.5546875" customWidth="1"/>
    <col min="45" max="45" width="2.5546875" customWidth="1"/>
    <col min="46" max="47" width="12.88671875" customWidth="1"/>
    <col min="48" max="48" width="12.88671875" style="5" customWidth="1"/>
    <col min="49" max="49" width="9.109375" hidden="1" customWidth="1" outlineLevel="1"/>
    <col min="50" max="50" width="12.6640625" customWidth="1" collapsed="1"/>
    <col min="51" max="51" width="9.109375" collapsed="1"/>
  </cols>
  <sheetData>
    <row r="1" spans="1:53" ht="15" x14ac:dyDescent="0.25">
      <c r="A1" s="5" t="s">
        <v>0</v>
      </c>
      <c r="B1" s="13"/>
      <c r="C1" s="8"/>
      <c r="D1" s="5"/>
      <c r="E1" s="5"/>
      <c r="F1" s="5"/>
      <c r="G1" s="5"/>
      <c r="H1" s="5"/>
      <c r="I1" s="5"/>
      <c r="J1" s="5"/>
      <c r="K1" s="5"/>
      <c r="L1" s="5"/>
      <c r="M1" s="5"/>
      <c r="O1" t="s">
        <v>57</v>
      </c>
      <c r="W1" s="5" t="s">
        <v>77</v>
      </c>
      <c r="AI1" s="5"/>
      <c r="AK1" s="5"/>
      <c r="AX1" s="5"/>
    </row>
    <row r="2" spans="1:53" ht="15" x14ac:dyDescent="0.25">
      <c r="A2" s="5"/>
      <c r="B2" s="13"/>
      <c r="C2" s="8"/>
      <c r="D2" s="5"/>
      <c r="E2" s="5"/>
      <c r="F2" s="5"/>
      <c r="G2" s="5"/>
      <c r="H2" s="5"/>
      <c r="I2" s="5"/>
      <c r="J2" s="5"/>
      <c r="K2" s="5"/>
      <c r="L2" s="5"/>
      <c r="M2" s="5"/>
      <c r="W2" s="287"/>
      <c r="X2" s="288"/>
      <c r="Y2" s="289"/>
      <c r="AA2" s="57"/>
      <c r="AB2" s="58"/>
      <c r="AC2" s="58"/>
      <c r="AD2" s="58"/>
      <c r="AE2" s="55"/>
      <c r="AI2" s="52" t="s">
        <v>191</v>
      </c>
      <c r="AJ2" s="56"/>
      <c r="AK2" s="52" t="s">
        <v>190</v>
      </c>
      <c r="AL2" s="53"/>
      <c r="AN2" s="56"/>
      <c r="AO2" s="56"/>
      <c r="AP2" s="53"/>
      <c r="AR2" s="54"/>
      <c r="AT2" s="52" t="s">
        <v>82</v>
      </c>
      <c r="AU2" s="56"/>
      <c r="AV2" s="294"/>
      <c r="AW2" s="292" t="s">
        <v>193</v>
      </c>
      <c r="AX2" s="5"/>
    </row>
    <row r="3" spans="1:53" ht="60" x14ac:dyDescent="0.25">
      <c r="A3" t="s">
        <v>26</v>
      </c>
      <c r="B3" s="2" t="s">
        <v>27</v>
      </c>
      <c r="C3" s="2" t="s">
        <v>30</v>
      </c>
      <c r="D3" s="2" t="s">
        <v>18</v>
      </c>
      <c r="E3" s="2" t="s">
        <v>19</v>
      </c>
      <c r="F3" s="2" t="s">
        <v>20</v>
      </c>
      <c r="G3" s="2" t="s">
        <v>22</v>
      </c>
      <c r="H3" s="28" t="s">
        <v>21</v>
      </c>
      <c r="I3" s="2" t="s">
        <v>23</v>
      </c>
      <c r="J3" s="2" t="s">
        <v>54</v>
      </c>
      <c r="K3" s="25" t="s">
        <v>55</v>
      </c>
      <c r="L3" s="25" t="s">
        <v>56</v>
      </c>
      <c r="M3" s="2" t="s">
        <v>24</v>
      </c>
      <c r="N3" s="2" t="s">
        <v>6</v>
      </c>
      <c r="O3" s="2" t="s">
        <v>58</v>
      </c>
      <c r="P3" s="25" t="s">
        <v>59</v>
      </c>
      <c r="Q3" s="25" t="s">
        <v>60</v>
      </c>
      <c r="R3" s="2" t="s">
        <v>25</v>
      </c>
      <c r="S3" s="2" t="s">
        <v>61</v>
      </c>
      <c r="T3" s="25" t="s">
        <v>62</v>
      </c>
      <c r="U3" s="25" t="s">
        <v>63</v>
      </c>
      <c r="V3" s="2" t="s">
        <v>64</v>
      </c>
      <c r="W3" s="282" t="s">
        <v>92</v>
      </c>
      <c r="X3" s="290" t="s">
        <v>93</v>
      </c>
      <c r="Y3" s="291" t="s">
        <v>194</v>
      </c>
      <c r="Z3" s="2"/>
      <c r="AA3" s="282" t="s">
        <v>84</v>
      </c>
      <c r="AB3" s="283" t="s">
        <v>78</v>
      </c>
      <c r="AC3" s="283" t="s">
        <v>79</v>
      </c>
      <c r="AD3" s="283" t="s">
        <v>195</v>
      </c>
      <c r="AE3" s="284" t="s">
        <v>89</v>
      </c>
      <c r="AF3" s="28"/>
      <c r="AG3" s="28" t="s">
        <v>197</v>
      </c>
      <c r="AH3" s="28" t="s">
        <v>198</v>
      </c>
      <c r="AI3" s="282" t="s">
        <v>188</v>
      </c>
      <c r="AJ3" s="283" t="s">
        <v>189</v>
      </c>
      <c r="AK3" s="282" t="s">
        <v>188</v>
      </c>
      <c r="AL3" s="284" t="s">
        <v>189</v>
      </c>
      <c r="AM3" s="28"/>
      <c r="AN3" s="283" t="s">
        <v>80</v>
      </c>
      <c r="AO3" s="283" t="s">
        <v>88</v>
      </c>
      <c r="AP3" s="284" t="s">
        <v>81</v>
      </c>
      <c r="AQ3" s="28"/>
      <c r="AR3" s="285" t="s">
        <v>86</v>
      </c>
      <c r="AS3" s="28"/>
      <c r="AT3" s="282" t="s">
        <v>87</v>
      </c>
      <c r="AU3" s="283" t="s">
        <v>90</v>
      </c>
      <c r="AV3" s="295" t="s">
        <v>83</v>
      </c>
      <c r="AW3" s="292" t="s">
        <v>196</v>
      </c>
      <c r="AX3" s="28" t="s">
        <v>21</v>
      </c>
      <c r="AY3" s="286"/>
      <c r="AZ3" s="286"/>
      <c r="BA3" s="286"/>
    </row>
    <row r="4" spans="1:53" ht="15" x14ac:dyDescent="0.25">
      <c r="A4" s="5" t="s">
        <v>51</v>
      </c>
      <c r="B4" s="2"/>
      <c r="C4" s="2"/>
      <c r="D4" s="2"/>
      <c r="E4" s="2"/>
      <c r="F4" s="2"/>
      <c r="G4" s="2"/>
      <c r="H4" s="2"/>
      <c r="I4" s="2"/>
      <c r="J4" s="29"/>
      <c r="K4" s="32"/>
      <c r="L4" s="35"/>
      <c r="M4" s="38"/>
      <c r="N4" s="29"/>
      <c r="O4" s="29"/>
      <c r="P4" s="32"/>
      <c r="Q4" s="35"/>
      <c r="R4" s="38"/>
      <c r="S4" s="29"/>
      <c r="T4" s="32"/>
      <c r="U4" s="35"/>
      <c r="V4" s="38"/>
      <c r="AX4" s="2"/>
    </row>
    <row r="5" spans="1:53" ht="15" x14ac:dyDescent="0.25">
      <c r="A5" t="s">
        <v>1</v>
      </c>
      <c r="E5" s="10"/>
      <c r="F5" s="11"/>
      <c r="G5" s="10"/>
      <c r="H5" s="10"/>
      <c r="I5" s="12"/>
      <c r="J5" s="30"/>
      <c r="K5" s="33"/>
      <c r="L5" s="36"/>
      <c r="M5" s="39"/>
      <c r="N5" s="30">
        <f>VLOOKUP($A5,'[6]Aug 2013 Forecast '!$B$7:$X$59,15,FALSE)/1000</f>
        <v>15.7</v>
      </c>
      <c r="O5" s="30"/>
      <c r="P5" s="33"/>
      <c r="Q5" s="36"/>
      <c r="R5" s="41"/>
      <c r="S5" s="30"/>
      <c r="T5" s="33"/>
      <c r="U5" s="36"/>
      <c r="V5" s="41"/>
      <c r="AX5" s="10"/>
    </row>
    <row r="6" spans="1:53" ht="15" x14ac:dyDescent="0.25">
      <c r="A6" s="7" t="s">
        <v>32</v>
      </c>
      <c r="B6" s="14" t="s">
        <v>33</v>
      </c>
      <c r="C6" s="1" t="str">
        <f>[7]Input!$B$3</f>
        <v xml:space="preserve">  9 Months</v>
      </c>
      <c r="D6" s="9">
        <f>[7]Input!$B$5</f>
        <v>5937</v>
      </c>
      <c r="E6" s="10">
        <f>'[7]Summary - Program Period'!$C$16</f>
        <v>3.9227450000000097</v>
      </c>
      <c r="F6" s="11">
        <f>[7]Input!$Q$6</f>
        <v>3.95E-2</v>
      </c>
      <c r="G6" s="10">
        <f>'[7]Summary - Program Period'!$C$28</f>
        <v>6.31</v>
      </c>
      <c r="H6" s="10">
        <f>'[7]Summary - Program Period'!$C$25</f>
        <v>3.7345389002366356</v>
      </c>
      <c r="I6" s="12">
        <f>[7]Input!$B$7</f>
        <v>5.1375442142496208</v>
      </c>
      <c r="J6" s="30">
        <f>2200000/10^6</f>
        <v>2.2000000000000002</v>
      </c>
      <c r="K6" s="33"/>
      <c r="L6" s="36">
        <v>0.6</v>
      </c>
      <c r="M6" s="39"/>
      <c r="N6" s="30"/>
      <c r="O6" s="30"/>
      <c r="P6" s="33"/>
      <c r="Q6" s="36"/>
      <c r="R6" s="41"/>
      <c r="S6" s="30"/>
      <c r="T6" s="33"/>
      <c r="U6" s="36"/>
      <c r="V6" s="41"/>
      <c r="W6" s="281" t="s">
        <v>91</v>
      </c>
      <c r="X6" s="279">
        <v>5937</v>
      </c>
      <c r="Y6" s="280">
        <v>5.1375442142496208</v>
      </c>
      <c r="AA6" s="281" t="s">
        <v>200</v>
      </c>
      <c r="AB6" s="303">
        <v>103.23</v>
      </c>
      <c r="AC6" s="303">
        <v>99.31</v>
      </c>
      <c r="AD6">
        <f>AB6-AC6</f>
        <v>3.9200000000000017</v>
      </c>
      <c r="AE6" s="300">
        <f>AD6/AC6</f>
        <v>3.9472359279025288E-2</v>
      </c>
      <c r="AG6" s="281">
        <v>2012</v>
      </c>
      <c r="AH6" s="281">
        <v>2012</v>
      </c>
      <c r="AI6" s="280">
        <v>7.46</v>
      </c>
      <c r="AJ6" s="60">
        <f>AI6*(1-VLOOKUP(AW6,Discs.ProductCost.Royalty!$K$4:$Q$50,2)-VLOOKUP(Model!AW6,Discs.ProductCost.Royalty!$B$4:$H$50,2))*(1-VLOOKUP(Model!AW6,Discs.ProductCost.Royalty!$V$4:$AB$50,2))</f>
        <v>5.2700505983093553</v>
      </c>
      <c r="AK6" s="280">
        <v>7.46</v>
      </c>
      <c r="AL6" s="60">
        <f>AK6*(1-VLOOKUP(AW6,Discs.ProductCost.Royalty!$K$4:$Q$50,2)-VLOOKUP(Model!AW6,Discs.ProductCost.Royalty!$B$4:$H$50,2))*(1-VLOOKUP(Model!AW6,Discs.ProductCost.Royalty!$V$4:$AB$50,2))</f>
        <v>5.2700505983093553</v>
      </c>
      <c r="AN6" s="293">
        <v>0.39</v>
      </c>
      <c r="AO6" s="293">
        <v>0.1</v>
      </c>
      <c r="AP6" s="60">
        <f>((AVERAGE(AJ6,AL6)*(1-AN6))/((1+AO6)^0.5))</f>
        <v>3.0651256142407854</v>
      </c>
      <c r="AR6" s="297">
        <v>0.39</v>
      </c>
      <c r="AT6" s="60">
        <f>AP6*AD6</f>
        <v>12.015292407823884</v>
      </c>
      <c r="AU6" s="60">
        <f>(Y6*(1-AR6)/((1+AO6)^(0.5)))</f>
        <v>2.9880582874181147</v>
      </c>
      <c r="AV6" s="296">
        <f>AT6/AU6</f>
        <v>4.021103757720172</v>
      </c>
      <c r="AW6" t="s">
        <v>206</v>
      </c>
      <c r="AX6" s="10">
        <f>H6</f>
        <v>3.7345389002366356</v>
      </c>
      <c r="AY6" s="307">
        <f>AV6-AX6</f>
        <v>0.28656485748353644</v>
      </c>
    </row>
    <row r="7" spans="1:53" ht="15" x14ac:dyDescent="0.25">
      <c r="A7" s="7" t="s">
        <v>35</v>
      </c>
      <c r="B7" s="14" t="s">
        <v>33</v>
      </c>
      <c r="C7" s="1" t="str">
        <f>[8]Input!$B$3</f>
        <v xml:space="preserve">  6 Months</v>
      </c>
      <c r="D7" s="9">
        <f>[8]Input!$B$5</f>
        <v>6284</v>
      </c>
      <c r="E7" s="10">
        <f>'[8]Summary - Program Period'!$C$16</f>
        <v>2.5170894999999889</v>
      </c>
      <c r="F7" s="11">
        <f>[8]Input!$Q$6</f>
        <v>3.3099999999999997E-2</v>
      </c>
      <c r="G7" s="10">
        <f>'[8]Summary - Program Period'!$C$28</f>
        <v>5.38</v>
      </c>
      <c r="H7" s="10">
        <f>'[8]Summary - Program Period'!$C$25</f>
        <v>3.370481428578965</v>
      </c>
      <c r="I7" s="12">
        <f>[8]Input!$B$7</f>
        <v>3.4904264799490772</v>
      </c>
      <c r="J7" s="30">
        <f>800000/10^6</f>
        <v>0.8</v>
      </c>
      <c r="K7" s="33"/>
      <c r="L7" s="36"/>
      <c r="M7" s="39"/>
      <c r="N7" s="30"/>
      <c r="O7" s="30"/>
      <c r="P7" s="33"/>
      <c r="Q7" s="36"/>
      <c r="R7" s="41"/>
      <c r="S7" s="30"/>
      <c r="T7" s="33"/>
      <c r="U7" s="36"/>
      <c r="V7" s="41"/>
      <c r="W7" s="281" t="s">
        <v>91</v>
      </c>
      <c r="X7" s="279">
        <v>6284</v>
      </c>
      <c r="Y7" s="280">
        <v>3.4904264799490772</v>
      </c>
      <c r="AA7" s="281" t="s">
        <v>200</v>
      </c>
      <c r="AB7" s="303">
        <v>157.12</v>
      </c>
      <c r="AC7" s="303">
        <v>152.09</v>
      </c>
      <c r="AD7">
        <f t="shared" ref="AD7:AD20" si="0">AB7-AC7</f>
        <v>5.0300000000000011</v>
      </c>
      <c r="AE7" s="300">
        <f t="shared" ref="AE7:AE12" si="1">AD7/AC7</f>
        <v>3.3072522848313503E-2</v>
      </c>
      <c r="AG7" s="281">
        <v>2012</v>
      </c>
      <c r="AH7" s="281">
        <v>2012</v>
      </c>
      <c r="AI7" s="280">
        <v>7.46</v>
      </c>
      <c r="AJ7" s="60">
        <f>AI7*(1-VLOOKUP(AW7,Discs.ProductCost.Royalty!$K$4:$Q$50,2)-VLOOKUP(Model!AW7,Discs.ProductCost.Royalty!$B$4:$H$50,2))*(1-VLOOKUP(Model!AW7,Discs.ProductCost.Royalty!$V$4:$AB$50,2))</f>
        <v>4.9724753958760113</v>
      </c>
      <c r="AK7" s="280">
        <v>7.46</v>
      </c>
      <c r="AL7" s="60">
        <f>AK7*(1-VLOOKUP(AW7,Discs.ProductCost.Royalty!$K$4:$Q$50,2)-VLOOKUP(Model!AW7,Discs.ProductCost.Royalty!$B$4:$H$50,2))*(1-VLOOKUP(Model!AW7,Discs.ProductCost.Royalty!$V$4:$AB$50,2))</f>
        <v>4.9724753958760113</v>
      </c>
      <c r="AN7" s="293">
        <v>0.39</v>
      </c>
      <c r="AO7" s="293">
        <v>0.1</v>
      </c>
      <c r="AP7" s="60">
        <f t="shared" ref="AP7:AP70" si="2">((AVERAGE(AJ7,AL7)*(1-AN7))/((1+AO7)^0.5))</f>
        <v>2.8920522522062853</v>
      </c>
      <c r="AR7" s="297">
        <v>0.39</v>
      </c>
      <c r="AT7" s="60">
        <f t="shared" ref="AT7:AT70" si="3">AP7*AD7</f>
        <v>14.547022828597617</v>
      </c>
      <c r="AU7" s="60">
        <f t="shared" ref="AU7:AU70" si="4">(Y7*(1-AR7)/((1+AO7)^(0.5)))</f>
        <v>2.0300745521776116</v>
      </c>
      <c r="AV7" s="296">
        <f t="shared" ref="AV7:AV70" si="5">AT7/AU7</f>
        <v>7.1657579338617783</v>
      </c>
      <c r="AW7" t="s">
        <v>207</v>
      </c>
      <c r="AX7" s="10">
        <f t="shared" ref="AX7:AX70" si="6">H7</f>
        <v>3.370481428578965</v>
      </c>
      <c r="AY7" s="307">
        <f t="shared" ref="AY7:AY70" si="7">AV7-AX7</f>
        <v>3.7952765052828132</v>
      </c>
    </row>
    <row r="8" spans="1:53" ht="15" x14ac:dyDescent="0.25">
      <c r="A8" s="7" t="s">
        <v>36</v>
      </c>
      <c r="B8" s="14" t="s">
        <v>33</v>
      </c>
      <c r="C8" s="1" t="str">
        <f>[9]Input!$B$3</f>
        <v xml:space="preserve">  6 Months</v>
      </c>
      <c r="D8" s="9">
        <f>[9]Input!$B$5</f>
        <v>726</v>
      </c>
      <c r="E8" s="10">
        <f>'[9]Summary - Program Period'!$C$16</f>
        <v>3.202787000000006</v>
      </c>
      <c r="F8" s="11">
        <f>[9]Input!$Q$6</f>
        <v>4.0099999999999997E-2</v>
      </c>
      <c r="G8" s="10">
        <f>'[9]Summary - Program Period'!$C$28</f>
        <v>4.13</v>
      </c>
      <c r="H8" s="10">
        <f>'[9]Summary - Program Period'!$C$25</f>
        <v>4.0443260357280915</v>
      </c>
      <c r="I8" s="12">
        <f>[9]Input!$B$7</f>
        <v>3.70129476584022</v>
      </c>
      <c r="J8" s="30">
        <f>125000/10^6</f>
        <v>0.125</v>
      </c>
      <c r="K8" s="33"/>
      <c r="L8" s="36">
        <v>0.59</v>
      </c>
      <c r="M8" s="39"/>
      <c r="N8" s="30"/>
      <c r="O8" s="30"/>
      <c r="P8" s="33"/>
      <c r="Q8" s="36"/>
      <c r="R8" s="41"/>
      <c r="S8" s="30"/>
      <c r="T8" s="33"/>
      <c r="U8" s="36"/>
      <c r="V8" s="41"/>
      <c r="W8" s="281" t="s">
        <v>91</v>
      </c>
      <c r="X8" s="279">
        <v>726</v>
      </c>
      <c r="Y8" s="280">
        <v>3.70129476584022</v>
      </c>
      <c r="AA8" s="281" t="s">
        <v>200</v>
      </c>
      <c r="AB8" s="303">
        <v>83.07</v>
      </c>
      <c r="AC8" s="303">
        <v>79.87</v>
      </c>
      <c r="AD8">
        <f t="shared" si="0"/>
        <v>3.1999999999999886</v>
      </c>
      <c r="AE8" s="300">
        <f t="shared" si="1"/>
        <v>4.0065105796919853E-2</v>
      </c>
      <c r="AG8" s="281">
        <v>2012</v>
      </c>
      <c r="AH8" s="281">
        <v>2012</v>
      </c>
      <c r="AI8" s="280">
        <v>7.46</v>
      </c>
      <c r="AJ8" s="60">
        <f>AI8*(1-VLOOKUP(AW8,Discs.ProductCost.Royalty!$K$4:$Q$50,2)-VLOOKUP(Model!AW8,Discs.ProductCost.Royalty!$B$4:$H$50,2))*(1-VLOOKUP(Model!AW8,Discs.ProductCost.Royalty!$V$4:$AB$50,2))</f>
        <v>4.9724753958760113</v>
      </c>
      <c r="AK8" s="280">
        <v>7.46</v>
      </c>
      <c r="AL8" s="60">
        <f>AK8*(1-VLOOKUP(AW8,Discs.ProductCost.Royalty!$K$4:$Q$50,2)-VLOOKUP(Model!AW8,Discs.ProductCost.Royalty!$B$4:$H$50,2))*(1-VLOOKUP(Model!AW8,Discs.ProductCost.Royalty!$V$4:$AB$50,2))</f>
        <v>4.9724753958760113</v>
      </c>
      <c r="AN8" s="293">
        <v>0.39</v>
      </c>
      <c r="AO8" s="293">
        <v>0.1</v>
      </c>
      <c r="AP8" s="60">
        <f t="shared" si="2"/>
        <v>2.8920522522062853</v>
      </c>
      <c r="AR8" s="297">
        <v>0.39</v>
      </c>
      <c r="AT8" s="60">
        <f t="shared" si="3"/>
        <v>9.2545672070600791</v>
      </c>
      <c r="AU8" s="60">
        <f t="shared" si="4"/>
        <v>2.1527181155094959</v>
      </c>
      <c r="AV8" s="296">
        <f t="shared" si="5"/>
        <v>4.2990148781600928</v>
      </c>
      <c r="AW8" t="s">
        <v>207</v>
      </c>
      <c r="AX8" s="10">
        <f t="shared" si="6"/>
        <v>4.0443260357280915</v>
      </c>
      <c r="AY8" s="307">
        <f t="shared" si="7"/>
        <v>0.25468884243200129</v>
      </c>
    </row>
    <row r="9" spans="1:53" ht="15" x14ac:dyDescent="0.25">
      <c r="A9" s="7" t="s">
        <v>40</v>
      </c>
      <c r="B9" s="14" t="s">
        <v>42</v>
      </c>
      <c r="C9" s="1" t="str">
        <f>[10]Input!$B$3</f>
        <v xml:space="preserve"> 12 Months</v>
      </c>
      <c r="D9" s="9">
        <f>[10]Input!$B$5</f>
        <v>109036</v>
      </c>
      <c r="E9" s="10">
        <f>'[10]Summary - Program Period'!$C$16</f>
        <v>2.8900000000000063</v>
      </c>
      <c r="F9" s="11">
        <f>[10]Input!$Q$6</f>
        <v>2.2727272727272929E-2</v>
      </c>
      <c r="G9" s="10">
        <f>'[10]Summary - Program Period'!$C$28</f>
        <v>1.5</v>
      </c>
      <c r="H9" s="10">
        <f>'[10]Summary - Program Period'!$C$25</f>
        <v>1.8229322254016762</v>
      </c>
      <c r="I9" s="12">
        <f>[10]Input!$B$7</f>
        <v>7.8168127957738731</v>
      </c>
      <c r="J9" s="30">
        <f>1040000/10^6</f>
        <v>1.04</v>
      </c>
      <c r="K9" s="33"/>
      <c r="L9" s="36"/>
      <c r="M9" s="39"/>
      <c r="N9" s="30"/>
      <c r="O9" s="30"/>
      <c r="P9" s="33"/>
      <c r="Q9" s="36"/>
      <c r="R9" s="41"/>
      <c r="S9" s="30"/>
      <c r="T9" s="33"/>
      <c r="U9" s="36"/>
      <c r="V9" s="41"/>
      <c r="W9" s="281" t="s">
        <v>91</v>
      </c>
      <c r="X9" s="279">
        <v>109036</v>
      </c>
      <c r="Y9" s="280">
        <v>7.8168127957738731</v>
      </c>
      <c r="AA9" s="281" t="s">
        <v>201</v>
      </c>
      <c r="AB9" s="303">
        <v>130.05000000000001</v>
      </c>
      <c r="AC9" s="303">
        <v>127.16</v>
      </c>
      <c r="AD9">
        <f t="shared" si="0"/>
        <v>2.8900000000000148</v>
      </c>
      <c r="AE9" s="300">
        <f t="shared" si="1"/>
        <v>2.2727272727272842E-2</v>
      </c>
      <c r="AG9" s="281">
        <v>2012</v>
      </c>
      <c r="AH9" s="281">
        <v>2012</v>
      </c>
      <c r="AI9" s="280">
        <v>7.46</v>
      </c>
      <c r="AJ9" s="60">
        <f>AI9*(1-VLOOKUP(AW9,Discs.ProductCost.Royalty!$K$4:$Q$50,2)-VLOOKUP(Model!AW9,Discs.ProductCost.Royalty!$B$4:$H$50,2))*(1-VLOOKUP(Model!AW9,Discs.ProductCost.Royalty!$V$4:$AB$50,2))</f>
        <v>5.2700505983093553</v>
      </c>
      <c r="AK9" s="280">
        <v>7.46</v>
      </c>
      <c r="AL9" s="60">
        <f>AK9*(1-VLOOKUP(AW9,Discs.ProductCost.Royalty!$K$4:$Q$50,2)-VLOOKUP(Model!AW9,Discs.ProductCost.Royalty!$B$4:$H$50,2))*(1-VLOOKUP(Model!AW9,Discs.ProductCost.Royalty!$V$4:$AB$50,2))</f>
        <v>5.2700505983093553</v>
      </c>
      <c r="AN9" s="293">
        <v>0.39</v>
      </c>
      <c r="AO9" s="293">
        <v>0.1</v>
      </c>
      <c r="AP9" s="60">
        <f t="shared" si="2"/>
        <v>3.0651256142407854</v>
      </c>
      <c r="AR9" s="297">
        <v>0.39</v>
      </c>
      <c r="AT9" s="60">
        <f t="shared" si="3"/>
        <v>8.8582130251559157</v>
      </c>
      <c r="AU9" s="60">
        <f t="shared" si="4"/>
        <v>4.5463535264230464</v>
      </c>
      <c r="AV9" s="296">
        <f t="shared" si="5"/>
        <v>1.9484215148849917</v>
      </c>
      <c r="AW9" t="s">
        <v>206</v>
      </c>
      <c r="AX9" s="10">
        <f t="shared" si="6"/>
        <v>1.8229322254016762</v>
      </c>
      <c r="AY9" s="307">
        <f t="shared" si="7"/>
        <v>0.1254892894833155</v>
      </c>
    </row>
    <row r="10" spans="1:53" ht="15" x14ac:dyDescent="0.25">
      <c r="A10" s="7" t="s">
        <v>44</v>
      </c>
      <c r="B10" s="14" t="s">
        <v>47</v>
      </c>
      <c r="C10" s="1" t="str">
        <f>[11]Input!$B$3</f>
        <v xml:space="preserve"> 12 Months</v>
      </c>
      <c r="D10" s="9">
        <f>[11]Input!$B$5</f>
        <v>11651</v>
      </c>
      <c r="E10" s="10">
        <f>'[11]Summary - Program Period'!$C$16</f>
        <v>3.9100000000000166</v>
      </c>
      <c r="F10" s="11">
        <f>[11]Input!$Q$6</f>
        <v>2.9473842906678982E-2</v>
      </c>
      <c r="G10" s="10">
        <f>'[11]Summary - Program Period'!$C$28</f>
        <v>10.3</v>
      </c>
      <c r="H10" s="10">
        <f>'[11]Summary - Program Period'!$C$25</f>
        <v>6.7816104822712697</v>
      </c>
      <c r="I10" s="12">
        <f>[11]Input!$B$7</f>
        <v>2.8428</v>
      </c>
      <c r="J10" s="30">
        <f>388109/10^6</f>
        <v>0.38810899999999998</v>
      </c>
      <c r="K10" s="33"/>
      <c r="L10" s="36"/>
      <c r="M10" s="39"/>
      <c r="N10" s="30"/>
      <c r="O10" s="30"/>
      <c r="P10" s="33"/>
      <c r="Q10" s="36"/>
      <c r="R10" s="41"/>
      <c r="S10" s="30"/>
      <c r="T10" s="33"/>
      <c r="U10" s="36"/>
      <c r="V10" s="41"/>
      <c r="W10" s="281" t="s">
        <v>91</v>
      </c>
      <c r="X10" s="279">
        <v>11651</v>
      </c>
      <c r="Y10" s="280">
        <v>2.8428</v>
      </c>
      <c r="AA10" s="281" t="s">
        <v>85</v>
      </c>
      <c r="AB10" s="303">
        <v>136.57</v>
      </c>
      <c r="AC10" s="303">
        <v>132.66</v>
      </c>
      <c r="AD10">
        <f t="shared" si="0"/>
        <v>3.9099999999999966</v>
      </c>
      <c r="AE10" s="300">
        <f t="shared" si="1"/>
        <v>2.9473842906678701E-2</v>
      </c>
      <c r="AG10" s="281">
        <v>2011</v>
      </c>
      <c r="AH10" s="281">
        <v>2012</v>
      </c>
      <c r="AI10" s="280">
        <v>7.46</v>
      </c>
      <c r="AJ10" s="60">
        <f>AI10*(1-VLOOKUP(AW10,Discs.ProductCost.Royalty!$K$4:$Q$50,2)-VLOOKUP(Model!AW10,Discs.ProductCost.Royalty!$B$4:$H$50,2))*(1-VLOOKUP(Model!AW10,Discs.ProductCost.Royalty!$V$4:$AB$50,2))</f>
        <v>5.2700505983093553</v>
      </c>
      <c r="AK10" s="280">
        <v>7.46</v>
      </c>
      <c r="AL10" s="60">
        <f>AK10*(1-VLOOKUP(AW10,Discs.ProductCost.Royalty!$K$4:$Q$50,2)-VLOOKUP(Model!AW10,Discs.ProductCost.Royalty!$B$4:$H$50,2))*(1-VLOOKUP(Model!AW10,Discs.ProductCost.Royalty!$V$4:$AB$50,2))</f>
        <v>5.2700505983093553</v>
      </c>
      <c r="AN10" s="293">
        <v>0.39</v>
      </c>
      <c r="AO10" s="293">
        <v>0.1</v>
      </c>
      <c r="AP10" s="60">
        <f t="shared" si="2"/>
        <v>3.0651256142407854</v>
      </c>
      <c r="AR10" s="297">
        <v>0.39</v>
      </c>
      <c r="AT10" s="60">
        <f t="shared" si="3"/>
        <v>11.98464115168146</v>
      </c>
      <c r="AU10" s="60">
        <f t="shared" si="4"/>
        <v>1.6534071037114955</v>
      </c>
      <c r="AV10" s="296">
        <f t="shared" si="5"/>
        <v>7.2484514701665823</v>
      </c>
      <c r="AW10" t="s">
        <v>206</v>
      </c>
      <c r="AX10" s="10">
        <f t="shared" si="6"/>
        <v>6.7816104822712697</v>
      </c>
      <c r="AY10" s="307">
        <f t="shared" si="7"/>
        <v>0.46684098789531259</v>
      </c>
    </row>
    <row r="11" spans="1:53" ht="15" x14ac:dyDescent="0.25">
      <c r="A11" s="7" t="s">
        <v>45</v>
      </c>
      <c r="B11" s="14" t="s">
        <v>47</v>
      </c>
      <c r="C11" s="1" t="str">
        <f>[12]Input!$B$3</f>
        <v xml:space="preserve"> 12 Months</v>
      </c>
      <c r="D11" s="9">
        <f>[12]Input!$B$5</f>
        <v>4823</v>
      </c>
      <c r="E11" s="10">
        <f>'[12]Summary - Program Period'!$C$16</f>
        <v>2.4050000000000065</v>
      </c>
      <c r="F11" s="11">
        <f>[12]Input!$Q$6</f>
        <v>1.8912436598120808E-2</v>
      </c>
      <c r="G11" s="10">
        <f>'[12]Summary - Program Period'!$C$28</f>
        <v>6.8</v>
      </c>
      <c r="H11" s="10">
        <f>'[12]Summary - Program Period'!$C$25</f>
        <v>4.2539460625260634</v>
      </c>
      <c r="I11" s="12">
        <f>[12]Input!$B$7</f>
        <v>2.6220000000000003</v>
      </c>
      <c r="J11" s="30">
        <f>100000/10^6</f>
        <v>0.1</v>
      </c>
      <c r="K11" s="33"/>
      <c r="L11" s="36"/>
      <c r="M11" s="39"/>
      <c r="N11" s="30"/>
      <c r="O11" s="30"/>
      <c r="P11" s="33"/>
      <c r="Q11" s="36"/>
      <c r="R11" s="41"/>
      <c r="S11" s="30"/>
      <c r="T11" s="33"/>
      <c r="U11" s="36"/>
      <c r="V11" s="41"/>
      <c r="W11" s="281" t="s">
        <v>91</v>
      </c>
      <c r="X11" s="279">
        <v>4823</v>
      </c>
      <c r="Y11" s="280">
        <v>2.6220000000000003</v>
      </c>
      <c r="AA11" s="281" t="s">
        <v>85</v>
      </c>
      <c r="AB11" s="303">
        <v>259.14</v>
      </c>
      <c r="AC11" s="303">
        <v>254.33</v>
      </c>
      <c r="AD11">
        <f t="shared" si="0"/>
        <v>4.8099999999999739</v>
      </c>
      <c r="AE11" s="300">
        <f t="shared" si="1"/>
        <v>1.8912436598120447E-2</v>
      </c>
      <c r="AG11" s="281">
        <v>2011</v>
      </c>
      <c r="AH11" s="281">
        <v>2012</v>
      </c>
      <c r="AI11" s="280">
        <v>7.46</v>
      </c>
      <c r="AJ11" s="60">
        <f>AI11*(1-VLOOKUP(AW11,Discs.ProductCost.Royalty!$K$4:$Q$50,2)-VLOOKUP(Model!AW11,Discs.ProductCost.Royalty!$B$4:$H$50,2))*(1-VLOOKUP(Model!AW11,Discs.ProductCost.Royalty!$V$4:$AB$50,2))</f>
        <v>4.9724753958760113</v>
      </c>
      <c r="AK11" s="280">
        <v>7.46</v>
      </c>
      <c r="AL11" s="60">
        <f>AK11*(1-VLOOKUP(AW11,Discs.ProductCost.Royalty!$K$4:$Q$50,2)-VLOOKUP(Model!AW11,Discs.ProductCost.Royalty!$B$4:$H$50,2))*(1-VLOOKUP(Model!AW11,Discs.ProductCost.Royalty!$V$4:$AB$50,2))</f>
        <v>4.9724753958760113</v>
      </c>
      <c r="AN11" s="293">
        <v>0.39</v>
      </c>
      <c r="AO11" s="293">
        <v>0.1</v>
      </c>
      <c r="AP11" s="60">
        <f t="shared" si="2"/>
        <v>2.8920522522062853</v>
      </c>
      <c r="AR11" s="297">
        <v>0.39</v>
      </c>
      <c r="AT11" s="60">
        <f t="shared" si="3"/>
        <v>13.910771333112157</v>
      </c>
      <c r="AU11" s="60">
        <f t="shared" si="4"/>
        <v>1.5249871344911852</v>
      </c>
      <c r="AV11" s="296">
        <f t="shared" si="5"/>
        <v>9.1218942235558682</v>
      </c>
      <c r="AW11" t="s">
        <v>207</v>
      </c>
      <c r="AX11" s="10">
        <f t="shared" si="6"/>
        <v>4.2539460625260634</v>
      </c>
      <c r="AY11" s="307">
        <f t="shared" si="7"/>
        <v>4.8679481610298048</v>
      </c>
    </row>
    <row r="12" spans="1:53" ht="15" x14ac:dyDescent="0.25">
      <c r="A12" s="7" t="s">
        <v>49</v>
      </c>
      <c r="B12" s="14" t="s">
        <v>50</v>
      </c>
      <c r="C12" s="1" t="str">
        <f>[13]Input!$B$3</f>
        <v xml:space="preserve"> 12 Months</v>
      </c>
      <c r="D12" s="9">
        <f>[13]Input!$B$5</f>
        <v>14237</v>
      </c>
      <c r="E12" s="10">
        <f>'[13]Summary - Program Period'!$C$16</f>
        <v>10.753262625553136</v>
      </c>
      <c r="F12" s="299">
        <f>[13]Input!$Q$6</f>
        <v>0.14102564102564097</v>
      </c>
      <c r="G12" s="10">
        <f>'[13]Summary - Program Period'!$C$28</f>
        <v>3.11</v>
      </c>
      <c r="H12" s="10">
        <f>'[13]Summary - Program Period'!$C$25</f>
        <v>1.3576042464389846</v>
      </c>
      <c r="I12" s="298">
        <v>39</v>
      </c>
      <c r="J12" s="30">
        <f>900000/10^6</f>
        <v>0.9</v>
      </c>
      <c r="K12" s="33"/>
      <c r="L12" s="36"/>
      <c r="M12" s="39"/>
      <c r="N12" s="30"/>
      <c r="O12" s="30"/>
      <c r="P12" s="33"/>
      <c r="Q12" s="36"/>
      <c r="R12" s="41"/>
      <c r="S12" s="30"/>
      <c r="T12" s="33"/>
      <c r="U12" s="36"/>
      <c r="V12" s="41"/>
      <c r="W12" s="281" t="s">
        <v>91</v>
      </c>
      <c r="X12" s="279">
        <v>14237</v>
      </c>
      <c r="Y12" s="280">
        <v>39</v>
      </c>
      <c r="AA12" s="281"/>
      <c r="AB12" s="303">
        <v>8.08</v>
      </c>
      <c r="AC12" s="303">
        <v>6.84</v>
      </c>
      <c r="AD12">
        <f t="shared" si="0"/>
        <v>1.2400000000000002</v>
      </c>
      <c r="AE12" s="300">
        <f t="shared" si="1"/>
        <v>0.18128654970760238</v>
      </c>
      <c r="AG12" s="281">
        <v>2011</v>
      </c>
      <c r="AH12" s="281">
        <v>2013</v>
      </c>
      <c r="AI12" s="280">
        <v>7.46</v>
      </c>
      <c r="AJ12" s="60">
        <f>AI12*(1-VLOOKUP(AW12,Discs.ProductCost.Royalty!$K$4:$Q$50,2)-VLOOKUP(Model!AW12,Discs.ProductCost.Royalty!$B$4:$H$50,2))*(1-VLOOKUP(Model!AW12,Discs.ProductCost.Royalty!$V$4:$AB$50,2))</f>
        <v>5.2700505983093553</v>
      </c>
      <c r="AK12" s="280">
        <v>8.1999999999999993</v>
      </c>
      <c r="AL12" s="60">
        <f>AK12*(1-VLOOKUP(AW12,Discs.ProductCost.Royalty!$K$4:$Q$50,3)-VLOOKUP(Model!AW12,Discs.ProductCost.Royalty!$B$4:$H$50,3))*(1-VLOOKUP(Model!AW12,Discs.ProductCost.Royalty!$V$4:$AB$50,3))</f>
        <v>5.302458462750927</v>
      </c>
      <c r="AN12" s="293">
        <v>0.39</v>
      </c>
      <c r="AO12" s="293">
        <v>0.1</v>
      </c>
      <c r="AP12" s="60">
        <f t="shared" si="2"/>
        <v>3.0745500185752119</v>
      </c>
      <c r="AR12" s="297">
        <v>0.39</v>
      </c>
      <c r="AT12" s="60">
        <f t="shared" si="3"/>
        <v>3.8124420230332636</v>
      </c>
      <c r="AU12" s="60">
        <f t="shared" si="4"/>
        <v>22.682874998152638</v>
      </c>
      <c r="AV12" s="296">
        <f t="shared" si="5"/>
        <v>0.16807578507326609</v>
      </c>
      <c r="AW12" t="s">
        <v>206</v>
      </c>
      <c r="AX12" s="10">
        <f t="shared" si="6"/>
        <v>1.3576042464389846</v>
      </c>
      <c r="AY12" s="307">
        <f t="shared" si="7"/>
        <v>-1.1895284613657184</v>
      </c>
    </row>
    <row r="13" spans="1:53" ht="15" x14ac:dyDescent="0.25">
      <c r="A13" s="7" t="s">
        <v>28</v>
      </c>
      <c r="B13" s="14" t="s">
        <v>29</v>
      </c>
      <c r="C13" s="1" t="s">
        <v>65</v>
      </c>
      <c r="D13" s="9" t="s">
        <v>66</v>
      </c>
      <c r="E13" s="10" t="s">
        <v>66</v>
      </c>
      <c r="F13" s="11"/>
      <c r="G13" s="10"/>
      <c r="H13" s="10"/>
      <c r="I13" s="12"/>
      <c r="J13" s="30">
        <f>2780000/10^6</f>
        <v>2.78</v>
      </c>
      <c r="K13" s="33"/>
      <c r="L13" s="36"/>
      <c r="M13" s="39"/>
      <c r="N13" s="30"/>
      <c r="O13" s="30"/>
      <c r="P13" s="33"/>
      <c r="Q13" s="36"/>
      <c r="R13" s="41"/>
      <c r="S13" s="30"/>
      <c r="T13" s="33"/>
      <c r="U13" s="36"/>
      <c r="V13" s="41"/>
      <c r="W13" s="281"/>
      <c r="X13" s="279" t="s">
        <v>66</v>
      </c>
      <c r="Y13" s="280"/>
      <c r="AA13" s="281"/>
      <c r="AB13" s="303"/>
      <c r="AC13" s="303"/>
      <c r="AE13" s="300"/>
      <c r="AG13" s="281"/>
      <c r="AH13" s="281"/>
      <c r="AI13" s="280"/>
      <c r="AJ13" s="60"/>
      <c r="AK13" s="280"/>
      <c r="AL13" s="60"/>
      <c r="AN13" s="281"/>
      <c r="AO13" s="281"/>
      <c r="AR13" s="281"/>
      <c r="AV13"/>
      <c r="AX13" s="10"/>
      <c r="AY13" s="307"/>
    </row>
    <row r="14" spans="1:53" ht="15" x14ac:dyDescent="0.25">
      <c r="A14" s="7" t="s">
        <v>44</v>
      </c>
      <c r="B14" s="14" t="s">
        <v>48</v>
      </c>
      <c r="D14" s="9"/>
      <c r="E14" s="10"/>
      <c r="F14" s="11"/>
      <c r="G14" s="10"/>
      <c r="H14" s="10"/>
      <c r="I14" s="12"/>
      <c r="J14" s="30">
        <f>383920/10^6</f>
        <v>0.38391999999999998</v>
      </c>
      <c r="K14" s="33"/>
      <c r="L14" s="36"/>
      <c r="M14" s="39"/>
      <c r="N14" s="30"/>
      <c r="O14" s="30"/>
      <c r="P14" s="33"/>
      <c r="Q14" s="36"/>
      <c r="R14" s="41"/>
      <c r="S14" s="30"/>
      <c r="T14" s="33"/>
      <c r="U14" s="36"/>
      <c r="V14" s="41"/>
      <c r="W14" s="281"/>
      <c r="X14" s="279"/>
      <c r="Y14" s="280"/>
      <c r="AA14" s="281"/>
      <c r="AB14" s="303"/>
      <c r="AC14" s="303"/>
      <c r="AE14" s="300"/>
      <c r="AG14" s="281"/>
      <c r="AH14" s="281"/>
      <c r="AI14" s="280"/>
      <c r="AJ14" s="60"/>
      <c r="AK14" s="280"/>
      <c r="AL14" s="60"/>
      <c r="AN14" s="281"/>
      <c r="AO14" s="281"/>
      <c r="AR14" s="281"/>
      <c r="AV14"/>
      <c r="AX14" s="10"/>
      <c r="AY14" s="307"/>
    </row>
    <row r="15" spans="1:53" ht="15" x14ac:dyDescent="0.25">
      <c r="A15" s="7" t="s">
        <v>45</v>
      </c>
      <c r="B15" s="14" t="s">
        <v>48</v>
      </c>
      <c r="D15" s="9"/>
      <c r="E15" s="10"/>
      <c r="F15" s="11"/>
      <c r="G15" s="10"/>
      <c r="H15" s="10"/>
      <c r="I15" s="12"/>
      <c r="J15" s="30">
        <f>127972/10^6</f>
        <v>0.127972</v>
      </c>
      <c r="K15" s="33"/>
      <c r="L15" s="36"/>
      <c r="M15" s="39"/>
      <c r="N15" s="30"/>
      <c r="O15" s="30"/>
      <c r="P15" s="33"/>
      <c r="Q15" s="36"/>
      <c r="R15" s="41"/>
      <c r="S15" s="30"/>
      <c r="T15" s="33"/>
      <c r="U15" s="36"/>
      <c r="V15" s="41"/>
      <c r="W15" s="281"/>
      <c r="X15" s="279"/>
      <c r="Y15" s="280"/>
      <c r="AA15" s="281"/>
      <c r="AB15" s="303"/>
      <c r="AC15" s="303"/>
      <c r="AE15" s="300"/>
      <c r="AG15" s="281"/>
      <c r="AH15" s="281"/>
      <c r="AI15" s="280"/>
      <c r="AJ15" s="60"/>
      <c r="AK15" s="280"/>
      <c r="AL15" s="60"/>
      <c r="AN15" s="281"/>
      <c r="AO15" s="281"/>
      <c r="AR15" s="281"/>
      <c r="AV15"/>
      <c r="AX15" s="10"/>
      <c r="AY15" s="307"/>
    </row>
    <row r="16" spans="1:53" ht="15" x14ac:dyDescent="0.25">
      <c r="A16" s="7"/>
      <c r="D16" s="9"/>
      <c r="E16" s="10"/>
      <c r="F16" s="11"/>
      <c r="G16" s="10"/>
      <c r="H16" s="10"/>
      <c r="I16" s="12"/>
      <c r="J16" s="30"/>
      <c r="K16" s="33"/>
      <c r="L16" s="36"/>
      <c r="M16" s="39"/>
      <c r="N16" s="30"/>
      <c r="O16" s="30"/>
      <c r="P16" s="33"/>
      <c r="Q16" s="36"/>
      <c r="R16" s="41"/>
      <c r="S16" s="30"/>
      <c r="T16" s="33"/>
      <c r="U16" s="36"/>
      <c r="V16" s="41"/>
      <c r="W16" s="281"/>
      <c r="X16" s="279"/>
      <c r="Y16" s="280"/>
      <c r="AA16" s="281"/>
      <c r="AB16" s="303"/>
      <c r="AC16" s="303"/>
      <c r="AE16" s="300"/>
      <c r="AG16" s="281"/>
      <c r="AH16" s="281"/>
      <c r="AI16" s="280"/>
      <c r="AJ16" s="60"/>
      <c r="AK16" s="280"/>
      <c r="AL16" s="60"/>
      <c r="AN16" s="293"/>
      <c r="AO16" s="281"/>
      <c r="AP16" s="60"/>
      <c r="AR16" s="281"/>
      <c r="AT16" s="60"/>
      <c r="AU16" s="60"/>
      <c r="AV16" s="296"/>
      <c r="AX16" s="10"/>
      <c r="AY16" s="307"/>
    </row>
    <row r="17" spans="1:51" ht="15" x14ac:dyDescent="0.25">
      <c r="A17" t="s">
        <v>2</v>
      </c>
      <c r="E17" s="10"/>
      <c r="F17" s="11"/>
      <c r="G17" s="10"/>
      <c r="H17" s="10"/>
      <c r="I17" s="12"/>
      <c r="J17" s="30"/>
      <c r="K17" s="33"/>
      <c r="L17" s="36"/>
      <c r="M17" s="39"/>
      <c r="N17" s="30">
        <f>VLOOKUP($A17,'[6]Aug 2013 Forecast '!$B$7:$X$59,15,FALSE)/1000</f>
        <v>14.1</v>
      </c>
      <c r="O17" s="30"/>
      <c r="P17" s="33"/>
      <c r="Q17" s="36"/>
      <c r="R17" s="41"/>
      <c r="S17" s="30"/>
      <c r="T17" s="33"/>
      <c r="U17" s="36"/>
      <c r="V17" s="41"/>
      <c r="W17" s="281"/>
      <c r="X17" s="279"/>
      <c r="Y17" s="280"/>
      <c r="AA17" s="281"/>
      <c r="AB17" s="303"/>
      <c r="AC17" s="303"/>
      <c r="AE17" s="300"/>
      <c r="AG17" s="281"/>
      <c r="AH17" s="281"/>
      <c r="AI17" s="280"/>
      <c r="AJ17" s="60"/>
      <c r="AK17" s="280"/>
      <c r="AL17" s="60"/>
      <c r="AN17" s="293"/>
      <c r="AO17" s="281"/>
      <c r="AP17" s="60"/>
      <c r="AR17" s="281"/>
      <c r="AT17" s="60"/>
      <c r="AU17" s="60"/>
      <c r="AV17" s="296"/>
      <c r="AX17" s="10"/>
      <c r="AY17" s="307"/>
    </row>
    <row r="18" spans="1:51" ht="15" x14ac:dyDescent="0.25">
      <c r="A18" s="7" t="s">
        <v>31</v>
      </c>
      <c r="B18" s="14" t="s">
        <v>29</v>
      </c>
      <c r="C18" s="1" t="str">
        <f>[14]Input!$B$3</f>
        <v xml:space="preserve">  7 Months</v>
      </c>
      <c r="D18" s="9">
        <f>[14]Input!$B$5</f>
        <v>80264</v>
      </c>
      <c r="E18" s="10">
        <f>'[14]Summary - Program Period'!$C$16</f>
        <v>4.528571428571432</v>
      </c>
      <c r="F18" s="11">
        <f>[14]Input!$Q$6</f>
        <v>4.6916890080428875E-2</v>
      </c>
      <c r="G18" s="10">
        <f>'[14]Summary - Program Period'!$C$28</f>
        <v>2.8</v>
      </c>
      <c r="H18" s="10">
        <f>'[14]Summary - Program Period'!$C$25</f>
        <v>1.6661842981521588</v>
      </c>
      <c r="I18" s="12">
        <f>[14]Input!$B$7</f>
        <v>12.06</v>
      </c>
      <c r="J18" s="30">
        <f>3644722/10^6</f>
        <v>3.6447219999999998</v>
      </c>
      <c r="K18" s="33"/>
      <c r="L18" s="36"/>
      <c r="M18" s="39"/>
      <c r="N18" s="30"/>
      <c r="O18" s="30"/>
      <c r="P18" s="33"/>
      <c r="Q18" s="36"/>
      <c r="R18" s="41"/>
      <c r="S18" s="30"/>
      <c r="T18" s="33"/>
      <c r="U18" s="36"/>
      <c r="V18" s="41"/>
      <c r="W18" s="281" t="s">
        <v>91</v>
      </c>
      <c r="X18" s="279">
        <v>80264</v>
      </c>
      <c r="Y18" s="280">
        <v>12.06</v>
      </c>
      <c r="AA18" s="281"/>
      <c r="AB18" s="303">
        <f>156.2/7</f>
        <v>22.314285714285713</v>
      </c>
      <c r="AC18" s="303">
        <f>149.2/7</f>
        <v>21.314285714285713</v>
      </c>
      <c r="AD18">
        <f t="shared" si="0"/>
        <v>1</v>
      </c>
      <c r="AE18" s="300">
        <f t="shared" ref="AE18:AE20" si="8">AD18/AC18</f>
        <v>4.6916890080428958E-2</v>
      </c>
      <c r="AG18" s="281">
        <v>2012</v>
      </c>
      <c r="AH18" s="281">
        <v>2012</v>
      </c>
      <c r="AI18" s="280">
        <v>4.79</v>
      </c>
      <c r="AJ18" s="60">
        <f>AI18*(1-VLOOKUP(AW18,Discs.ProductCost.Royalty!$K$4:$Q$50,2)-VLOOKUP(Model!AW18,Discs.ProductCost.Royalty!$B$4:$H$50,2))*(1-VLOOKUP(Model!AW18,Discs.ProductCost.Royalty!$V$4:$AB$50,2))</f>
        <v>3.4806452505283794</v>
      </c>
      <c r="AK18" s="280">
        <v>4.79</v>
      </c>
      <c r="AL18" s="60">
        <f>AK18*(1-VLOOKUP(AW18,Discs.ProductCost.Royalty!$K$4:$Q$50,2)-VLOOKUP(Model!AW18,Discs.ProductCost.Royalty!$B$4:$H$50,2))*(1-VLOOKUP(Model!AW18,Discs.ProductCost.Royalty!$V$4:$AB$50,2))</f>
        <v>3.4806452505283794</v>
      </c>
      <c r="AN18" s="293">
        <v>0.18</v>
      </c>
      <c r="AO18" s="293">
        <v>0.1</v>
      </c>
      <c r="AP18" s="60">
        <f t="shared" si="2"/>
        <v>2.7213053269076126</v>
      </c>
      <c r="AR18" s="297">
        <v>0.39</v>
      </c>
      <c r="AT18" s="60">
        <f t="shared" si="3"/>
        <v>2.7213053269076126</v>
      </c>
      <c r="AU18" s="60">
        <f t="shared" si="4"/>
        <v>7.0142428840441244</v>
      </c>
      <c r="AV18" s="296">
        <f t="shared" si="5"/>
        <v>0.38796850521073201</v>
      </c>
      <c r="AW18" t="s">
        <v>204</v>
      </c>
      <c r="AX18" s="10">
        <f t="shared" si="6"/>
        <v>1.6661842981521588</v>
      </c>
      <c r="AY18" s="307">
        <f t="shared" si="7"/>
        <v>-1.2782157929414268</v>
      </c>
    </row>
    <row r="19" spans="1:51" ht="15" x14ac:dyDescent="0.25">
      <c r="A19" s="7" t="s">
        <v>38</v>
      </c>
      <c r="B19" s="14" t="s">
        <v>42</v>
      </c>
      <c r="C19" s="1" t="str">
        <f>[15]Input!$B$3</f>
        <v xml:space="preserve">  7 Months</v>
      </c>
      <c r="D19" s="9">
        <f>[15]Input!$B$5</f>
        <v>12924</v>
      </c>
      <c r="E19" s="10">
        <f>'[15]Summary - Program Period'!$C$16</f>
        <v>0.51999999999999602</v>
      </c>
      <c r="F19" s="11">
        <f>[15]Input!$Q$6</f>
        <v>1.1586452762923027E-2</v>
      </c>
      <c r="G19" s="10">
        <f>'[15]Summary - Program Period'!$C$28</f>
        <v>0.3</v>
      </c>
      <c r="H19" s="10">
        <f>'[15]Summary - Program Period'!$C$25</f>
        <v>0.276947292495686</v>
      </c>
      <c r="I19" s="12">
        <f>[15]Input!$B$7</f>
        <v>8.0859640978025382</v>
      </c>
      <c r="J19" s="30">
        <f>360928/10^6</f>
        <v>0.36092800000000003</v>
      </c>
      <c r="K19" s="33"/>
      <c r="L19" s="36"/>
      <c r="M19" s="39"/>
      <c r="N19" s="30"/>
      <c r="O19" s="30"/>
      <c r="P19" s="33"/>
      <c r="Q19" s="36"/>
      <c r="R19" s="41"/>
      <c r="S19" s="30"/>
      <c r="T19" s="33"/>
      <c r="U19" s="36"/>
      <c r="V19" s="41"/>
      <c r="W19" s="281" t="s">
        <v>91</v>
      </c>
      <c r="X19" s="279">
        <v>12924</v>
      </c>
      <c r="Y19" s="280">
        <v>8.0859640978025382</v>
      </c>
      <c r="AA19" s="281" t="s">
        <v>201</v>
      </c>
      <c r="AB19" s="303">
        <v>45.4</v>
      </c>
      <c r="AC19" s="303">
        <v>44.88</v>
      </c>
      <c r="AD19">
        <f t="shared" si="0"/>
        <v>0.51999999999999602</v>
      </c>
      <c r="AE19" s="300">
        <f t="shared" si="8"/>
        <v>1.1586452762923262E-2</v>
      </c>
      <c r="AG19" s="281">
        <v>2012</v>
      </c>
      <c r="AH19" s="281">
        <v>2012</v>
      </c>
      <c r="AI19" s="280">
        <v>4.7300000000000004</v>
      </c>
      <c r="AJ19" s="60">
        <f>AI19*(1-VLOOKUP(AW19,Discs.ProductCost.Royalty!$K$4:$Q$50,2)-VLOOKUP(Model!AW19,Discs.ProductCost.Royalty!$B$4:$H$50,2))*(1-VLOOKUP(Model!AW19,Discs.ProductCost.Royalty!$V$4:$AB$50,2))</f>
        <v>3.4370463538620535</v>
      </c>
      <c r="AK19" s="280">
        <v>4.7300000000000004</v>
      </c>
      <c r="AL19" s="60">
        <f>AK19*(1-VLOOKUP(AW19,Discs.ProductCost.Royalty!$K$4:$Q$50,2)-VLOOKUP(Model!AW19,Discs.ProductCost.Royalty!$B$4:$H$50,2))*(1-VLOOKUP(Model!AW19,Discs.ProductCost.Royalty!$V$4:$AB$50,2))</f>
        <v>3.4370463538620535</v>
      </c>
      <c r="AN19" s="293">
        <v>0.18</v>
      </c>
      <c r="AO19" s="293">
        <v>0.1</v>
      </c>
      <c r="AP19" s="60">
        <f t="shared" si="2"/>
        <v>2.6872179950465576</v>
      </c>
      <c r="AR19" s="297">
        <v>0.39</v>
      </c>
      <c r="AT19" s="60">
        <f t="shared" si="3"/>
        <v>1.3973533574241992</v>
      </c>
      <c r="AU19" s="60">
        <f t="shared" si="4"/>
        <v>4.7028952017950019</v>
      </c>
      <c r="AV19" s="296">
        <f t="shared" si="5"/>
        <v>0.29712619513419247</v>
      </c>
      <c r="AW19" t="s">
        <v>204</v>
      </c>
      <c r="AX19" s="10">
        <f t="shared" si="6"/>
        <v>0.276947292495686</v>
      </c>
      <c r="AY19" s="307">
        <f t="shared" si="7"/>
        <v>2.0178902638506468E-2</v>
      </c>
    </row>
    <row r="20" spans="1:51" ht="15" x14ac:dyDescent="0.25">
      <c r="A20" s="7" t="s">
        <v>39</v>
      </c>
      <c r="B20" s="14" t="s">
        <v>42</v>
      </c>
      <c r="C20" s="1" t="str">
        <f>[16]Input!$B$3</f>
        <v xml:space="preserve">  8 Months</v>
      </c>
      <c r="D20" s="9">
        <f>[16]Input!$B$5</f>
        <v>44293</v>
      </c>
      <c r="E20" s="10">
        <f>'[16]Summary - Program Period'!$C$16</f>
        <v>2.2699999999999951</v>
      </c>
      <c r="F20" s="11">
        <f>[16]Input!$Q$6</f>
        <v>3.6221477580979711E-2</v>
      </c>
      <c r="G20" s="10">
        <f>'[16]Summary - Program Period'!$C$28</f>
        <v>2</v>
      </c>
      <c r="H20" s="10">
        <f>'[16]Summary - Program Period'!$C$25</f>
        <v>1.7923956324623602</v>
      </c>
      <c r="I20" s="12">
        <f>[16]Input!$B$7</f>
        <v>5.9520014449235772</v>
      </c>
      <c r="J20" s="30">
        <f>627070/10^6</f>
        <v>0.62707000000000002</v>
      </c>
      <c r="K20" s="33"/>
      <c r="L20" s="36"/>
      <c r="M20" s="39"/>
      <c r="N20" s="30"/>
      <c r="O20" s="30"/>
      <c r="P20" s="33"/>
      <c r="Q20" s="36"/>
      <c r="R20" s="41"/>
      <c r="S20" s="30"/>
      <c r="T20" s="33"/>
      <c r="U20" s="36"/>
      <c r="V20" s="41"/>
      <c r="W20" s="281" t="s">
        <v>91</v>
      </c>
      <c r="X20" s="279">
        <v>44293</v>
      </c>
      <c r="Y20" s="280">
        <v>5.9520014449235772</v>
      </c>
      <c r="AA20" s="281" t="s">
        <v>201</v>
      </c>
      <c r="AB20" s="303">
        <v>64.94</v>
      </c>
      <c r="AC20" s="303">
        <v>62.67</v>
      </c>
      <c r="AD20">
        <f t="shared" si="0"/>
        <v>2.269999999999996</v>
      </c>
      <c r="AE20" s="300">
        <f t="shared" si="8"/>
        <v>3.6221477580979669E-2</v>
      </c>
      <c r="AG20" s="281">
        <v>2012</v>
      </c>
      <c r="AH20" s="281">
        <v>2012</v>
      </c>
      <c r="AI20" s="280">
        <v>4.7300000000000004</v>
      </c>
      <c r="AJ20" s="60">
        <f>AI20*(1-VLOOKUP(AW20,Discs.ProductCost.Royalty!$K$4:$Q$50,2)-VLOOKUP(Model!AW20,Discs.ProductCost.Royalty!$B$4:$H$50,2))*(1-VLOOKUP(Model!AW20,Discs.ProductCost.Royalty!$V$4:$AB$50,2))</f>
        <v>3.6112987821021902</v>
      </c>
      <c r="AK20" s="280">
        <v>4.7300000000000004</v>
      </c>
      <c r="AL20" s="60">
        <f>AK20*(1-VLOOKUP(AW20,Discs.ProductCost.Royalty!$K$4:$Q$50,2)-VLOOKUP(Model!AW20,Discs.ProductCost.Royalty!$B$4:$H$50,2))*(1-VLOOKUP(Model!AW20,Discs.ProductCost.Royalty!$V$4:$AB$50,2))</f>
        <v>3.6112987821021902</v>
      </c>
      <c r="AN20" s="293">
        <v>0.15</v>
      </c>
      <c r="AO20" s="293">
        <v>0.1</v>
      </c>
      <c r="AP20" s="60">
        <f t="shared" si="2"/>
        <v>2.9267525442242168</v>
      </c>
      <c r="AR20" s="297">
        <v>0.39</v>
      </c>
      <c r="AT20" s="60">
        <f t="shared" si="3"/>
        <v>6.6437282753889608</v>
      </c>
      <c r="AU20" s="60">
        <f t="shared" si="4"/>
        <v>3.4617565324109076</v>
      </c>
      <c r="AV20" s="296">
        <f t="shared" si="5"/>
        <v>1.9191783746738535</v>
      </c>
      <c r="AW20" t="s">
        <v>205</v>
      </c>
      <c r="AX20" s="10">
        <f t="shared" si="6"/>
        <v>1.7923956324623602</v>
      </c>
      <c r="AY20" s="307">
        <f t="shared" si="7"/>
        <v>0.12678274221149333</v>
      </c>
    </row>
    <row r="21" spans="1:51" ht="15" x14ac:dyDescent="0.25">
      <c r="A21" s="44" t="s">
        <v>73</v>
      </c>
      <c r="B21" s="45" t="s">
        <v>33</v>
      </c>
      <c r="C21" s="46" t="str">
        <f>[17]Input!$B$3</f>
        <v xml:space="preserve"> 12 Months</v>
      </c>
      <c r="D21" s="47">
        <f>[17]Input!$B$5</f>
        <v>6587</v>
      </c>
      <c r="E21" s="48">
        <f>'[17]Summary - Program Period'!$C$16</f>
        <v>5.1300000000000017</v>
      </c>
      <c r="F21" s="49">
        <f>[17]Input!$Q$6</f>
        <v>2.6614785992218115E-2</v>
      </c>
      <c r="G21" s="48">
        <f>'[17]Summary - Program Period'!$C$28</f>
        <v>5.76</v>
      </c>
      <c r="H21" s="48">
        <f>'[17]Summary - Program Period'!$C$25</f>
        <v>6.1342186167434605</v>
      </c>
      <c r="I21" s="50">
        <f>[17]Input!$B$7</f>
        <v>3.97128131167451</v>
      </c>
      <c r="J21" s="30">
        <f>2425000/(2*10^6)</f>
        <v>1.2124999999999999</v>
      </c>
      <c r="K21" s="33"/>
      <c r="L21" s="36"/>
      <c r="M21" s="39"/>
      <c r="N21" s="30"/>
      <c r="O21" s="30"/>
      <c r="P21" s="33"/>
      <c r="Q21" s="36"/>
      <c r="R21" s="41"/>
      <c r="S21" s="30"/>
      <c r="T21" s="33"/>
      <c r="U21" s="36"/>
      <c r="V21" s="41"/>
      <c r="W21" s="281" t="s">
        <v>91</v>
      </c>
      <c r="X21" s="279">
        <v>6587</v>
      </c>
      <c r="Y21" s="280">
        <v>3.97128131167451</v>
      </c>
      <c r="AA21" s="281" t="s">
        <v>203</v>
      </c>
      <c r="AB21" s="303">
        <v>197.88</v>
      </c>
      <c r="AC21" s="303">
        <v>192.75</v>
      </c>
      <c r="AD21">
        <f>AB21-AC21</f>
        <v>5.1299999999999955</v>
      </c>
      <c r="AE21" s="301">
        <f>AD21/AC21</f>
        <v>2.6614785992217876E-2</v>
      </c>
      <c r="AG21" s="281">
        <v>2012</v>
      </c>
      <c r="AH21" s="281">
        <v>2013</v>
      </c>
      <c r="AI21" s="280">
        <f>PharmaData!C22</f>
        <v>4.7273698613192687</v>
      </c>
      <c r="AJ21" s="60">
        <f>AI21*(1-VLOOKUP(AW21,Discs.ProductCost.Royalty!$K$4:$Q$50,2)-VLOOKUP(Model!AW21,Discs.ProductCost.Royalty!$B$4:$H$50,2))*(1-VLOOKUP(Model!AW21,Discs.ProductCost.Royalty!$V$4:$AB$50,2))</f>
        <v>3.6092907024796776</v>
      </c>
      <c r="AK21" s="280">
        <f>AI21*1.1011</f>
        <v>5.2053069542986465</v>
      </c>
      <c r="AL21" s="60">
        <f>AK21*(1-VLOOKUP(AW21,Discs.ProductCost.Royalty!$K$4:$Q$50,3)-VLOOKUP(Model!AW21,Discs.ProductCost.Royalty!$B$4:$H$50,3))*(1-VLOOKUP(Model!AW21,Discs.ProductCost.Royalty!$V$4:$AB$50,3))</f>
        <v>3.889930800832949</v>
      </c>
      <c r="AN21" s="302">
        <v>0.15</v>
      </c>
      <c r="AO21" s="293">
        <v>0.1</v>
      </c>
      <c r="AP21" s="60">
        <f t="shared" si="2"/>
        <v>3.0388465395467388</v>
      </c>
      <c r="AR21" s="297">
        <v>0.39</v>
      </c>
      <c r="AT21" s="60">
        <f t="shared" si="3"/>
        <v>15.589282747874757</v>
      </c>
      <c r="AU21" s="60">
        <f t="shared" si="4"/>
        <v>2.3097455788516044</v>
      </c>
      <c r="AV21" s="296">
        <f t="shared" si="5"/>
        <v>6.7493506170604647</v>
      </c>
      <c r="AW21" t="s">
        <v>205</v>
      </c>
      <c r="AX21" s="10">
        <f t="shared" si="6"/>
        <v>6.1342186167434605</v>
      </c>
      <c r="AY21" s="307">
        <f t="shared" si="7"/>
        <v>0.61513200031700421</v>
      </c>
    </row>
    <row r="22" spans="1:51" ht="15" x14ac:dyDescent="0.25">
      <c r="A22" s="44" t="s">
        <v>74</v>
      </c>
      <c r="B22" s="45" t="s">
        <v>33</v>
      </c>
      <c r="C22" s="46" t="str">
        <f>[18]Input!$B$3</f>
        <v xml:space="preserve"> 12 Months</v>
      </c>
      <c r="D22" s="47">
        <f>[18]Input!$B$5</f>
        <v>4134</v>
      </c>
      <c r="E22" s="48">
        <f>'[18]Summary - Program Period'!$C$16</f>
        <v>11.240000000000009</v>
      </c>
      <c r="F22" s="49">
        <f>[18]Input!$Q$6</f>
        <v>5.9095688748685538E-2</v>
      </c>
      <c r="G22" s="48">
        <f>'[18]Summary - Program Period'!$C$28</f>
        <v>15.43</v>
      </c>
      <c r="H22" s="48">
        <f>'[18]Summary - Program Period'!$C$25</f>
        <v>14.628504063199367</v>
      </c>
      <c r="I22" s="50">
        <f>[18]Input!$B$7</f>
        <v>3.2910982099661346</v>
      </c>
      <c r="J22" s="30">
        <f>2425000/(2*10^6)</f>
        <v>1.2124999999999999</v>
      </c>
      <c r="K22" s="33"/>
      <c r="L22" s="36"/>
      <c r="M22" s="39"/>
      <c r="N22" s="30"/>
      <c r="O22" s="30"/>
      <c r="P22" s="33"/>
      <c r="Q22" s="36"/>
      <c r="R22" s="41"/>
      <c r="S22" s="30"/>
      <c r="T22" s="33"/>
      <c r="U22" s="36"/>
      <c r="V22" s="41"/>
      <c r="W22" s="281" t="s">
        <v>91</v>
      </c>
      <c r="X22" s="279">
        <v>4134</v>
      </c>
      <c r="Y22" s="280">
        <v>3.2910982099661346</v>
      </c>
      <c r="AA22" s="281" t="s">
        <v>201</v>
      </c>
      <c r="AB22" s="303">
        <v>201.44</v>
      </c>
      <c r="AC22" s="303">
        <v>190.2</v>
      </c>
      <c r="AD22">
        <f t="shared" ref="AD22:AD83" si="9">AB22-AC22</f>
        <v>11.240000000000009</v>
      </c>
      <c r="AE22" s="301">
        <f t="shared" ref="AE22:AE83" si="10">AD22/AC22</f>
        <v>5.9095688748685649E-2</v>
      </c>
      <c r="AG22" s="281">
        <v>2011</v>
      </c>
      <c r="AH22" s="281">
        <v>2012</v>
      </c>
      <c r="AI22" s="280">
        <v>4.79</v>
      </c>
      <c r="AJ22" s="60">
        <f>AI22*(1-VLOOKUP(AW22,Discs.ProductCost.Royalty!$K$4:$Q$50,2)-VLOOKUP(Model!AW22,Discs.ProductCost.Royalty!$B$4:$H$50,2))*(1-VLOOKUP(Model!AW22,Discs.ProductCost.Royalty!$V$4:$AB$50,2))</f>
        <v>3.4806452505283794</v>
      </c>
      <c r="AK22" s="280">
        <v>4.79</v>
      </c>
      <c r="AL22" s="60">
        <f>AK22*(1-VLOOKUP(AW22,Discs.ProductCost.Royalty!$K$4:$Q$50,2)-VLOOKUP(Model!AW22,Discs.ProductCost.Royalty!$B$4:$H$50,2))*(1-VLOOKUP(Model!AW22,Discs.ProductCost.Royalty!$V$4:$AB$50,2))</f>
        <v>3.4806452505283794</v>
      </c>
      <c r="AN22" s="293">
        <v>0.18</v>
      </c>
      <c r="AO22" s="293">
        <v>0.1</v>
      </c>
      <c r="AP22" s="60">
        <f t="shared" si="2"/>
        <v>2.7213053269076126</v>
      </c>
      <c r="AR22" s="297">
        <v>0.39</v>
      </c>
      <c r="AT22" s="60">
        <f t="shared" si="3"/>
        <v>30.58747187444159</v>
      </c>
      <c r="AU22" s="60">
        <f t="shared" si="4"/>
        <v>1.9141428026488652</v>
      </c>
      <c r="AV22" s="296">
        <f t="shared" si="5"/>
        <v>15.979723055204376</v>
      </c>
      <c r="AW22" t="s">
        <v>204</v>
      </c>
      <c r="AX22" s="10">
        <f t="shared" si="6"/>
        <v>14.628504063199367</v>
      </c>
      <c r="AY22" s="307">
        <f t="shared" si="7"/>
        <v>1.3512189920050091</v>
      </c>
    </row>
    <row r="23" spans="1:51" ht="15" x14ac:dyDescent="0.25">
      <c r="A23" s="44" t="s">
        <v>75</v>
      </c>
      <c r="B23" s="45" t="s">
        <v>47</v>
      </c>
      <c r="C23" s="46" t="str">
        <f>[19]Input!$B$3</f>
        <v xml:space="preserve"> 12 Months</v>
      </c>
      <c r="D23" s="47">
        <f>[19]Input!$B$5</f>
        <v>9500</v>
      </c>
      <c r="E23" s="48">
        <f>'[19]Summary - Program Period'!$C$16</f>
        <v>6.9400000000000031</v>
      </c>
      <c r="F23" s="49">
        <f>[19]Input!$Q$6</f>
        <v>5.3070276057199939E-2</v>
      </c>
      <c r="G23" s="48">
        <f>'[19]Summary - Program Period'!$C$28</f>
        <v>12</v>
      </c>
      <c r="H23" s="48">
        <f>'[19]Summary - Program Period'!$C$25</f>
        <v>13.502924801754405</v>
      </c>
      <c r="I23" s="50">
        <f>[19]Input!$B$7</f>
        <v>2.42</v>
      </c>
      <c r="J23" s="30">
        <f>1500000/10^6</f>
        <v>1.5</v>
      </c>
      <c r="K23" s="33"/>
      <c r="L23" s="36"/>
      <c r="M23" s="39"/>
      <c r="N23" s="30"/>
      <c r="O23" s="30"/>
      <c r="P23" s="33"/>
      <c r="Q23" s="36"/>
      <c r="R23" s="41"/>
      <c r="S23" s="30"/>
      <c r="T23" s="33"/>
      <c r="U23" s="36"/>
      <c r="V23" s="41"/>
      <c r="W23" s="281" t="s">
        <v>91</v>
      </c>
      <c r="X23" s="279">
        <v>9500</v>
      </c>
      <c r="Y23" s="280">
        <v>2.42</v>
      </c>
      <c r="AA23" s="281" t="s">
        <v>203</v>
      </c>
      <c r="AB23" s="303">
        <v>137.71</v>
      </c>
      <c r="AC23" s="303">
        <v>130.78</v>
      </c>
      <c r="AD23">
        <f t="shared" si="9"/>
        <v>6.9300000000000068</v>
      </c>
      <c r="AE23" s="301">
        <f t="shared" si="10"/>
        <v>5.2989753784982462E-2</v>
      </c>
      <c r="AG23" s="281">
        <v>2011</v>
      </c>
      <c r="AH23" s="281">
        <v>2012</v>
      </c>
      <c r="AI23" s="280">
        <f>AI21</f>
        <v>4.7273698613192687</v>
      </c>
      <c r="AJ23" s="60">
        <f>AI23*(1-VLOOKUP(AW23,Discs.ProductCost.Royalty!$K$4:$Q$50,2)-VLOOKUP(Model!AW23,Discs.ProductCost.Royalty!$B$4:$H$50,2))*(1-VLOOKUP(Model!AW23,Discs.ProductCost.Royalty!$V$4:$AB$50,2))</f>
        <v>3.6092907024796776</v>
      </c>
      <c r="AK23" s="280">
        <f>AI23</f>
        <v>4.7273698613192687</v>
      </c>
      <c r="AL23" s="60">
        <f>AK23*(1-VLOOKUP(AW23,Discs.ProductCost.Royalty!$K$4:$Q$50,2)-VLOOKUP(Model!AW23,Discs.ProductCost.Royalty!$B$4:$H$50,2))*(1-VLOOKUP(Model!AW23,Discs.ProductCost.Royalty!$V$4:$AB$50,2))</f>
        <v>3.6092907024796776</v>
      </c>
      <c r="AN23" s="302">
        <f>AN21</f>
        <v>0.15</v>
      </c>
      <c r="AO23" s="293">
        <v>0.1</v>
      </c>
      <c r="AP23" s="60">
        <f t="shared" si="2"/>
        <v>2.9251251097473685</v>
      </c>
      <c r="AR23" s="297">
        <v>0.39</v>
      </c>
      <c r="AT23" s="60">
        <f t="shared" si="3"/>
        <v>20.271117010549283</v>
      </c>
      <c r="AU23" s="60">
        <f t="shared" si="4"/>
        <v>1.4075014742443432</v>
      </c>
      <c r="AV23" s="296">
        <f t="shared" si="5"/>
        <v>14.402199487167431</v>
      </c>
      <c r="AW23" t="s">
        <v>205</v>
      </c>
      <c r="AX23" s="10">
        <f t="shared" si="6"/>
        <v>13.502924801754405</v>
      </c>
      <c r="AY23" s="307">
        <f t="shared" si="7"/>
        <v>0.89927468541302602</v>
      </c>
    </row>
    <row r="24" spans="1:51" ht="15" x14ac:dyDescent="0.25">
      <c r="A24" s="44" t="s">
        <v>76</v>
      </c>
      <c r="B24" s="45" t="s">
        <v>47</v>
      </c>
      <c r="C24" s="46" t="str">
        <f>[20]Input!$B$3</f>
        <v xml:space="preserve"> 12 Months</v>
      </c>
      <c r="D24" s="47">
        <f>[20]Input!$B$5</f>
        <v>5281</v>
      </c>
      <c r="E24" s="48">
        <f>'[20]Summary - Program Period'!$C$16</f>
        <v>8.8999999999999915</v>
      </c>
      <c r="F24" s="49">
        <f>[20]Input!$Q$6</f>
        <v>7.0483883741189413E-2</v>
      </c>
      <c r="G24" s="48">
        <f>'[20]Summary - Program Period'!$C$28</f>
        <v>17</v>
      </c>
      <c r="H24" s="48">
        <f>'[20]Summary - Program Period'!$C$25</f>
        <v>17.326410361082139</v>
      </c>
      <c r="I24" s="50">
        <f>[20]Input!$B$7</f>
        <v>2.25</v>
      </c>
      <c r="J24" s="30"/>
      <c r="K24" s="33"/>
      <c r="L24" s="36"/>
      <c r="M24" s="39"/>
      <c r="N24" s="30"/>
      <c r="O24" s="30"/>
      <c r="P24" s="33"/>
      <c r="Q24" s="36"/>
      <c r="R24" s="41"/>
      <c r="S24" s="30"/>
      <c r="T24" s="33"/>
      <c r="U24" s="36"/>
      <c r="V24" s="41"/>
      <c r="W24" s="281" t="s">
        <v>91</v>
      </c>
      <c r="X24" s="279">
        <v>5281</v>
      </c>
      <c r="Y24" s="280">
        <v>2.25</v>
      </c>
      <c r="AA24" s="281" t="s">
        <v>203</v>
      </c>
      <c r="AB24" s="303">
        <v>135.16999999999999</v>
      </c>
      <c r="AC24" s="303">
        <v>126.27</v>
      </c>
      <c r="AD24">
        <f t="shared" si="9"/>
        <v>8.8999999999999915</v>
      </c>
      <c r="AE24" s="301">
        <f t="shared" si="10"/>
        <v>7.0483883741189454E-2</v>
      </c>
      <c r="AG24" s="281">
        <v>2011</v>
      </c>
      <c r="AH24" s="281">
        <v>2012</v>
      </c>
      <c r="AI24" s="280">
        <v>4.79</v>
      </c>
      <c r="AJ24" s="60">
        <f>AI24*(1-VLOOKUP(AW24,Discs.ProductCost.Royalty!$K$4:$Q$50,2)-VLOOKUP(Model!AW24,Discs.ProductCost.Royalty!$B$4:$H$50,2))*(1-VLOOKUP(Model!AW24,Discs.ProductCost.Royalty!$V$4:$AB$50,2))</f>
        <v>3.4806452505283794</v>
      </c>
      <c r="AK24" s="280">
        <v>4.79</v>
      </c>
      <c r="AL24" s="60">
        <f>AK24*(1-VLOOKUP(AW24,Discs.ProductCost.Royalty!$K$4:$Q$50,2)-VLOOKUP(Model!AW24,Discs.ProductCost.Royalty!$B$4:$H$50,2))*(1-VLOOKUP(Model!AW24,Discs.ProductCost.Royalty!$V$4:$AB$50,2))</f>
        <v>3.4806452505283794</v>
      </c>
      <c r="AN24" s="293">
        <v>0.18</v>
      </c>
      <c r="AO24" s="293">
        <v>0.1</v>
      </c>
      <c r="AP24" s="60">
        <f t="shared" si="2"/>
        <v>2.7213053269076126</v>
      </c>
      <c r="AR24" s="297">
        <v>0.39</v>
      </c>
      <c r="AT24" s="60">
        <f t="shared" si="3"/>
        <v>24.219617409477728</v>
      </c>
      <c r="AU24" s="60">
        <f t="shared" si="4"/>
        <v>1.3086274037395753</v>
      </c>
      <c r="AV24" s="296">
        <f t="shared" si="5"/>
        <v>18.507649572572742</v>
      </c>
      <c r="AW24" t="s">
        <v>204</v>
      </c>
      <c r="AX24" s="10">
        <f t="shared" si="6"/>
        <v>17.326410361082139</v>
      </c>
      <c r="AY24" s="307">
        <f t="shared" si="7"/>
        <v>1.1812392114906025</v>
      </c>
    </row>
    <row r="25" spans="1:51" ht="15" x14ac:dyDescent="0.25">
      <c r="A25" s="44" t="s">
        <v>75</v>
      </c>
      <c r="B25" s="45" t="s">
        <v>48</v>
      </c>
      <c r="C25" s="46" t="str">
        <f>[21]Input!$B$3</f>
        <v xml:space="preserve"> 12 Months</v>
      </c>
      <c r="D25" s="47">
        <f>[21]Input!$B$5</f>
        <v>1451</v>
      </c>
      <c r="E25" s="48">
        <f>'[21]Summary - Program Period'!$C$16</f>
        <v>3.5700000000000012</v>
      </c>
      <c r="F25" s="49">
        <f>[21]Input!$Q$6</f>
        <v>5.1515151515151292E-2</v>
      </c>
      <c r="G25" s="48">
        <f>'[21]Summary - Program Period'!$C$28</f>
        <v>7.5</v>
      </c>
      <c r="H25" s="48">
        <f>'[21]Summary - Program Period'!$C$25</f>
        <v>8.2398971953069022</v>
      </c>
      <c r="I25" s="50">
        <f>[21]Input!$B$7</f>
        <v>2.04</v>
      </c>
      <c r="J25" s="30">
        <f>1553279/10^6</f>
        <v>1.5532790000000001</v>
      </c>
      <c r="K25" s="33"/>
      <c r="L25" s="36"/>
      <c r="M25" s="39"/>
      <c r="N25" s="30"/>
      <c r="O25" s="30"/>
      <c r="P25" s="33"/>
      <c r="Q25" s="36"/>
      <c r="R25" s="41"/>
      <c r="S25" s="30"/>
      <c r="T25" s="33"/>
      <c r="U25" s="36"/>
      <c r="V25" s="41"/>
      <c r="W25" s="281" t="s">
        <v>91</v>
      </c>
      <c r="X25" s="279">
        <v>1451</v>
      </c>
      <c r="Y25" s="280">
        <v>2.04</v>
      </c>
      <c r="AA25" s="281" t="s">
        <v>203</v>
      </c>
      <c r="AB25" s="303">
        <v>72.87</v>
      </c>
      <c r="AC25" s="303">
        <v>69.3</v>
      </c>
      <c r="AD25">
        <f t="shared" si="9"/>
        <v>3.5700000000000074</v>
      </c>
      <c r="AE25" s="301">
        <f t="shared" si="10"/>
        <v>5.1515151515151625E-2</v>
      </c>
      <c r="AG25" s="281">
        <v>2011</v>
      </c>
      <c r="AH25" s="281">
        <v>2012</v>
      </c>
      <c r="AI25" s="280">
        <f>AI23</f>
        <v>4.7273698613192687</v>
      </c>
      <c r="AJ25" s="60">
        <f>AI25*(1-VLOOKUP(AW25,Discs.ProductCost.Royalty!$K$4:$Q$50,2)-VLOOKUP(Model!AW25,Discs.ProductCost.Royalty!$B$4:$H$50,2))*(1-VLOOKUP(Model!AW25,Discs.ProductCost.Royalty!$V$4:$AB$50,2))</f>
        <v>3.6092907024796776</v>
      </c>
      <c r="AK25" s="280">
        <f>AI25</f>
        <v>4.7273698613192687</v>
      </c>
      <c r="AL25" s="60">
        <f>AK25*(1-VLOOKUP(AW25,Discs.ProductCost.Royalty!$K$4:$Q$50,2)-VLOOKUP(Model!AW25,Discs.ProductCost.Royalty!$B$4:$H$50,2))*(1-VLOOKUP(Model!AW25,Discs.ProductCost.Royalty!$V$4:$AB$50,2))</f>
        <v>3.6092907024796776</v>
      </c>
      <c r="AN25" s="302">
        <f>AN23</f>
        <v>0.15</v>
      </c>
      <c r="AO25" s="293">
        <v>0.1</v>
      </c>
      <c r="AP25" s="60">
        <f t="shared" si="2"/>
        <v>2.9251251097473685</v>
      </c>
      <c r="AR25" s="297">
        <v>0.39</v>
      </c>
      <c r="AT25" s="60">
        <f t="shared" si="3"/>
        <v>10.442696641798127</v>
      </c>
      <c r="AU25" s="60">
        <f t="shared" si="4"/>
        <v>1.1864888460572149</v>
      </c>
      <c r="AV25" s="296">
        <f t="shared" si="5"/>
        <v>8.8013441310467737</v>
      </c>
      <c r="AW25" t="s">
        <v>205</v>
      </c>
      <c r="AX25" s="10">
        <f t="shared" si="6"/>
        <v>8.2398971953069022</v>
      </c>
      <c r="AY25" s="307">
        <f t="shared" si="7"/>
        <v>0.56144693573987148</v>
      </c>
    </row>
    <row r="26" spans="1:51" ht="15" x14ac:dyDescent="0.25">
      <c r="A26" s="44" t="s">
        <v>76</v>
      </c>
      <c r="B26" s="45" t="s">
        <v>48</v>
      </c>
      <c r="C26" s="46" t="str">
        <f>[22]Input!$B$3</f>
        <v xml:space="preserve"> 12 Months</v>
      </c>
      <c r="D26" s="47">
        <f>[22]Input!$B$5</f>
        <v>794</v>
      </c>
      <c r="E26" s="48">
        <f>'[22]Summary - Program Period'!$C$16</f>
        <v>4.0300000000000074</v>
      </c>
      <c r="F26" s="49">
        <f>[22]Input!$Q$6</f>
        <v>5.6112503480924891E-2</v>
      </c>
      <c r="G26" s="48">
        <f>'[22]Summary - Program Period'!$C$28</f>
        <v>8.4</v>
      </c>
      <c r="H26" s="48">
        <f>'[22]Summary - Program Period'!$C$25</f>
        <v>8.5277764722961926</v>
      </c>
      <c r="I26" s="50">
        <f>[22]Input!$B$7</f>
        <v>2.0699999999999998</v>
      </c>
      <c r="J26" s="30"/>
      <c r="K26" s="33"/>
      <c r="L26" s="36"/>
      <c r="M26" s="39"/>
      <c r="N26" s="30"/>
      <c r="O26" s="30"/>
      <c r="P26" s="33"/>
      <c r="Q26" s="36"/>
      <c r="R26" s="41"/>
      <c r="S26" s="30"/>
      <c r="T26" s="33"/>
      <c r="U26" s="36"/>
      <c r="V26" s="41"/>
      <c r="W26" s="281" t="s">
        <v>91</v>
      </c>
      <c r="X26" s="279">
        <v>794</v>
      </c>
      <c r="Y26" s="280">
        <v>2.0699999999999998</v>
      </c>
      <c r="AA26" s="281" t="s">
        <v>203</v>
      </c>
      <c r="AB26" s="303">
        <v>75.849999999999994</v>
      </c>
      <c r="AC26" s="303">
        <v>71.819999999999993</v>
      </c>
      <c r="AD26">
        <f t="shared" si="9"/>
        <v>4.0300000000000011</v>
      </c>
      <c r="AE26" s="301">
        <f t="shared" si="10"/>
        <v>5.6112503480924551E-2</v>
      </c>
      <c r="AG26" s="281">
        <v>2011</v>
      </c>
      <c r="AH26" s="281">
        <v>2012</v>
      </c>
      <c r="AI26" s="280">
        <v>4.79</v>
      </c>
      <c r="AJ26" s="60">
        <f>AI26*(1-VLOOKUP(AW26,Discs.ProductCost.Royalty!$K$4:$Q$50,2)-VLOOKUP(Model!AW26,Discs.ProductCost.Royalty!$B$4:$H$50,2))*(1-VLOOKUP(Model!AW26,Discs.ProductCost.Royalty!$V$4:$AB$50,2))</f>
        <v>3.4806452505283794</v>
      </c>
      <c r="AK26" s="280">
        <v>4.79</v>
      </c>
      <c r="AL26" s="60">
        <f>AK26*(1-VLOOKUP(AW26,Discs.ProductCost.Royalty!$K$4:$Q$50,2)-VLOOKUP(Model!AW26,Discs.ProductCost.Royalty!$B$4:$H$50,2))*(1-VLOOKUP(Model!AW26,Discs.ProductCost.Royalty!$V$4:$AB$50,2))</f>
        <v>3.4806452505283794</v>
      </c>
      <c r="AN26" s="293">
        <v>0.18</v>
      </c>
      <c r="AO26" s="293">
        <v>0.1</v>
      </c>
      <c r="AP26" s="60">
        <f t="shared" si="2"/>
        <v>2.7213053269076126</v>
      </c>
      <c r="AR26" s="297">
        <v>0.39</v>
      </c>
      <c r="AT26" s="60">
        <f t="shared" si="3"/>
        <v>10.966860467437682</v>
      </c>
      <c r="AU26" s="60">
        <f t="shared" si="4"/>
        <v>1.2039372114404092</v>
      </c>
      <c r="AV26" s="296">
        <f t="shared" si="5"/>
        <v>9.1091631384304161</v>
      </c>
      <c r="AW26" t="s">
        <v>204</v>
      </c>
      <c r="AX26" s="10">
        <f t="shared" si="6"/>
        <v>8.5277764722961926</v>
      </c>
      <c r="AY26" s="307">
        <f t="shared" si="7"/>
        <v>0.58138666613422352</v>
      </c>
    </row>
    <row r="27" spans="1:51" ht="15" x14ac:dyDescent="0.25">
      <c r="A27" s="7"/>
      <c r="D27" s="9"/>
      <c r="E27" s="10"/>
      <c r="F27" s="11"/>
      <c r="G27" s="10"/>
      <c r="H27" s="10"/>
      <c r="I27" s="12"/>
      <c r="J27" s="30"/>
      <c r="K27" s="33"/>
      <c r="L27" s="36"/>
      <c r="M27" s="39"/>
      <c r="N27" s="30"/>
      <c r="O27" s="30"/>
      <c r="P27" s="33"/>
      <c r="Q27" s="36"/>
      <c r="R27" s="41"/>
      <c r="S27" s="30"/>
      <c r="T27" s="33"/>
      <c r="U27" s="36"/>
      <c r="V27" s="41"/>
      <c r="W27" s="281"/>
      <c r="X27" s="279"/>
      <c r="Y27" s="280"/>
      <c r="AA27" s="281"/>
      <c r="AB27" s="303"/>
      <c r="AC27" s="303"/>
      <c r="AE27" s="301"/>
      <c r="AG27" s="281"/>
      <c r="AH27" s="281"/>
      <c r="AI27" s="280"/>
      <c r="AJ27" s="60"/>
      <c r="AK27" s="280"/>
      <c r="AL27" s="60"/>
      <c r="AN27" s="293"/>
      <c r="AO27" s="281"/>
      <c r="AR27" s="281"/>
      <c r="AT27" s="60"/>
      <c r="AU27" s="60"/>
      <c r="AV27" s="296"/>
      <c r="AX27" s="10"/>
      <c r="AY27" s="307"/>
    </row>
    <row r="28" spans="1:51" ht="15" x14ac:dyDescent="0.25">
      <c r="A28" t="s">
        <v>3</v>
      </c>
      <c r="E28" s="10"/>
      <c r="F28" s="11"/>
      <c r="G28" s="10"/>
      <c r="H28" s="10"/>
      <c r="I28" s="12"/>
      <c r="J28" s="30"/>
      <c r="K28" s="33"/>
      <c r="L28" s="36"/>
      <c r="M28" s="39"/>
      <c r="N28" s="30">
        <f>VLOOKUP($A28,'[6]Aug 2013 Forecast '!$B$7:$X$59,15,FALSE)/1000</f>
        <v>3</v>
      </c>
      <c r="O28" s="30"/>
      <c r="P28" s="33"/>
      <c r="Q28" s="36"/>
      <c r="R28" s="41"/>
      <c r="S28" s="30"/>
      <c r="T28" s="33"/>
      <c r="U28" s="36"/>
      <c r="V28" s="41"/>
      <c r="W28" s="281"/>
      <c r="X28" s="279"/>
      <c r="Y28" s="280"/>
      <c r="AA28" s="281"/>
      <c r="AB28" s="303"/>
      <c r="AC28" s="303"/>
      <c r="AE28" s="301"/>
      <c r="AG28" s="281"/>
      <c r="AH28" s="281"/>
      <c r="AI28" s="280"/>
      <c r="AJ28" s="60"/>
      <c r="AK28" s="280"/>
      <c r="AL28" s="60"/>
      <c r="AN28" s="293"/>
      <c r="AO28" s="293"/>
      <c r="AP28" s="300"/>
      <c r="AQ28" s="300"/>
      <c r="AR28" s="293"/>
      <c r="AS28" s="300"/>
      <c r="AT28" s="300"/>
      <c r="AU28" s="300"/>
      <c r="AV28" s="300"/>
      <c r="AW28" s="300"/>
      <c r="AX28" s="10"/>
      <c r="AY28" s="307"/>
    </row>
    <row r="29" spans="1:51" ht="15" x14ac:dyDescent="0.25">
      <c r="A29" s="7" t="s">
        <v>34</v>
      </c>
      <c r="B29" s="14" t="s">
        <v>33</v>
      </c>
      <c r="C29" s="1" t="str">
        <f>[23]Input!$B$3</f>
        <v xml:space="preserve"> 12 Months</v>
      </c>
      <c r="D29" s="9">
        <f>[23]Input!$B$5</f>
        <v>15648</v>
      </c>
      <c r="E29" s="10">
        <f>'[23]Summary - Program Period'!$C$16</f>
        <v>5.2500059999999937</v>
      </c>
      <c r="F29" s="11">
        <f>[23]Input!$Q$6</f>
        <v>7.8899999999999998E-2</v>
      </c>
      <c r="G29" s="10">
        <f>'[23]Summary - Program Period'!$C$28</f>
        <v>9.68</v>
      </c>
      <c r="H29" s="10">
        <f>'[23]Summary - Program Period'!$C$25</f>
        <v>4.8392675412559338</v>
      </c>
      <c r="I29" s="12">
        <f>[23]Input!$B$7</f>
        <v>4.1980566206543966</v>
      </c>
      <c r="J29" s="30">
        <f>100000/10^6</f>
        <v>0.1</v>
      </c>
      <c r="K29" s="33">
        <v>169490</v>
      </c>
      <c r="L29" s="36">
        <v>0.59</v>
      </c>
      <c r="M29" s="39"/>
      <c r="N29" s="30"/>
      <c r="O29" s="30"/>
      <c r="P29" s="33"/>
      <c r="Q29" s="36"/>
      <c r="R29" s="41"/>
      <c r="S29" s="30"/>
      <c r="T29" s="33"/>
      <c r="U29" s="36"/>
      <c r="V29" s="41"/>
      <c r="W29" s="281" t="s">
        <v>91</v>
      </c>
      <c r="X29" s="279">
        <v>15648</v>
      </c>
      <c r="Y29" s="280">
        <v>4.1980566206543966</v>
      </c>
      <c r="AA29" s="281" t="s">
        <v>199</v>
      </c>
      <c r="AB29" s="303">
        <v>1.784</v>
      </c>
      <c r="AC29" s="303">
        <v>1.6930000000000001</v>
      </c>
      <c r="AD29">
        <f>AB29-AC29</f>
        <v>9.099999999999997E-2</v>
      </c>
      <c r="AE29" s="301">
        <f>AD29/AC29</f>
        <v>5.375073833431776E-2</v>
      </c>
      <c r="AG29" s="281">
        <v>2012</v>
      </c>
      <c r="AH29" s="281">
        <v>2012</v>
      </c>
      <c r="AI29" s="280">
        <v>209.36</v>
      </c>
      <c r="AJ29" s="304">
        <f>AI29*(1-Discs.ProductCost.Royalty!L12-Discs.ProductCost.Royalty!C12)*(1-Discs.ProductCost.Royalty!W12)</f>
        <v>126.41237684477042</v>
      </c>
      <c r="AK29" s="280">
        <v>209.36</v>
      </c>
      <c r="AL29" s="304">
        <f>AK29*(1-Discs.ProductCost.Royalty!L12-Discs.ProductCost.Royalty!C12)*(1-Discs.ProductCost.Royalty!W12)</f>
        <v>126.41237684477042</v>
      </c>
      <c r="AN29" s="293">
        <v>0.39</v>
      </c>
      <c r="AO29" s="293">
        <v>0.1</v>
      </c>
      <c r="AP29" s="60">
        <f t="shared" si="2"/>
        <v>73.522978004853655</v>
      </c>
      <c r="AR29" s="297">
        <v>0.39</v>
      </c>
      <c r="AT29" s="60">
        <f t="shared" si="3"/>
        <v>6.6905909984416807</v>
      </c>
      <c r="AU29" s="60">
        <f t="shared" si="4"/>
        <v>2.4416408605505326</v>
      </c>
      <c r="AV29" s="296">
        <f t="shared" si="5"/>
        <v>2.7402027491189305</v>
      </c>
      <c r="AW29" t="s">
        <v>3</v>
      </c>
      <c r="AX29" s="10">
        <f t="shared" si="6"/>
        <v>4.8392675412559338</v>
      </c>
      <c r="AY29" s="307">
        <f t="shared" si="7"/>
        <v>-2.0990647921370034</v>
      </c>
    </row>
    <row r="30" spans="1:51" ht="15" x14ac:dyDescent="0.25">
      <c r="A30" s="7" t="s">
        <v>28</v>
      </c>
      <c r="D30" s="9"/>
      <c r="E30" s="10"/>
      <c r="F30" s="11"/>
      <c r="G30" s="10"/>
      <c r="H30" s="10"/>
      <c r="I30" s="12"/>
      <c r="J30" s="30">
        <f>375000/10^6</f>
        <v>0.375</v>
      </c>
      <c r="K30" s="33"/>
      <c r="L30" s="36"/>
      <c r="M30" s="39"/>
      <c r="N30" s="30"/>
      <c r="O30" s="30"/>
      <c r="P30" s="33"/>
      <c r="Q30" s="36"/>
      <c r="R30" s="41"/>
      <c r="S30" s="30"/>
      <c r="T30" s="33"/>
      <c r="U30" s="36"/>
      <c r="V30" s="41"/>
      <c r="W30" s="281" t="s">
        <v>91</v>
      </c>
      <c r="X30" s="279"/>
      <c r="Y30" s="280"/>
      <c r="AA30" s="281"/>
      <c r="AB30" s="303"/>
      <c r="AC30" s="303"/>
      <c r="AD30">
        <f>AB30-AC30</f>
        <v>0</v>
      </c>
      <c r="AE30" s="301" t="e">
        <f>AD30/AC30</f>
        <v>#DIV/0!</v>
      </c>
      <c r="AG30" s="281"/>
      <c r="AH30" s="281"/>
      <c r="AI30" s="280"/>
      <c r="AJ30" s="304"/>
      <c r="AK30" s="280"/>
      <c r="AL30" s="304"/>
      <c r="AN30" s="293">
        <v>0.39</v>
      </c>
      <c r="AO30" s="293">
        <v>0.1</v>
      </c>
      <c r="AP30" s="60" t="e">
        <f t="shared" si="2"/>
        <v>#DIV/0!</v>
      </c>
      <c r="AR30" s="297">
        <v>0.39</v>
      </c>
      <c r="AT30" s="60" t="e">
        <f t="shared" si="3"/>
        <v>#DIV/0!</v>
      </c>
      <c r="AU30" s="60">
        <f t="shared" si="4"/>
        <v>0</v>
      </c>
      <c r="AV30" s="296" t="e">
        <f t="shared" si="5"/>
        <v>#DIV/0!</v>
      </c>
      <c r="AW30" t="s">
        <v>3</v>
      </c>
      <c r="AX30" s="10">
        <f t="shared" si="6"/>
        <v>0</v>
      </c>
      <c r="AY30" s="307" t="e">
        <f t="shared" si="7"/>
        <v>#DIV/0!</v>
      </c>
    </row>
    <row r="31" spans="1:51" ht="15" x14ac:dyDescent="0.25">
      <c r="A31" s="44" t="s">
        <v>46</v>
      </c>
      <c r="B31" s="45" t="s">
        <v>47</v>
      </c>
      <c r="C31" s="46" t="str">
        <f>[24]Input!$B$3</f>
        <v xml:space="preserve">  5 Months</v>
      </c>
      <c r="D31" s="47">
        <f>[24]Input!$B$5</f>
        <v>3640</v>
      </c>
      <c r="E31" s="48">
        <f>'[24]Summary - Program Period'!$C$16</f>
        <v>5.2999999999999992E-2</v>
      </c>
      <c r="F31" s="49">
        <f>[24]Input!$Q$6</f>
        <v>3.6476256022023312E-2</v>
      </c>
      <c r="G31" s="48">
        <f>'[24]Summary - Program Period'!$C$28</f>
        <v>4.7</v>
      </c>
      <c r="H31" s="48">
        <f>'[24]Summary - Program Period'!$C$25</f>
        <v>0.13267133478763249</v>
      </c>
      <c r="I31" s="50">
        <f>[24]Input!$B$7</f>
        <v>1.59</v>
      </c>
      <c r="J31" s="30">
        <f>87696/10^6</f>
        <v>8.7695999999999996E-2</v>
      </c>
      <c r="K31" s="33"/>
      <c r="L31" s="36"/>
      <c r="M31" s="39"/>
      <c r="N31" s="30"/>
      <c r="O31" s="30"/>
      <c r="P31" s="33"/>
      <c r="Q31" s="36"/>
      <c r="R31" s="41"/>
      <c r="S31" s="30"/>
      <c r="T31" s="33"/>
      <c r="U31" s="36"/>
      <c r="V31" s="41"/>
      <c r="W31" s="281" t="s">
        <v>91</v>
      </c>
      <c r="X31" s="279">
        <v>3640</v>
      </c>
      <c r="Y31" s="280">
        <v>1.59</v>
      </c>
      <c r="AA31" s="281" t="s">
        <v>192</v>
      </c>
      <c r="AB31" s="303">
        <v>1.506</v>
      </c>
      <c r="AC31" s="303">
        <v>1.4530000000000001</v>
      </c>
      <c r="AD31">
        <f>AB31-AC31</f>
        <v>5.2999999999999936E-2</v>
      </c>
      <c r="AE31" s="301">
        <f t="shared" si="10"/>
        <v>3.6476256022023354E-2</v>
      </c>
      <c r="AG31" s="281">
        <v>2012</v>
      </c>
      <c r="AH31" s="281">
        <v>2012</v>
      </c>
      <c r="AI31" s="280">
        <f>PharmaData!E10</f>
        <v>209.36</v>
      </c>
      <c r="AJ31" s="305">
        <f>AI31*(1-Discs.ProductCost.Royalty!L12-Discs.ProductCost.Royalty!C12)*(1-Discs.ProductCost.Royalty!W12)</f>
        <v>126.41237684477042</v>
      </c>
      <c r="AK31" s="280">
        <f>AI31</f>
        <v>209.36</v>
      </c>
      <c r="AL31" s="305">
        <f>AK31*(1-Discs.ProductCost.Royalty!L12-Discs.ProductCost.Royalty!C12)*(1-Discs.ProductCost.Royalty!W12)</f>
        <v>126.41237684477042</v>
      </c>
      <c r="AN31" s="302">
        <v>0.39</v>
      </c>
      <c r="AO31" s="293">
        <v>0.1</v>
      </c>
      <c r="AP31" s="60">
        <f t="shared" si="2"/>
        <v>73.522978004853655</v>
      </c>
      <c r="AR31" s="297">
        <v>0.39</v>
      </c>
      <c r="AT31" s="60">
        <f t="shared" si="3"/>
        <v>3.8967178342572391</v>
      </c>
      <c r="AU31" s="60">
        <f t="shared" si="4"/>
        <v>0.92476336530929992</v>
      </c>
      <c r="AV31" s="296">
        <f t="shared" si="5"/>
        <v>4.2137458948256752</v>
      </c>
      <c r="AW31" t="s">
        <v>3</v>
      </c>
      <c r="AX31" s="10">
        <f t="shared" si="6"/>
        <v>0.13267133478763249</v>
      </c>
      <c r="AY31" s="307">
        <f t="shared" si="7"/>
        <v>4.0810745600380427</v>
      </c>
    </row>
    <row r="32" spans="1:51" ht="15" x14ac:dyDescent="0.25">
      <c r="A32" s="44" t="s">
        <v>46</v>
      </c>
      <c r="B32" s="45" t="s">
        <v>48</v>
      </c>
      <c r="C32" s="46" t="str">
        <f>[25]Input!$B$3</f>
        <v xml:space="preserve">  7 Months</v>
      </c>
      <c r="D32" s="47">
        <f>[25]Input!$B$5</f>
        <v>110</v>
      </c>
      <c r="E32" s="48">
        <f>'[25]Summary - Program Period'!$C$16</f>
        <v>2.0700000000000003</v>
      </c>
      <c r="F32" s="49">
        <f>[25]Input!$Q$6</f>
        <v>7.356076759061847E-2</v>
      </c>
      <c r="G32" s="48">
        <f>'[25]Summary - Program Period'!$C$28</f>
        <v>6.3</v>
      </c>
      <c r="H32" s="48">
        <f>'[25]Summary - Program Period'!$C$25</f>
        <v>5.3519609764041078</v>
      </c>
      <c r="I32" s="50">
        <f>[25]Input!$B$7</f>
        <v>1.56</v>
      </c>
      <c r="J32" s="30">
        <f>132304/10^6</f>
        <v>0.132304</v>
      </c>
      <c r="K32" s="33"/>
      <c r="L32" s="36"/>
      <c r="M32" s="39"/>
      <c r="N32" s="30"/>
      <c r="O32" s="30"/>
      <c r="P32" s="33"/>
      <c r="Q32" s="36"/>
      <c r="R32" s="41"/>
      <c r="S32" s="30"/>
      <c r="T32" s="33"/>
      <c r="U32" s="36"/>
      <c r="V32" s="41"/>
      <c r="W32" s="281" t="s">
        <v>91</v>
      </c>
      <c r="X32" s="279">
        <v>110</v>
      </c>
      <c r="Y32" s="280">
        <v>1.56</v>
      </c>
      <c r="AA32" s="281" t="s">
        <v>192</v>
      </c>
      <c r="AB32" s="303">
        <v>1.0069999999999999</v>
      </c>
      <c r="AC32" s="303">
        <v>0.93799999999999994</v>
      </c>
      <c r="AD32">
        <f t="shared" si="9"/>
        <v>6.899999999999995E-2</v>
      </c>
      <c r="AE32" s="301">
        <f t="shared" si="10"/>
        <v>7.356076759061829E-2</v>
      </c>
      <c r="AG32" s="281">
        <v>2012</v>
      </c>
      <c r="AH32" s="281">
        <v>2012</v>
      </c>
      <c r="AI32" s="280">
        <v>209.36</v>
      </c>
      <c r="AJ32" s="304">
        <f>AI32*(1-Discs.ProductCost.Royalty!L12-Discs.ProductCost.Royalty!C12)*(1-Discs.ProductCost.Royalty!W12)</f>
        <v>126.41237684477042</v>
      </c>
      <c r="AK32" s="280">
        <v>209.36</v>
      </c>
      <c r="AL32" s="304">
        <f>AK32*(1-Discs.ProductCost.Royalty!L12-Discs.ProductCost.Royalty!C12)*(1-Discs.ProductCost.Royalty!W12)</f>
        <v>126.41237684477042</v>
      </c>
      <c r="AN32" s="293">
        <v>0.39</v>
      </c>
      <c r="AO32" s="293">
        <v>0.1</v>
      </c>
      <c r="AP32" s="60">
        <f t="shared" si="2"/>
        <v>73.522978004853655</v>
      </c>
      <c r="AR32" s="297">
        <v>0.39</v>
      </c>
      <c r="AT32" s="60">
        <f t="shared" si="3"/>
        <v>5.073085482334899</v>
      </c>
      <c r="AU32" s="60">
        <f t="shared" si="4"/>
        <v>0.90731499992610554</v>
      </c>
      <c r="AV32" s="296">
        <f t="shared" si="5"/>
        <v>5.5913166681340725</v>
      </c>
      <c r="AW32" t="s">
        <v>3</v>
      </c>
      <c r="AX32" s="10">
        <f t="shared" si="6"/>
        <v>5.3519609764041078</v>
      </c>
      <c r="AY32" s="307">
        <f t="shared" si="7"/>
        <v>0.23935569172996463</v>
      </c>
    </row>
    <row r="33" spans="1:51" ht="15" x14ac:dyDescent="0.25">
      <c r="A33" s="7"/>
      <c r="D33" s="9"/>
      <c r="E33" s="10"/>
      <c r="F33" s="11"/>
      <c r="G33" s="10"/>
      <c r="H33" s="10"/>
      <c r="I33" s="12"/>
      <c r="J33" s="30"/>
      <c r="K33" s="33"/>
      <c r="L33" s="36"/>
      <c r="M33" s="39"/>
      <c r="N33" s="30"/>
      <c r="O33" s="30"/>
      <c r="P33" s="33"/>
      <c r="Q33" s="36"/>
      <c r="R33" s="41"/>
      <c r="S33" s="30"/>
      <c r="T33" s="33"/>
      <c r="U33" s="36"/>
      <c r="V33" s="41"/>
      <c r="W33" s="281"/>
      <c r="X33" s="279"/>
      <c r="Y33" s="280"/>
      <c r="AA33" s="281"/>
      <c r="AB33" s="303"/>
      <c r="AC33" s="303"/>
      <c r="AE33" s="301"/>
      <c r="AG33" s="281"/>
      <c r="AH33" s="281"/>
      <c r="AI33" s="280"/>
      <c r="AJ33" s="60"/>
      <c r="AK33" s="280"/>
      <c r="AL33" s="60"/>
      <c r="AN33" s="293"/>
      <c r="AO33" s="281"/>
      <c r="AR33" s="281"/>
      <c r="AT33" s="60"/>
      <c r="AU33" s="60"/>
      <c r="AV33" s="296"/>
      <c r="AX33" s="10"/>
      <c r="AY33" s="307"/>
    </row>
    <row r="34" spans="1:51" ht="15" x14ac:dyDescent="0.25">
      <c r="A34" t="s">
        <v>4</v>
      </c>
      <c r="E34" s="10"/>
      <c r="F34" s="11"/>
      <c r="G34" s="10"/>
      <c r="H34" s="10"/>
      <c r="I34" s="12"/>
      <c r="J34" s="30"/>
      <c r="K34" s="33"/>
      <c r="L34" s="36"/>
      <c r="M34" s="39"/>
      <c r="N34" s="30">
        <f>VLOOKUP($A34,'[6]Aug 2013 Forecast '!$B$7:$X$59,15,FALSE)/1000</f>
        <v>1.2</v>
      </c>
      <c r="O34" s="30"/>
      <c r="P34" s="33"/>
      <c r="Q34" s="36"/>
      <c r="R34" s="41"/>
      <c r="S34" s="30"/>
      <c r="T34" s="33"/>
      <c r="U34" s="36"/>
      <c r="V34" s="41"/>
      <c r="W34" s="281"/>
      <c r="X34" s="279"/>
      <c r="Y34" s="280"/>
      <c r="AA34" s="281"/>
      <c r="AB34" s="303"/>
      <c r="AC34" s="303"/>
      <c r="AD34">
        <f t="shared" si="9"/>
        <v>0</v>
      </c>
      <c r="AE34" s="301" t="e">
        <f t="shared" si="10"/>
        <v>#DIV/0!</v>
      </c>
      <c r="AG34" s="281"/>
      <c r="AH34" s="281"/>
      <c r="AI34" s="280"/>
      <c r="AJ34" s="60"/>
      <c r="AK34" s="280"/>
      <c r="AL34" s="60"/>
      <c r="AN34" s="293"/>
      <c r="AO34" s="293">
        <v>0.1</v>
      </c>
      <c r="AP34" s="60" t="e">
        <f t="shared" si="2"/>
        <v>#DIV/0!</v>
      </c>
      <c r="AR34" s="297">
        <v>0.39</v>
      </c>
      <c r="AT34" s="60" t="e">
        <f t="shared" si="3"/>
        <v>#DIV/0!</v>
      </c>
      <c r="AU34" s="60">
        <f t="shared" si="4"/>
        <v>0</v>
      </c>
      <c r="AV34" s="296" t="e">
        <f t="shared" si="5"/>
        <v>#DIV/0!</v>
      </c>
      <c r="AW34" t="s">
        <v>4</v>
      </c>
      <c r="AX34" s="10">
        <f t="shared" si="6"/>
        <v>0</v>
      </c>
      <c r="AY34" s="307" t="e">
        <f t="shared" si="7"/>
        <v>#DIV/0!</v>
      </c>
    </row>
    <row r="35" spans="1:51" ht="15" x14ac:dyDescent="0.25">
      <c r="E35" s="10"/>
      <c r="F35" s="11"/>
      <c r="G35" s="10"/>
      <c r="H35" s="10"/>
      <c r="I35" s="12"/>
      <c r="J35" s="30"/>
      <c r="K35" s="33"/>
      <c r="L35" s="36"/>
      <c r="M35" s="39"/>
      <c r="N35" s="30"/>
      <c r="O35" s="30"/>
      <c r="P35" s="33"/>
      <c r="Q35" s="36"/>
      <c r="R35" s="41"/>
      <c r="S35" s="30"/>
      <c r="T35" s="33"/>
      <c r="U35" s="36"/>
      <c r="V35" s="41"/>
      <c r="W35" s="281"/>
      <c r="X35" s="279"/>
      <c r="Y35" s="280"/>
      <c r="AA35" s="281"/>
      <c r="AB35" s="303"/>
      <c r="AC35" s="303"/>
      <c r="AE35" s="301"/>
      <c r="AG35" s="281"/>
      <c r="AH35" s="281"/>
      <c r="AI35" s="280"/>
      <c r="AJ35" s="60"/>
      <c r="AK35" s="280"/>
      <c r="AL35" s="60"/>
      <c r="AN35" s="293"/>
      <c r="AO35" s="281"/>
      <c r="AR35" s="281"/>
      <c r="AT35" s="60"/>
      <c r="AU35" s="60"/>
      <c r="AV35" s="296"/>
      <c r="AX35" s="10"/>
      <c r="AY35" s="307"/>
    </row>
    <row r="36" spans="1:51" x14ac:dyDescent="0.3">
      <c r="A36" t="s">
        <v>5</v>
      </c>
      <c r="E36" s="10"/>
      <c r="F36" s="11"/>
      <c r="G36" s="10"/>
      <c r="H36" s="10"/>
      <c r="I36" s="12"/>
      <c r="J36" s="30"/>
      <c r="K36" s="33"/>
      <c r="L36" s="36"/>
      <c r="M36" s="39"/>
      <c r="N36" s="30">
        <f>VLOOKUP($A36,'[6]Aug 2013 Forecast '!$B$7:$X$59,15,FALSE)/1000</f>
        <v>0.2</v>
      </c>
      <c r="O36" s="30"/>
      <c r="P36" s="33"/>
      <c r="Q36" s="36"/>
      <c r="R36" s="41"/>
      <c r="S36" s="30"/>
      <c r="T36" s="33"/>
      <c r="U36" s="36"/>
      <c r="V36" s="41"/>
      <c r="W36" s="281"/>
      <c r="X36" s="279"/>
      <c r="Y36" s="280"/>
      <c r="AA36" s="281"/>
      <c r="AB36" s="303"/>
      <c r="AC36" s="303"/>
      <c r="AG36" s="281"/>
      <c r="AH36" s="281"/>
      <c r="AI36" s="280"/>
      <c r="AJ36" s="60"/>
      <c r="AK36" s="280"/>
      <c r="AL36" s="60"/>
      <c r="AN36" s="281"/>
      <c r="AO36" s="281"/>
      <c r="AR36" s="281"/>
      <c r="AV36"/>
      <c r="AX36" s="10"/>
      <c r="AY36" s="307"/>
    </row>
    <row r="37" spans="1:51" x14ac:dyDescent="0.3">
      <c r="A37" s="7" t="s">
        <v>46</v>
      </c>
      <c r="B37" s="14" t="s">
        <v>47</v>
      </c>
      <c r="C37" s="1" t="str">
        <f>[26]Input!$B$3</f>
        <v xml:space="preserve"> 12 Months</v>
      </c>
      <c r="D37" s="9">
        <f>[26]Input!$B$5</f>
        <v>1555</v>
      </c>
      <c r="E37" s="10">
        <f>'[26]Summary - Program Period'!$C$16</f>
        <v>4.0450000000000061</v>
      </c>
      <c r="F37" s="11">
        <f>[26]Input!$Q$6</f>
        <v>3.0519088577033893E-2</v>
      </c>
      <c r="G37" s="10">
        <f>'[26]Summary - Program Period'!$C$28</f>
        <v>53.9</v>
      </c>
      <c r="H37" s="10">
        <f>'[26]Summary - Program Period'!$C$25</f>
        <v>48.967316118745472</v>
      </c>
      <c r="I37" s="12">
        <f>[26]Input!$B$7</f>
        <v>2.5639799999999999</v>
      </c>
      <c r="J37" s="30">
        <f>100000/10^6</f>
        <v>0.1</v>
      </c>
      <c r="K37" s="33"/>
      <c r="L37" s="36"/>
      <c r="M37" s="39"/>
      <c r="N37" s="30"/>
      <c r="O37" s="30"/>
      <c r="P37" s="33"/>
      <c r="Q37" s="36"/>
      <c r="R37" s="41"/>
      <c r="S37" s="30"/>
      <c r="T37" s="33"/>
      <c r="U37" s="36"/>
      <c r="V37" s="41"/>
      <c r="W37" s="281" t="s">
        <v>91</v>
      </c>
      <c r="X37" s="279">
        <v>1555</v>
      </c>
      <c r="Y37" s="280">
        <v>2.5639799999999999</v>
      </c>
      <c r="AA37" s="281" t="s">
        <v>203</v>
      </c>
      <c r="AB37" s="303">
        <v>273.17</v>
      </c>
      <c r="AC37" s="303">
        <v>265.08</v>
      </c>
      <c r="AD37">
        <f t="shared" si="9"/>
        <v>8.0900000000000318</v>
      </c>
      <c r="AE37" s="301">
        <f t="shared" si="10"/>
        <v>3.0519088577033469E-2</v>
      </c>
      <c r="AG37" s="281">
        <v>2012</v>
      </c>
      <c r="AH37" s="281">
        <v>2012</v>
      </c>
      <c r="AI37" s="280">
        <f>34.13/2</f>
        <v>17.065000000000001</v>
      </c>
      <c r="AJ37" s="304">
        <f>AI37*(1-Discs.ProductCost.Royalty!L14-Discs.ProductCost.Royalty!C14)*(1-Discs.ProductCost.Royalty!W14)</f>
        <v>12.799802944288972</v>
      </c>
      <c r="AK37" s="280">
        <f>34.13/2</f>
        <v>17.065000000000001</v>
      </c>
      <c r="AL37" s="304">
        <f>AK37*(1-Discs.ProductCost.Royalty!L14-Discs.ProductCost.Royalty!C14)*(1-Discs.ProductCost.Royalty!W14)</f>
        <v>12.799802944288972</v>
      </c>
      <c r="AN37" s="293">
        <v>0.21</v>
      </c>
      <c r="AO37" s="293">
        <v>0.1</v>
      </c>
      <c r="AP37" s="60">
        <f t="shared" si="2"/>
        <v>9.6412652731051445</v>
      </c>
      <c r="AR37" s="297">
        <v>0.39</v>
      </c>
      <c r="AT37" s="60">
        <f t="shared" si="3"/>
        <v>77.997836059420919</v>
      </c>
      <c r="AU37" s="60">
        <f t="shared" si="4"/>
        <v>1.4912419958400871</v>
      </c>
      <c r="AV37" s="296">
        <f t="shared" si="5"/>
        <v>52.303942805393604</v>
      </c>
      <c r="AW37" t="s">
        <v>5</v>
      </c>
      <c r="AX37" s="10">
        <f t="shared" si="6"/>
        <v>48.967316118745472</v>
      </c>
      <c r="AY37" s="307">
        <f t="shared" si="7"/>
        <v>3.3366266866481311</v>
      </c>
    </row>
    <row r="38" spans="1:51" x14ac:dyDescent="0.3">
      <c r="E38" s="10"/>
      <c r="F38" s="11"/>
      <c r="G38" s="10"/>
      <c r="H38" s="10"/>
      <c r="I38" s="12"/>
      <c r="J38" s="30"/>
      <c r="K38" s="33"/>
      <c r="L38" s="36"/>
      <c r="M38" s="39"/>
      <c r="N38" s="30"/>
      <c r="O38" s="30"/>
      <c r="P38" s="33"/>
      <c r="Q38" s="36"/>
      <c r="R38" s="41"/>
      <c r="S38" s="30"/>
      <c r="T38" s="33"/>
      <c r="U38" s="36"/>
      <c r="V38" s="41"/>
      <c r="W38" s="281"/>
      <c r="X38" s="279"/>
      <c r="Y38" s="280"/>
      <c r="AA38" s="281"/>
      <c r="AB38" s="303"/>
      <c r="AC38" s="303"/>
      <c r="AE38" s="301"/>
      <c r="AG38" s="281"/>
      <c r="AH38" s="281"/>
      <c r="AI38" s="280"/>
      <c r="AJ38" s="60"/>
      <c r="AK38" s="280"/>
      <c r="AL38" s="60"/>
      <c r="AN38" s="293"/>
      <c r="AO38" s="281"/>
      <c r="AR38" s="281"/>
      <c r="AT38" s="60"/>
      <c r="AU38" s="60"/>
      <c r="AV38" s="296"/>
      <c r="AX38" s="10"/>
      <c r="AY38" s="307"/>
    </row>
    <row r="39" spans="1:51" x14ac:dyDescent="0.3">
      <c r="A39" s="5" t="s">
        <v>52</v>
      </c>
      <c r="E39" s="10"/>
      <c r="F39" s="11"/>
      <c r="G39" s="10"/>
      <c r="H39" s="10"/>
      <c r="I39" s="12"/>
      <c r="J39" s="30"/>
      <c r="K39" s="33"/>
      <c r="L39" s="36"/>
      <c r="M39" s="39"/>
      <c r="N39" s="30"/>
      <c r="O39" s="30"/>
      <c r="P39" s="33"/>
      <c r="Q39" s="36"/>
      <c r="R39" s="41"/>
      <c r="S39" s="30"/>
      <c r="T39" s="33"/>
      <c r="U39" s="36"/>
      <c r="V39" s="41"/>
      <c r="W39" s="281"/>
      <c r="X39" s="279"/>
      <c r="Y39" s="280"/>
      <c r="AA39" s="281"/>
      <c r="AB39" s="303"/>
      <c r="AC39" s="303"/>
      <c r="AE39" s="301"/>
      <c r="AG39" s="281"/>
      <c r="AH39" s="281"/>
      <c r="AI39" s="280"/>
      <c r="AJ39" s="60"/>
      <c r="AK39" s="280"/>
      <c r="AL39" s="60"/>
      <c r="AN39" s="293"/>
      <c r="AO39" s="281"/>
      <c r="AR39" s="281"/>
      <c r="AT39" s="60"/>
      <c r="AU39" s="60"/>
      <c r="AV39" s="296"/>
      <c r="AX39" s="10"/>
      <c r="AY39" s="307"/>
    </row>
    <row r="40" spans="1:51" x14ac:dyDescent="0.3">
      <c r="A40" t="s">
        <v>7</v>
      </c>
      <c r="E40" s="10"/>
      <c r="F40" s="11"/>
      <c r="G40" s="10"/>
      <c r="H40" s="10"/>
      <c r="I40" s="12"/>
      <c r="J40" s="30"/>
      <c r="K40" s="33"/>
      <c r="L40" s="36"/>
      <c r="M40" s="39"/>
      <c r="N40" s="30">
        <f>VLOOKUP($A40,'[6]Aug 2013 Forecast '!$B$7:$X$59,15,FALSE)/1000</f>
        <v>4</v>
      </c>
      <c r="O40" s="30"/>
      <c r="P40" s="33"/>
      <c r="Q40" s="36"/>
      <c r="R40" s="41"/>
      <c r="S40" s="30"/>
      <c r="T40" s="33"/>
      <c r="U40" s="36"/>
      <c r="V40" s="41"/>
      <c r="W40" s="281"/>
      <c r="X40" s="279"/>
      <c r="Y40" s="280"/>
      <c r="AA40" s="281"/>
      <c r="AB40" s="303"/>
      <c r="AC40" s="303"/>
      <c r="AG40" s="281"/>
      <c r="AH40" s="281"/>
      <c r="AI40" s="280"/>
      <c r="AJ40" s="60"/>
      <c r="AK40" s="280"/>
      <c r="AL40" s="60"/>
      <c r="AN40" s="281"/>
      <c r="AO40" s="281"/>
      <c r="AR40" s="281"/>
      <c r="AV40"/>
      <c r="AX40" s="10"/>
      <c r="AY40" s="307"/>
    </row>
    <row r="41" spans="1:51" x14ac:dyDescent="0.3">
      <c r="A41" t="s">
        <v>28</v>
      </c>
      <c r="B41" s="14" t="s">
        <v>29</v>
      </c>
      <c r="E41" s="10"/>
      <c r="F41" s="11"/>
      <c r="G41" s="10"/>
      <c r="H41" s="10"/>
      <c r="I41" s="12"/>
      <c r="J41" s="30">
        <f>2300000/10^6</f>
        <v>2.2999999999999998</v>
      </c>
      <c r="K41" s="33"/>
      <c r="L41" s="36"/>
      <c r="M41" s="39"/>
      <c r="N41" s="30"/>
      <c r="O41" s="30"/>
      <c r="P41" s="33"/>
      <c r="Q41" s="36"/>
      <c r="R41" s="41"/>
      <c r="S41" s="30"/>
      <c r="T41" s="33"/>
      <c r="U41" s="36"/>
      <c r="V41" s="41"/>
      <c r="W41" s="281"/>
      <c r="X41" s="279"/>
      <c r="Y41" s="280"/>
      <c r="AA41" s="281"/>
      <c r="AB41" s="303"/>
      <c r="AC41" s="303"/>
      <c r="AD41">
        <f t="shared" si="9"/>
        <v>0</v>
      </c>
      <c r="AE41" s="301" t="e">
        <f t="shared" si="10"/>
        <v>#DIV/0!</v>
      </c>
      <c r="AG41" s="281"/>
      <c r="AH41" s="281"/>
      <c r="AI41" s="280"/>
      <c r="AJ41" s="60"/>
      <c r="AK41" s="280"/>
      <c r="AL41" s="60"/>
      <c r="AN41" s="293">
        <v>0.39</v>
      </c>
      <c r="AO41" s="293">
        <v>0.1</v>
      </c>
      <c r="AP41" s="60" t="e">
        <f t="shared" si="2"/>
        <v>#DIV/0!</v>
      </c>
      <c r="AR41" s="297">
        <v>0.39</v>
      </c>
      <c r="AT41" s="60" t="e">
        <f t="shared" si="3"/>
        <v>#DIV/0!</v>
      </c>
      <c r="AU41" s="60">
        <f t="shared" si="4"/>
        <v>0</v>
      </c>
      <c r="AV41" s="296" t="e">
        <f t="shared" si="5"/>
        <v>#DIV/0!</v>
      </c>
      <c r="AW41" t="s">
        <v>7</v>
      </c>
      <c r="AX41" s="10">
        <f t="shared" si="6"/>
        <v>0</v>
      </c>
      <c r="AY41" s="307" t="e">
        <f t="shared" si="7"/>
        <v>#DIV/0!</v>
      </c>
    </row>
    <row r="42" spans="1:51" x14ac:dyDescent="0.3">
      <c r="A42" t="s">
        <v>34</v>
      </c>
      <c r="B42" s="14" t="s">
        <v>33</v>
      </c>
      <c r="C42" s="1" t="s">
        <v>208</v>
      </c>
      <c r="D42">
        <v>12280</v>
      </c>
      <c r="E42" s="10"/>
      <c r="F42" s="11"/>
      <c r="G42" s="10">
        <v>7.81</v>
      </c>
      <c r="H42" s="10"/>
      <c r="I42" s="12">
        <f>0.31*58611/12280</f>
        <v>1.4795936482084691</v>
      </c>
      <c r="J42" s="30">
        <f>800000/10^6</f>
        <v>0.8</v>
      </c>
      <c r="K42" s="33"/>
      <c r="L42" s="36"/>
      <c r="M42" s="39"/>
      <c r="N42" s="30"/>
      <c r="O42" s="30"/>
      <c r="P42" s="33"/>
      <c r="Q42" s="36"/>
      <c r="R42" s="41"/>
      <c r="S42" s="30"/>
      <c r="T42" s="33"/>
      <c r="U42" s="36"/>
      <c r="V42" s="41"/>
      <c r="W42" s="281" t="s">
        <v>91</v>
      </c>
      <c r="X42" s="279">
        <v>12280</v>
      </c>
      <c r="Y42" s="280">
        <f>0.31*58611/12280</f>
        <v>1.4795936482084691</v>
      </c>
      <c r="AA42" s="281" t="s">
        <v>199</v>
      </c>
      <c r="AB42" s="303">
        <v>2.81</v>
      </c>
      <c r="AC42" s="303">
        <v>2.73</v>
      </c>
      <c r="AD42">
        <f t="shared" si="9"/>
        <v>8.0000000000000071E-2</v>
      </c>
      <c r="AE42" s="301">
        <f t="shared" si="10"/>
        <v>2.9304029304029332E-2</v>
      </c>
      <c r="AG42" s="281">
        <v>2012</v>
      </c>
      <c r="AH42" s="281">
        <v>2013</v>
      </c>
      <c r="AI42" s="280">
        <v>4.12</v>
      </c>
      <c r="AJ42" s="60">
        <f>AI42*(1-VLOOKUP(AW41,Discs.ProductCost.Royalty!$K$4:$Q$50,2)-VLOOKUP(Model!AW41,Discs.ProductCost.Royalty!$B$4:$H$50,2))*(1-VLOOKUP(Model!AW41,Discs.ProductCost.Royalty!$V$4:$AB$50,2))</f>
        <v>2.1545397270400501</v>
      </c>
      <c r="AK42" s="280">
        <f>4.12*1.011</f>
        <v>4.1653199999999995</v>
      </c>
      <c r="AL42" s="60">
        <f>AK42*(1-VLOOKUP(AW41,Discs.ProductCost.Royalty!$K$4:$Q$50,2)-VLOOKUP(Model!AW41,Discs.ProductCost.Royalty!$B$4:$H$50,2))*(1-VLOOKUP(Model!AW41,Discs.ProductCost.Royalty!$V$4:$AB$50,2))</f>
        <v>2.1782396640374904</v>
      </c>
      <c r="AN42" s="293">
        <v>0.39</v>
      </c>
      <c r="AO42" s="293">
        <v>0.1</v>
      </c>
      <c r="AP42" s="60">
        <f t="shared" si="2"/>
        <v>1.2599986323382535</v>
      </c>
      <c r="AR42" s="297">
        <v>0.39</v>
      </c>
      <c r="AT42" s="60">
        <f t="shared" si="3"/>
        <v>0.10079989058706036</v>
      </c>
      <c r="AU42" s="60">
        <f t="shared" si="4"/>
        <v>0.8605496864198291</v>
      </c>
      <c r="AV42" s="296">
        <f t="shared" si="5"/>
        <v>0.11713430633671043</v>
      </c>
      <c r="AW42" t="s">
        <v>7</v>
      </c>
      <c r="AX42" s="10">
        <f t="shared" si="6"/>
        <v>0</v>
      </c>
      <c r="AY42" s="307">
        <f t="shared" si="7"/>
        <v>0.11713430633671043</v>
      </c>
    </row>
    <row r="43" spans="1:51" x14ac:dyDescent="0.3">
      <c r="A43" t="s">
        <v>46</v>
      </c>
      <c r="B43" s="14" t="s">
        <v>69</v>
      </c>
      <c r="E43" s="10"/>
      <c r="F43" s="11"/>
      <c r="G43" s="10"/>
      <c r="H43" s="10"/>
      <c r="I43" s="12"/>
      <c r="J43" s="30">
        <f>409136/10^6</f>
        <v>0.409136</v>
      </c>
      <c r="K43" s="33"/>
      <c r="L43" s="36"/>
      <c r="M43" s="39"/>
      <c r="N43" s="30"/>
      <c r="O43" s="30"/>
      <c r="P43" s="33"/>
      <c r="Q43" s="36"/>
      <c r="R43" s="41"/>
      <c r="S43" s="30"/>
      <c r="T43" s="33"/>
      <c r="U43" s="36"/>
      <c r="V43" s="41"/>
      <c r="W43" s="281"/>
      <c r="X43" s="279"/>
      <c r="Y43" s="280"/>
      <c r="AA43" s="281"/>
      <c r="AB43" s="303"/>
      <c r="AC43" s="303"/>
      <c r="AD43">
        <f t="shared" si="9"/>
        <v>0</v>
      </c>
      <c r="AE43" s="301" t="e">
        <f t="shared" si="10"/>
        <v>#DIV/0!</v>
      </c>
      <c r="AG43" s="281"/>
      <c r="AH43" s="281"/>
      <c r="AI43" s="280"/>
      <c r="AJ43" s="60"/>
      <c r="AK43" s="280"/>
      <c r="AL43" s="60"/>
      <c r="AN43" s="293">
        <v>0.39</v>
      </c>
      <c r="AO43" s="293">
        <v>0.1</v>
      </c>
      <c r="AP43" s="60" t="e">
        <f t="shared" si="2"/>
        <v>#DIV/0!</v>
      </c>
      <c r="AR43" s="297">
        <v>0.39</v>
      </c>
      <c r="AT43" s="60" t="e">
        <f t="shared" si="3"/>
        <v>#DIV/0!</v>
      </c>
      <c r="AU43" s="60">
        <f t="shared" si="4"/>
        <v>0</v>
      </c>
      <c r="AV43" s="296" t="e">
        <f t="shared" si="5"/>
        <v>#DIV/0!</v>
      </c>
      <c r="AW43" t="s">
        <v>7</v>
      </c>
      <c r="AX43" s="10">
        <f t="shared" si="6"/>
        <v>0</v>
      </c>
      <c r="AY43" s="307" t="e">
        <f t="shared" si="7"/>
        <v>#DIV/0!</v>
      </c>
    </row>
    <row r="44" spans="1:51" x14ac:dyDescent="0.3">
      <c r="A44" t="s">
        <v>46</v>
      </c>
      <c r="B44" s="14" t="s">
        <v>48</v>
      </c>
      <c r="E44" s="10"/>
      <c r="F44" s="11"/>
      <c r="G44" s="10"/>
      <c r="H44" s="10"/>
      <c r="I44" s="12"/>
      <c r="J44" s="30">
        <f>590864/10^6</f>
        <v>0.59086399999999994</v>
      </c>
      <c r="K44" s="33"/>
      <c r="L44" s="36"/>
      <c r="M44" s="39"/>
      <c r="N44" s="30"/>
      <c r="O44" s="30"/>
      <c r="P44" s="33"/>
      <c r="Q44" s="36"/>
      <c r="R44" s="41"/>
      <c r="S44" s="30"/>
      <c r="T44" s="33"/>
      <c r="U44" s="36"/>
      <c r="V44" s="41"/>
      <c r="W44" s="281"/>
      <c r="X44" s="279"/>
      <c r="Y44" s="280"/>
      <c r="AA44" s="281"/>
      <c r="AB44" s="303"/>
      <c r="AC44" s="303"/>
      <c r="AD44">
        <f t="shared" si="9"/>
        <v>0</v>
      </c>
      <c r="AE44" s="301" t="e">
        <f t="shared" si="10"/>
        <v>#DIV/0!</v>
      </c>
      <c r="AG44" s="281"/>
      <c r="AH44" s="281"/>
      <c r="AI44" s="280"/>
      <c r="AJ44" s="60"/>
      <c r="AK44" s="280"/>
      <c r="AL44" s="60"/>
      <c r="AN44" s="293">
        <v>0.39</v>
      </c>
      <c r="AO44" s="293">
        <v>0.1</v>
      </c>
      <c r="AP44" s="60" t="e">
        <f t="shared" si="2"/>
        <v>#DIV/0!</v>
      </c>
      <c r="AR44" s="297">
        <v>0.39</v>
      </c>
      <c r="AT44" s="60" t="e">
        <f t="shared" si="3"/>
        <v>#DIV/0!</v>
      </c>
      <c r="AU44" s="60">
        <f t="shared" si="4"/>
        <v>0</v>
      </c>
      <c r="AV44" s="296" t="e">
        <f t="shared" si="5"/>
        <v>#DIV/0!</v>
      </c>
      <c r="AW44" t="s">
        <v>7</v>
      </c>
      <c r="AX44" s="10">
        <f t="shared" si="6"/>
        <v>0</v>
      </c>
      <c r="AY44" s="307" t="e">
        <f t="shared" si="7"/>
        <v>#DIV/0!</v>
      </c>
    </row>
    <row r="45" spans="1:51" x14ac:dyDescent="0.3">
      <c r="A45" t="s">
        <v>8</v>
      </c>
      <c r="E45" s="10"/>
      <c r="F45" s="11"/>
      <c r="G45" s="10"/>
      <c r="H45" s="10"/>
      <c r="I45" s="12"/>
      <c r="J45" s="30"/>
      <c r="K45" s="33"/>
      <c r="L45" s="36"/>
      <c r="M45" s="39"/>
      <c r="N45" s="30">
        <f>VLOOKUP($A45,'[6]Aug 2013 Forecast '!$B$7:$X$59,15,FALSE)/1000</f>
        <v>0.3</v>
      </c>
      <c r="O45" s="30"/>
      <c r="P45" s="33"/>
      <c r="Q45" s="36"/>
      <c r="R45" s="41"/>
      <c r="S45" s="30"/>
      <c r="T45" s="33"/>
      <c r="U45" s="36"/>
      <c r="V45" s="41"/>
      <c r="W45" s="281"/>
      <c r="X45" s="279"/>
      <c r="Y45" s="280"/>
      <c r="AA45" s="281"/>
      <c r="AB45" s="303"/>
      <c r="AC45" s="303"/>
      <c r="AD45">
        <f t="shared" si="9"/>
        <v>0</v>
      </c>
      <c r="AE45" s="301" t="e">
        <f t="shared" si="10"/>
        <v>#DIV/0!</v>
      </c>
      <c r="AG45" s="281"/>
      <c r="AH45" s="281"/>
      <c r="AI45" s="280"/>
      <c r="AJ45" s="60"/>
      <c r="AK45" s="280"/>
      <c r="AL45" s="60"/>
      <c r="AN45" s="293">
        <v>0.39</v>
      </c>
      <c r="AO45" s="293">
        <v>0.1</v>
      </c>
      <c r="AP45" s="60" t="e">
        <f t="shared" si="2"/>
        <v>#DIV/0!</v>
      </c>
      <c r="AR45" s="297">
        <v>0.39</v>
      </c>
      <c r="AT45" s="60" t="e">
        <f t="shared" si="3"/>
        <v>#DIV/0!</v>
      </c>
      <c r="AU45" s="60">
        <f t="shared" si="4"/>
        <v>0</v>
      </c>
      <c r="AV45" s="296" t="e">
        <f t="shared" si="5"/>
        <v>#DIV/0!</v>
      </c>
      <c r="AW45" t="s">
        <v>7</v>
      </c>
      <c r="AX45" s="10">
        <f t="shared" si="6"/>
        <v>0</v>
      </c>
      <c r="AY45" s="307" t="e">
        <f t="shared" si="7"/>
        <v>#DIV/0!</v>
      </c>
    </row>
    <row r="46" spans="1:51" x14ac:dyDescent="0.3">
      <c r="E46" s="10"/>
      <c r="F46" s="11"/>
      <c r="G46" s="10"/>
      <c r="H46" s="10"/>
      <c r="I46" s="12"/>
      <c r="J46" s="30"/>
      <c r="K46" s="33"/>
      <c r="L46" s="36"/>
      <c r="M46" s="39"/>
      <c r="N46" s="30"/>
      <c r="O46" s="30"/>
      <c r="P46" s="33"/>
      <c r="Q46" s="36"/>
      <c r="R46" s="41"/>
      <c r="S46" s="30"/>
      <c r="T46" s="33"/>
      <c r="U46" s="36"/>
      <c r="V46" s="41"/>
      <c r="W46" s="281"/>
      <c r="X46" s="279"/>
      <c r="Y46" s="280"/>
      <c r="AA46" s="281"/>
      <c r="AB46" s="303"/>
      <c r="AC46" s="303"/>
      <c r="AE46" s="301"/>
      <c r="AG46" s="281"/>
      <c r="AH46" s="281"/>
      <c r="AI46" s="280"/>
      <c r="AJ46" s="60"/>
      <c r="AK46" s="280"/>
      <c r="AL46" s="60"/>
      <c r="AN46" s="293"/>
      <c r="AO46" s="281"/>
      <c r="AR46" s="281"/>
      <c r="AT46" s="60"/>
      <c r="AU46" s="60"/>
      <c r="AV46" s="296"/>
      <c r="AX46" s="10"/>
      <c r="AY46" s="307"/>
    </row>
    <row r="47" spans="1:51" x14ac:dyDescent="0.3">
      <c r="A47" t="s">
        <v>9</v>
      </c>
      <c r="E47" s="10"/>
      <c r="F47" s="11"/>
      <c r="G47" s="10"/>
      <c r="H47" s="10"/>
      <c r="I47" s="12"/>
      <c r="J47" s="30"/>
      <c r="K47" s="33"/>
      <c r="L47" s="36"/>
      <c r="M47" s="39"/>
      <c r="N47" s="30">
        <f>VLOOKUP($A47,'[6]Aug 2013 Forecast '!$B$7:$X$59,15,FALSE)/1000</f>
        <v>0.7</v>
      </c>
      <c r="O47" s="30"/>
      <c r="P47" s="33"/>
      <c r="Q47" s="36"/>
      <c r="R47" s="41"/>
      <c r="S47" s="30"/>
      <c r="T47" s="33"/>
      <c r="U47" s="36"/>
      <c r="V47" s="41"/>
      <c r="W47" s="281"/>
      <c r="X47" s="279"/>
      <c r="Y47" s="280"/>
      <c r="AA47" s="281"/>
      <c r="AB47" s="303"/>
      <c r="AC47" s="303"/>
      <c r="AG47" s="281"/>
      <c r="AH47" s="281"/>
      <c r="AI47" s="280"/>
      <c r="AJ47" s="60"/>
      <c r="AK47" s="280"/>
      <c r="AL47" s="60"/>
      <c r="AN47" s="281"/>
      <c r="AO47" s="281"/>
      <c r="AR47" s="281"/>
      <c r="AV47"/>
      <c r="AX47" s="10"/>
      <c r="AY47" s="307"/>
    </row>
    <row r="48" spans="1:51" x14ac:dyDescent="0.3">
      <c r="A48" s="7" t="s">
        <v>28</v>
      </c>
      <c r="B48" s="14" t="s">
        <v>29</v>
      </c>
      <c r="C48" s="1" t="str">
        <f>[27]Input!$B$3</f>
        <v xml:space="preserve"> 11 Months</v>
      </c>
      <c r="D48" s="9">
        <f>[27]Input!$B$5</f>
        <v>8202</v>
      </c>
      <c r="E48" s="10">
        <f>'[27]Summary - Program Period'!$C$16</f>
        <v>4.7818181818181813</v>
      </c>
      <c r="F48" s="11">
        <f>[27]Input!$Q$6</f>
        <v>0.10036719706242359</v>
      </c>
      <c r="G48" s="10">
        <f>'[27]Summary - Program Period'!$C$28</f>
        <v>8.8000000000000007</v>
      </c>
      <c r="H48" s="10">
        <f>'[27]Summary - Program Period'!$C$25</f>
        <v>3.5651075296656995</v>
      </c>
      <c r="I48" s="12">
        <f>[27]Input!$B$7</f>
        <v>19.43</v>
      </c>
      <c r="J48" s="30">
        <f>250000/10^6</f>
        <v>0.25</v>
      </c>
      <c r="K48" s="33"/>
      <c r="L48" s="36"/>
      <c r="M48" s="39"/>
      <c r="N48" s="30"/>
      <c r="O48" s="30"/>
      <c r="P48" s="33"/>
      <c r="Q48" s="36"/>
      <c r="R48" s="41"/>
      <c r="S48" s="30"/>
      <c r="T48" s="33"/>
      <c r="U48" s="36"/>
      <c r="V48" s="41"/>
      <c r="W48" s="281" t="s">
        <v>91</v>
      </c>
      <c r="X48" s="279">
        <v>8202</v>
      </c>
      <c r="Y48" s="280">
        <v>19.43</v>
      </c>
      <c r="AA48" s="281"/>
      <c r="AB48" s="303"/>
      <c r="AC48" s="303"/>
      <c r="AD48">
        <f t="shared" si="9"/>
        <v>0</v>
      </c>
      <c r="AE48" s="301" t="e">
        <f t="shared" si="10"/>
        <v>#DIV/0!</v>
      </c>
      <c r="AG48" s="281"/>
      <c r="AH48" s="281"/>
      <c r="AI48" s="280"/>
      <c r="AJ48" s="60"/>
      <c r="AK48" s="280"/>
      <c r="AL48" s="60"/>
      <c r="AN48" s="293">
        <v>0.26</v>
      </c>
      <c r="AO48" s="293">
        <v>0.1</v>
      </c>
      <c r="AP48" s="60" t="e">
        <f t="shared" si="2"/>
        <v>#DIV/0!</v>
      </c>
      <c r="AR48" s="297">
        <v>0.39</v>
      </c>
      <c r="AT48" s="60" t="e">
        <f t="shared" si="3"/>
        <v>#DIV/0!</v>
      </c>
      <c r="AU48" s="60">
        <f t="shared" si="4"/>
        <v>11.300724646515533</v>
      </c>
      <c r="AV48" s="296" t="e">
        <f t="shared" si="5"/>
        <v>#DIV/0!</v>
      </c>
      <c r="AW48" t="s">
        <v>9</v>
      </c>
      <c r="AX48" s="10">
        <f t="shared" si="6"/>
        <v>3.5651075296656995</v>
      </c>
      <c r="AY48" s="307" t="e">
        <f t="shared" si="7"/>
        <v>#DIV/0!</v>
      </c>
    </row>
    <row r="49" spans="1:51" x14ac:dyDescent="0.3">
      <c r="A49" s="44" t="s">
        <v>34</v>
      </c>
      <c r="B49" s="45" t="s">
        <v>33</v>
      </c>
      <c r="C49" s="46" t="str">
        <f>[28]Input!$B$3</f>
        <v xml:space="preserve"> 10 Months</v>
      </c>
      <c r="D49" s="47">
        <f>[28]Input!$B$5</f>
        <v>4805</v>
      </c>
      <c r="E49" s="48">
        <f>'[28]Summary - Program Period'!$C$16</f>
        <v>4.499999999999992</v>
      </c>
      <c r="F49" s="49">
        <f>[28]Input!$Q$6</f>
        <v>5.0055617352613657E-2</v>
      </c>
      <c r="G49" s="48">
        <f>'[28]Summary - Program Period'!$C$28</f>
        <v>15.84</v>
      </c>
      <c r="H49" s="48">
        <f>'[28]Summary - Program Period'!$C$25</f>
        <v>11.104657655736002</v>
      </c>
      <c r="I49" s="50">
        <f>[28]Input!$B$7</f>
        <v>2.9460894901144643</v>
      </c>
      <c r="J49" s="30">
        <f>14156/10^6</f>
        <v>1.4156E-2</v>
      </c>
      <c r="K49" s="33"/>
      <c r="L49" s="36"/>
      <c r="M49" s="39"/>
      <c r="N49" s="30"/>
      <c r="O49" s="30"/>
      <c r="P49" s="33"/>
      <c r="Q49" s="36"/>
      <c r="R49" s="41"/>
      <c r="S49" s="30"/>
      <c r="T49" s="33"/>
      <c r="U49" s="36"/>
      <c r="V49" s="41"/>
      <c r="W49" s="281" t="s">
        <v>91</v>
      </c>
      <c r="X49" s="279">
        <v>4805</v>
      </c>
      <c r="Y49" s="280">
        <v>2.9460894901144643</v>
      </c>
      <c r="AA49" s="281" t="s">
        <v>201</v>
      </c>
      <c r="AB49" s="303">
        <v>94.4</v>
      </c>
      <c r="AC49" s="303">
        <v>89.9</v>
      </c>
      <c r="AD49">
        <f t="shared" si="9"/>
        <v>4.5</v>
      </c>
      <c r="AE49" s="301">
        <f t="shared" si="10"/>
        <v>5.0055617352614011E-2</v>
      </c>
      <c r="AG49" s="281">
        <v>2012</v>
      </c>
      <c r="AH49" s="281">
        <v>2012</v>
      </c>
      <c r="AI49" s="280">
        <f>20.9/2</f>
        <v>10.45</v>
      </c>
      <c r="AJ49" s="60">
        <f>AI49*(1-VLOOKUP(AW49,Discs.ProductCost.Royalty!$K$4:$Q$50,2)-VLOOKUP(Model!AW49,Discs.ProductCost.Royalty!$B$4:$H$50,2))*(1-VLOOKUP(Model!AW49,Discs.ProductCost.Royalty!$V$4:$AB$50,2))</f>
        <v>6.3588209651268501</v>
      </c>
      <c r="AK49" s="280">
        <f>20.9/2</f>
        <v>10.45</v>
      </c>
      <c r="AL49" s="60">
        <f>AK49*(1-VLOOKUP(AW49,Discs.ProductCost.Royalty!$K$4:$Q$50,2)-VLOOKUP(Model!AW49,Discs.ProductCost.Royalty!$B$4:$H$50,2))*(1-VLOOKUP(Model!AW49,Discs.ProductCost.Royalty!$V$4:$AB$50,2))</f>
        <v>6.3588209651268501</v>
      </c>
      <c r="AN49" s="293">
        <v>0.26</v>
      </c>
      <c r="AO49" s="293">
        <v>0.1</v>
      </c>
      <c r="AP49" s="60">
        <f t="shared" si="2"/>
        <v>4.4865444474496616</v>
      </c>
      <c r="AR49" s="297">
        <v>0.39</v>
      </c>
      <c r="AT49" s="60">
        <f t="shared" si="3"/>
        <v>20.189450013523476</v>
      </c>
      <c r="AU49" s="60">
        <f t="shared" si="4"/>
        <v>1.7134815291701959</v>
      </c>
      <c r="AV49" s="296">
        <f t="shared" si="5"/>
        <v>11.78270653626527</v>
      </c>
      <c r="AW49" t="s">
        <v>9</v>
      </c>
      <c r="AX49" s="10">
        <f t="shared" si="6"/>
        <v>11.104657655736002</v>
      </c>
      <c r="AY49" s="307">
        <f t="shared" si="7"/>
        <v>0.67804888052926771</v>
      </c>
    </row>
    <row r="50" spans="1:51" x14ac:dyDescent="0.3">
      <c r="A50" s="44" t="s">
        <v>46</v>
      </c>
      <c r="B50" s="45" t="s">
        <v>69</v>
      </c>
      <c r="C50" s="46" t="str">
        <f>[29]Input!$B$3</f>
        <v xml:space="preserve">  9 Months</v>
      </c>
      <c r="D50" s="47">
        <f>[29]Input!$B$5</f>
        <v>632</v>
      </c>
      <c r="E50" s="48">
        <f>'[29]Summary - Program Period'!$C$16</f>
        <v>4.7600000000000087</v>
      </c>
      <c r="F50" s="49">
        <f>[29]Input!$Q$6</f>
        <v>4.54415274463007E-2</v>
      </c>
      <c r="G50" s="48">
        <f>'[29]Summary - Program Period'!$C$28</f>
        <v>26.7</v>
      </c>
      <c r="H50" s="48">
        <f>'[29]Summary - Program Period'!$C$25</f>
        <v>23.665326843255087</v>
      </c>
      <c r="I50" s="50">
        <f>[29]Input!$B$7</f>
        <v>1.47</v>
      </c>
      <c r="J50" s="30"/>
      <c r="K50" s="33"/>
      <c r="L50" s="36"/>
      <c r="M50" s="39"/>
      <c r="N50" s="30"/>
      <c r="O50" s="30"/>
      <c r="P50" s="33"/>
      <c r="Q50" s="36"/>
      <c r="R50" s="41"/>
      <c r="S50" s="30"/>
      <c r="T50" s="33"/>
      <c r="U50" s="36"/>
      <c r="V50" s="41"/>
      <c r="W50" s="281" t="s">
        <v>91</v>
      </c>
      <c r="X50" s="279">
        <v>632</v>
      </c>
      <c r="Y50" s="280">
        <v>1.47</v>
      </c>
      <c r="AA50" s="281" t="s">
        <v>203</v>
      </c>
      <c r="AB50" s="303">
        <v>109.51</v>
      </c>
      <c r="AC50" s="303">
        <v>104.75</v>
      </c>
      <c r="AD50">
        <f t="shared" si="9"/>
        <v>4.7600000000000051</v>
      </c>
      <c r="AE50" s="301">
        <f t="shared" si="10"/>
        <v>4.5441527446300763E-2</v>
      </c>
      <c r="AG50" s="281">
        <v>2011</v>
      </c>
      <c r="AH50" s="281">
        <v>2012</v>
      </c>
      <c r="AI50" s="280">
        <f>20.9/2</f>
        <v>10.45</v>
      </c>
      <c r="AJ50" s="60">
        <f>AI50*(1-VLOOKUP(AW50,Discs.ProductCost.Royalty!$K$4:$Q$50,2)-VLOOKUP(Model!AW50,Discs.ProductCost.Royalty!$B$4:$H$50,2))*(1-VLOOKUP(Model!AW50,Discs.ProductCost.Royalty!$V$4:$AB$50,2))</f>
        <v>6.3588209651268501</v>
      </c>
      <c r="AK50" s="280">
        <f>20.9/2</f>
        <v>10.45</v>
      </c>
      <c r="AL50" s="60">
        <f>AK50*(1-VLOOKUP(AW50,Discs.ProductCost.Royalty!$K$4:$Q$50,2)-VLOOKUP(Model!AW50,Discs.ProductCost.Royalty!$B$4:$H$50,2))*(1-VLOOKUP(Model!AW50,Discs.ProductCost.Royalty!$V$4:$AB$50,2))</f>
        <v>6.3588209651268501</v>
      </c>
      <c r="AN50" s="293">
        <v>0.26</v>
      </c>
      <c r="AO50" s="293">
        <v>0.1</v>
      </c>
      <c r="AP50" s="60">
        <f t="shared" si="2"/>
        <v>4.4865444474496616</v>
      </c>
      <c r="AR50" s="297">
        <v>0.39</v>
      </c>
      <c r="AT50" s="60">
        <f t="shared" si="3"/>
        <v>21.355951569860412</v>
      </c>
      <c r="AU50" s="60">
        <f t="shared" si="4"/>
        <v>0.85496990377652249</v>
      </c>
      <c r="AV50" s="296">
        <f t="shared" si="5"/>
        <v>24.978600387602143</v>
      </c>
      <c r="AW50" t="s">
        <v>9</v>
      </c>
      <c r="AX50" s="10">
        <f t="shared" si="6"/>
        <v>23.665326843255087</v>
      </c>
      <c r="AY50" s="307">
        <f t="shared" si="7"/>
        <v>1.3132735443470551</v>
      </c>
    </row>
    <row r="51" spans="1:51" x14ac:dyDescent="0.3">
      <c r="A51" s="7"/>
      <c r="D51" s="9"/>
      <c r="E51" s="10"/>
      <c r="F51" s="11"/>
      <c r="G51" s="10"/>
      <c r="H51" s="10"/>
      <c r="I51" s="12"/>
      <c r="J51" s="30"/>
      <c r="K51" s="33"/>
      <c r="L51" s="36"/>
      <c r="M51" s="39"/>
      <c r="N51" s="30"/>
      <c r="O51" s="30"/>
      <c r="P51" s="33"/>
      <c r="Q51" s="36"/>
      <c r="R51" s="41"/>
      <c r="S51" s="30"/>
      <c r="T51" s="33"/>
      <c r="U51" s="36"/>
      <c r="V51" s="41"/>
      <c r="W51" s="281"/>
      <c r="X51" s="279"/>
      <c r="Y51" s="280"/>
      <c r="AA51" s="281"/>
      <c r="AB51" s="303"/>
      <c r="AC51" s="303"/>
      <c r="AE51" s="301"/>
      <c r="AG51" s="281"/>
      <c r="AH51" s="281"/>
      <c r="AI51" s="280"/>
      <c r="AJ51" s="60"/>
      <c r="AK51" s="280"/>
      <c r="AL51" s="60"/>
      <c r="AN51" s="293"/>
      <c r="AO51" s="281"/>
      <c r="AR51" s="281"/>
      <c r="AT51" s="60"/>
      <c r="AU51" s="60"/>
      <c r="AV51" s="296"/>
      <c r="AX51" s="10"/>
      <c r="AY51" s="307"/>
    </row>
    <row r="52" spans="1:51" x14ac:dyDescent="0.3">
      <c r="A52" s="5" t="s">
        <v>53</v>
      </c>
      <c r="D52" s="9"/>
      <c r="E52" s="10"/>
      <c r="F52" s="11"/>
      <c r="G52" s="10"/>
      <c r="H52" s="10"/>
      <c r="I52" s="12"/>
      <c r="J52" s="30"/>
      <c r="K52" s="33"/>
      <c r="L52" s="36"/>
      <c r="M52" s="39"/>
      <c r="N52" s="30"/>
      <c r="O52" s="30"/>
      <c r="P52" s="33"/>
      <c r="Q52" s="36"/>
      <c r="R52" s="41"/>
      <c r="S52" s="30"/>
      <c r="T52" s="33"/>
      <c r="U52" s="36"/>
      <c r="V52" s="41"/>
      <c r="W52" s="281"/>
      <c r="X52" s="279"/>
      <c r="Y52" s="280"/>
      <c r="AA52" s="281"/>
      <c r="AB52" s="303"/>
      <c r="AC52" s="303"/>
      <c r="AE52" s="301"/>
      <c r="AG52" s="281"/>
      <c r="AH52" s="281"/>
      <c r="AI52" s="280"/>
      <c r="AJ52" s="60"/>
      <c r="AK52" s="280"/>
      <c r="AL52" s="60"/>
      <c r="AN52" s="293"/>
      <c r="AO52" s="281"/>
      <c r="AR52" s="281"/>
      <c r="AT52" s="60"/>
      <c r="AU52" s="60"/>
      <c r="AV52" s="296"/>
      <c r="AX52" s="10"/>
      <c r="AY52" s="307"/>
    </row>
    <row r="53" spans="1:51" x14ac:dyDescent="0.3">
      <c r="A53" t="s">
        <v>10</v>
      </c>
      <c r="E53" s="10"/>
      <c r="F53" s="11"/>
      <c r="G53" s="10"/>
      <c r="H53" s="10"/>
      <c r="I53" s="12"/>
      <c r="J53" s="30"/>
      <c r="K53" s="33"/>
      <c r="L53" s="36"/>
      <c r="M53" s="39"/>
      <c r="N53" s="30">
        <f>VLOOKUP($A53,'[6]Aug 2013 Forecast '!$B$7:$X$59,15,FALSE)/1000</f>
        <v>3</v>
      </c>
      <c r="O53" s="30"/>
      <c r="P53" s="33"/>
      <c r="Q53" s="36"/>
      <c r="R53" s="41"/>
      <c r="S53" s="30"/>
      <c r="T53" s="33"/>
      <c r="U53" s="36"/>
      <c r="V53" s="41"/>
      <c r="W53" s="281"/>
      <c r="X53" s="279"/>
      <c r="Y53" s="280"/>
      <c r="AA53" s="281"/>
      <c r="AB53" s="303"/>
      <c r="AC53" s="303"/>
      <c r="AG53" s="281"/>
      <c r="AH53" s="281"/>
      <c r="AI53" s="280"/>
      <c r="AJ53" s="60"/>
      <c r="AK53" s="280"/>
      <c r="AL53" s="60"/>
      <c r="AN53" s="293"/>
      <c r="AO53" s="281"/>
      <c r="AR53" s="281"/>
      <c r="AV53"/>
      <c r="AX53" s="10"/>
      <c r="AY53" s="307"/>
    </row>
    <row r="54" spans="1:51" x14ac:dyDescent="0.3">
      <c r="A54" s="7" t="s">
        <v>28</v>
      </c>
      <c r="B54" s="14" t="s">
        <v>29</v>
      </c>
      <c r="C54" s="1" t="str">
        <f>[30]Input!$B$3</f>
        <v xml:space="preserve">  6 Months</v>
      </c>
      <c r="D54" s="9">
        <f>[30]Input!$B$5</f>
        <v>31746</v>
      </c>
      <c r="E54" s="10">
        <f>'[30]Summary - Program Period'!$C$16</f>
        <v>2.9500000000000006</v>
      </c>
      <c r="F54" s="11">
        <f>[30]Input!$Q$6</f>
        <v>6.656580937972767E-2</v>
      </c>
      <c r="G54" s="10">
        <f>'[30]Summary - Program Period'!$C$28</f>
        <v>3.6</v>
      </c>
      <c r="H54" s="10">
        <f>'[30]Summary - Program Period'!$C$25</f>
        <v>0.87972759492967612</v>
      </c>
      <c r="I54" s="12">
        <f>[30]Input!$B$7</f>
        <v>9.43</v>
      </c>
      <c r="J54" s="30">
        <f>671711/10^6</f>
        <v>0.67171099999999995</v>
      </c>
      <c r="K54" s="33"/>
      <c r="L54" s="36"/>
      <c r="M54" s="39"/>
      <c r="N54" s="30"/>
      <c r="O54" s="30"/>
      <c r="P54" s="33"/>
      <c r="Q54" s="36"/>
      <c r="R54" s="41"/>
      <c r="S54" s="30"/>
      <c r="T54" s="33"/>
      <c r="U54" s="36"/>
      <c r="V54" s="41"/>
      <c r="W54" s="281" t="s">
        <v>91</v>
      </c>
      <c r="X54" s="279">
        <v>31746</v>
      </c>
      <c r="Y54" s="280">
        <v>9.43</v>
      </c>
      <c r="AA54" s="281"/>
      <c r="AB54" s="303"/>
      <c r="AC54" s="303"/>
      <c r="AD54">
        <f t="shared" si="9"/>
        <v>0</v>
      </c>
      <c r="AE54" s="301" t="e">
        <f t="shared" si="10"/>
        <v>#DIV/0!</v>
      </c>
      <c r="AG54" s="281"/>
      <c r="AH54" s="281"/>
      <c r="AI54" s="280"/>
      <c r="AJ54" s="60"/>
      <c r="AK54" s="280"/>
      <c r="AL54" s="60"/>
      <c r="AN54" s="293">
        <v>0.39</v>
      </c>
      <c r="AO54" s="293">
        <v>0.1</v>
      </c>
      <c r="AP54" s="60" t="e">
        <f t="shared" si="2"/>
        <v>#DIV/0!</v>
      </c>
      <c r="AR54" s="297">
        <v>0.39</v>
      </c>
      <c r="AT54" s="60" t="e">
        <f t="shared" si="3"/>
        <v>#DIV/0!</v>
      </c>
      <c r="AU54" s="60">
        <f t="shared" si="4"/>
        <v>5.4846028521174199</v>
      </c>
      <c r="AV54" s="296" t="e">
        <f t="shared" si="5"/>
        <v>#DIV/0!</v>
      </c>
      <c r="AW54" t="s">
        <v>10</v>
      </c>
      <c r="AX54" s="10">
        <f t="shared" si="6"/>
        <v>0.87972759492967612</v>
      </c>
      <c r="AY54" s="307" t="e">
        <f t="shared" si="7"/>
        <v>#DIV/0!</v>
      </c>
    </row>
    <row r="55" spans="1:51" x14ac:dyDescent="0.3">
      <c r="A55" s="7" t="s">
        <v>34</v>
      </c>
      <c r="B55" s="14" t="s">
        <v>33</v>
      </c>
      <c r="C55" s="1" t="str">
        <f>[31]Input!$B$3</f>
        <v xml:space="preserve"> 12 Months</v>
      </c>
      <c r="D55" s="9">
        <f>[31]Input!$B$5</f>
        <v>13384</v>
      </c>
      <c r="E55" s="10">
        <f>'[31]Summary - Program Period'!$C$16</f>
        <v>6.9041699999999961</v>
      </c>
      <c r="F55" s="11">
        <f>[31]Input!$Q$6</f>
        <v>8.43E-2</v>
      </c>
      <c r="G55" s="10">
        <f>'[31]Summary - Program Period'!$C$28</f>
        <v>9.5</v>
      </c>
      <c r="H55" s="10">
        <f>'[31]Summary - Program Period'!$C$25</f>
        <v>5.0724309885973007</v>
      </c>
      <c r="I55" s="12">
        <f>[31]Input!$B$7</f>
        <v>3.5842214584578596</v>
      </c>
      <c r="J55" s="30">
        <f>500000/10^6</f>
        <v>0.5</v>
      </c>
      <c r="K55" s="33">
        <v>862068</v>
      </c>
      <c r="L55" s="36">
        <v>0.57999999999999996</v>
      </c>
      <c r="M55" s="39"/>
      <c r="N55" s="30"/>
      <c r="O55" s="30"/>
      <c r="P55" s="33"/>
      <c r="Q55" s="36"/>
      <c r="R55" s="41"/>
      <c r="S55" s="30"/>
      <c r="T55" s="33"/>
      <c r="U55" s="36"/>
      <c r="V55" s="41"/>
      <c r="W55" s="281" t="s">
        <v>91</v>
      </c>
      <c r="X55" s="279">
        <v>13384</v>
      </c>
      <c r="Y55" s="280">
        <v>3.5842214584578596</v>
      </c>
      <c r="AA55" s="281" t="s">
        <v>199</v>
      </c>
      <c r="AB55" s="303">
        <v>2.0699999999999998</v>
      </c>
      <c r="AC55" s="303">
        <v>1.94</v>
      </c>
      <c r="AD55">
        <f t="shared" si="9"/>
        <v>0.12999999999999989</v>
      </c>
      <c r="AE55" s="301">
        <f t="shared" si="10"/>
        <v>6.7010309278350458E-2</v>
      </c>
      <c r="AG55" s="281">
        <v>2012</v>
      </c>
      <c r="AH55" s="281">
        <v>2012</v>
      </c>
      <c r="AI55" s="280">
        <f>PharmaData!E9</f>
        <v>145.02000000000001</v>
      </c>
      <c r="AJ55" s="304">
        <f>AI55*(1-Discs.ProductCost.Royalty!L11-Discs.ProductCost.Royalty!C11)*(1-Discs.ProductCost.Royalty!W11)</f>
        <v>88.54668531623912</v>
      </c>
      <c r="AK55" s="280">
        <f>AI55</f>
        <v>145.02000000000001</v>
      </c>
      <c r="AL55" s="304">
        <f>AK55*(1-Discs.ProductCost.Royalty!L11-Discs.ProductCost.Royalty!C11)*(1-Discs.ProductCost.Royalty!W11)</f>
        <v>88.54668531623912</v>
      </c>
      <c r="AN55" s="293">
        <v>0.39</v>
      </c>
      <c r="AO55" s="293">
        <v>0.1</v>
      </c>
      <c r="AP55" s="60">
        <f t="shared" si="2"/>
        <v>51.499830628948963</v>
      </c>
      <c r="AR55" s="297">
        <v>0.39</v>
      </c>
      <c r="AT55" s="60">
        <f t="shared" si="3"/>
        <v>6.6949779817633601</v>
      </c>
      <c r="AU55" s="60">
        <f t="shared" si="4"/>
        <v>2.0846268540486146</v>
      </c>
      <c r="AV55" s="296">
        <f t="shared" si="5"/>
        <v>3.2115953839704443</v>
      </c>
      <c r="AW55" t="s">
        <v>10</v>
      </c>
      <c r="AX55" s="10">
        <f t="shared" si="6"/>
        <v>5.0724309885973007</v>
      </c>
      <c r="AY55" s="307">
        <f t="shared" si="7"/>
        <v>-1.8608356046268564</v>
      </c>
    </row>
    <row r="56" spans="1:51" x14ac:dyDescent="0.3">
      <c r="A56" s="7" t="s">
        <v>46</v>
      </c>
      <c r="B56" s="14" t="s">
        <v>48</v>
      </c>
      <c r="C56" s="16" t="str">
        <f>[32]Input!$B$3</f>
        <v xml:space="preserve">  6 Months</v>
      </c>
      <c r="D56" s="9">
        <f>[32]Input!$B$5</f>
        <v>93</v>
      </c>
      <c r="E56" s="10">
        <f>'[32]Summary - Program Period'!$C$16</f>
        <v>2.9999999999999987</v>
      </c>
      <c r="F56" s="11">
        <f>[32]Input!$Q$6</f>
        <v>0.11764705882352922</v>
      </c>
      <c r="G56" s="10">
        <f>'[32]Summary - Program Period'!$C$28</f>
        <v>8.4</v>
      </c>
      <c r="H56" s="10">
        <f>'[32]Summary - Program Period'!$C$25</f>
        <v>5.3911142244826298</v>
      </c>
      <c r="I56" s="12">
        <f>[32]Input!$B$7</f>
        <v>1.5869999999999997</v>
      </c>
      <c r="J56" s="30">
        <f>163262/10^6</f>
        <v>0.16326199999999999</v>
      </c>
      <c r="K56" s="33"/>
      <c r="L56" s="36"/>
      <c r="M56" s="39"/>
      <c r="N56" s="30"/>
      <c r="O56" s="30"/>
      <c r="P56" s="33"/>
      <c r="Q56" s="36"/>
      <c r="R56" s="41"/>
      <c r="S56" s="30"/>
      <c r="T56" s="33"/>
      <c r="U56" s="36"/>
      <c r="V56" s="41"/>
      <c r="W56" s="281" t="s">
        <v>91</v>
      </c>
      <c r="X56" s="279">
        <v>93</v>
      </c>
      <c r="Y56" s="280">
        <v>1.5869999999999997</v>
      </c>
      <c r="AA56" s="281" t="s">
        <v>202</v>
      </c>
      <c r="AB56" s="303">
        <v>0.95</v>
      </c>
      <c r="AC56" s="303">
        <v>0.85</v>
      </c>
      <c r="AD56">
        <f t="shared" si="9"/>
        <v>9.9999999999999978E-2</v>
      </c>
      <c r="AE56" s="301">
        <f t="shared" si="10"/>
        <v>0.11764705882352938</v>
      </c>
      <c r="AG56" s="281">
        <v>2012</v>
      </c>
      <c r="AH56" s="281">
        <v>2012</v>
      </c>
      <c r="AI56" s="306">
        <f>PharmaData!M9</f>
        <v>165.97</v>
      </c>
      <c r="AJ56" s="304">
        <f>AI56*(1-Discs.ProductCost.Royalty!L11-Discs.ProductCost.Royalty!C11)*(1-Discs.ProductCost.Royalty!W11)</f>
        <v>101.33839030434564</v>
      </c>
      <c r="AK56" s="306">
        <f>AI56</f>
        <v>165.97</v>
      </c>
      <c r="AL56" s="304">
        <f>AK56*(1-Discs.ProductCost.Royalty!L11-Discs.ProductCost.Royalty!C11)*(1-Discs.ProductCost.Royalty!W11)</f>
        <v>101.33839030434564</v>
      </c>
      <c r="AN56" s="293">
        <v>0.39</v>
      </c>
      <c r="AO56" s="293">
        <v>0.1</v>
      </c>
      <c r="AP56" s="60">
        <f t="shared" si="2"/>
        <v>58.939642045832706</v>
      </c>
      <c r="AR56" s="297">
        <v>0.39</v>
      </c>
      <c r="AT56" s="60">
        <f t="shared" si="3"/>
        <v>5.893964204583269</v>
      </c>
      <c r="AU56" s="60">
        <f t="shared" si="4"/>
        <v>0.92301852877098034</v>
      </c>
      <c r="AV56" s="296">
        <f t="shared" si="5"/>
        <v>6.3855318402234165</v>
      </c>
      <c r="AW56" t="s">
        <v>10</v>
      </c>
      <c r="AX56" s="10">
        <f t="shared" si="6"/>
        <v>5.3911142244826298</v>
      </c>
      <c r="AY56" s="307">
        <f t="shared" si="7"/>
        <v>0.99441761574078669</v>
      </c>
    </row>
    <row r="57" spans="1:51" x14ac:dyDescent="0.3">
      <c r="A57" s="7" t="s">
        <v>46</v>
      </c>
      <c r="B57" s="14" t="s">
        <v>47</v>
      </c>
      <c r="D57" s="9"/>
      <c r="E57" s="10"/>
      <c r="F57" s="11"/>
      <c r="G57" s="10"/>
      <c r="H57" s="10"/>
      <c r="I57" s="12"/>
      <c r="J57" s="30">
        <f>198636/10^6</f>
        <v>0.19863600000000001</v>
      </c>
      <c r="K57" s="33"/>
      <c r="L57" s="36"/>
      <c r="M57" s="39"/>
      <c r="N57" s="30"/>
      <c r="O57" s="30"/>
      <c r="P57" s="33"/>
      <c r="Q57" s="36"/>
      <c r="R57" s="41"/>
      <c r="S57" s="30"/>
      <c r="T57" s="33"/>
      <c r="U57" s="36"/>
      <c r="V57" s="41"/>
      <c r="W57" s="281"/>
      <c r="X57" s="279"/>
      <c r="Y57" s="280"/>
      <c r="AA57" s="281"/>
      <c r="AB57" s="303"/>
      <c r="AC57" s="303"/>
      <c r="AD57">
        <f t="shared" si="9"/>
        <v>0</v>
      </c>
      <c r="AE57" s="301" t="e">
        <f t="shared" si="10"/>
        <v>#DIV/0!</v>
      </c>
      <c r="AG57" s="281"/>
      <c r="AH57" s="281"/>
      <c r="AI57" s="280"/>
      <c r="AJ57" s="60"/>
      <c r="AK57" s="280"/>
      <c r="AL57" s="60"/>
      <c r="AN57" s="293">
        <v>0.39</v>
      </c>
      <c r="AO57" s="293">
        <v>0.1</v>
      </c>
      <c r="AP57" s="60" t="e">
        <f t="shared" si="2"/>
        <v>#DIV/0!</v>
      </c>
      <c r="AR57" s="297">
        <v>0.39</v>
      </c>
      <c r="AT57" s="60" t="e">
        <f t="shared" si="3"/>
        <v>#DIV/0!</v>
      </c>
      <c r="AU57" s="60">
        <f t="shared" si="4"/>
        <v>0</v>
      </c>
      <c r="AV57" s="296" t="e">
        <f t="shared" si="5"/>
        <v>#DIV/0!</v>
      </c>
      <c r="AW57" t="s">
        <v>10</v>
      </c>
      <c r="AX57" s="10">
        <f t="shared" si="6"/>
        <v>0</v>
      </c>
      <c r="AY57" s="307" t="e">
        <f t="shared" si="7"/>
        <v>#DIV/0!</v>
      </c>
    </row>
    <row r="58" spans="1:51" x14ac:dyDescent="0.3">
      <c r="A58" s="7"/>
      <c r="D58" s="9"/>
      <c r="E58" s="10"/>
      <c r="F58" s="11"/>
      <c r="G58" s="10"/>
      <c r="H58" s="10"/>
      <c r="I58" s="12"/>
      <c r="J58" s="30"/>
      <c r="K58" s="33"/>
      <c r="L58" s="36"/>
      <c r="M58" s="39"/>
      <c r="N58" s="30"/>
      <c r="O58" s="30"/>
      <c r="P58" s="33"/>
      <c r="Q58" s="36"/>
      <c r="R58" s="41"/>
      <c r="S58" s="30"/>
      <c r="T58" s="33"/>
      <c r="U58" s="36"/>
      <c r="V58" s="41"/>
      <c r="W58" s="281"/>
      <c r="X58" s="279"/>
      <c r="Y58" s="280"/>
      <c r="AA58" s="281"/>
      <c r="AB58" s="303"/>
      <c r="AC58" s="303"/>
      <c r="AE58" s="301"/>
      <c r="AG58" s="281"/>
      <c r="AH58" s="281"/>
      <c r="AI58" s="280"/>
      <c r="AJ58" s="60"/>
      <c r="AK58" s="280"/>
      <c r="AL58" s="60"/>
      <c r="AN58" s="293"/>
      <c r="AO58" s="281"/>
      <c r="AR58" s="281"/>
      <c r="AT58" s="60"/>
      <c r="AU58" s="60"/>
      <c r="AV58" s="296"/>
      <c r="AX58" s="10"/>
      <c r="AY58" s="307"/>
    </row>
    <row r="59" spans="1:51" x14ac:dyDescent="0.3">
      <c r="A59" s="15" t="s">
        <v>43</v>
      </c>
      <c r="D59" s="9"/>
      <c r="E59" s="10"/>
      <c r="F59" s="11"/>
      <c r="G59" s="10"/>
      <c r="H59" s="10"/>
      <c r="I59" s="12"/>
      <c r="J59" s="30"/>
      <c r="K59" s="33"/>
      <c r="L59" s="36"/>
      <c r="M59" s="39"/>
      <c r="N59" s="30"/>
      <c r="O59" s="30"/>
      <c r="P59" s="33"/>
      <c r="Q59" s="36"/>
      <c r="R59" s="41"/>
      <c r="S59" s="30"/>
      <c r="T59" s="33"/>
      <c r="U59" s="36"/>
      <c r="V59" s="41"/>
      <c r="W59" s="281"/>
      <c r="X59" s="279"/>
      <c r="Y59" s="280"/>
      <c r="AA59" s="281"/>
      <c r="AB59" s="303"/>
      <c r="AC59" s="303"/>
      <c r="AG59" s="281"/>
      <c r="AH59" s="281"/>
      <c r="AI59" s="280"/>
      <c r="AJ59" s="60"/>
      <c r="AK59" s="280"/>
      <c r="AL59" s="60"/>
      <c r="AN59" s="293"/>
      <c r="AO59" s="281"/>
      <c r="AR59" s="281"/>
      <c r="AV59"/>
      <c r="AX59" s="10"/>
      <c r="AY59" s="307"/>
    </row>
    <row r="60" spans="1:51" x14ac:dyDescent="0.3">
      <c r="A60" s="7" t="s">
        <v>46</v>
      </c>
      <c r="B60" s="14" t="s">
        <v>47</v>
      </c>
      <c r="C60" s="1" t="str">
        <f>[33]Input!$B$3</f>
        <v xml:space="preserve"> 12 Months</v>
      </c>
      <c r="D60" s="9">
        <f>[33]Input!$B$5</f>
        <v>1925</v>
      </c>
      <c r="E60" s="10">
        <f>'[33]Summary - Program Period'!$C$16</f>
        <v>5.9999999999999778</v>
      </c>
      <c r="F60" s="11">
        <f>[33]Input!$Q$6</f>
        <v>2.5505866349260664E-2</v>
      </c>
      <c r="G60" s="10">
        <f>'[33]Summary - Program Period'!$C$28</f>
        <v>4.5999999999999996</v>
      </c>
      <c r="H60" s="10">
        <f>'[33]Summary - Program Period'!$C$25</f>
        <v>7.0968362721773204</v>
      </c>
      <c r="I60" s="12">
        <f>[33]Input!$B$7</f>
        <v>2.95</v>
      </c>
      <c r="J60" s="30">
        <f>58976/10^6</f>
        <v>5.8976000000000001E-2</v>
      </c>
      <c r="K60" s="33"/>
      <c r="L60" s="36"/>
      <c r="M60" s="39"/>
      <c r="N60" s="30"/>
      <c r="O60" s="30"/>
      <c r="P60" s="33"/>
      <c r="Q60" s="36"/>
      <c r="R60" s="41"/>
      <c r="S60" s="30"/>
      <c r="T60" s="33"/>
      <c r="U60" s="36"/>
      <c r="V60" s="41"/>
      <c r="W60" s="281" t="s">
        <v>91</v>
      </c>
      <c r="X60" s="279">
        <v>1925</v>
      </c>
      <c r="Y60" s="280">
        <v>2.95</v>
      </c>
      <c r="AA60" s="281" t="s">
        <v>203</v>
      </c>
      <c r="AB60" s="303">
        <v>241.24</v>
      </c>
      <c r="AC60" s="303">
        <v>235.24</v>
      </c>
      <c r="AD60">
        <f t="shared" si="9"/>
        <v>6</v>
      </c>
      <c r="AE60" s="301">
        <f t="shared" si="10"/>
        <v>2.5505866349260328E-2</v>
      </c>
      <c r="AG60" s="281">
        <v>2011</v>
      </c>
      <c r="AH60" s="281">
        <v>2012</v>
      </c>
      <c r="AI60" s="280">
        <v>3.8</v>
      </c>
      <c r="AJ60" s="60">
        <f>AI60*(1-VLOOKUP(AW60,Discs.ProductCost.Royalty!$K$4:$Q$50,2)-VLOOKUP(Model!AW60,Discs.ProductCost.Royalty!$B$4:$H$50,2))*(1-VLOOKUP(Model!AW60,Discs.ProductCost.Royalty!$V$4:$AB$50,2))</f>
        <v>2.6499754733518488</v>
      </c>
      <c r="AK60" s="280">
        <v>3.8</v>
      </c>
      <c r="AL60" s="60">
        <f>AK60*(1-VLOOKUP(AW60,Discs.ProductCost.Royalty!$K$4:$Q$50,2)-VLOOKUP(Model!AW60,Discs.ProductCost.Royalty!$B$4:$H$50,2))*(1-VLOOKUP(Model!AW60,Discs.ProductCost.Royalty!$V$4:$AB$50,2))</f>
        <v>2.6499754733518488</v>
      </c>
      <c r="AN60" s="293">
        <v>0.39</v>
      </c>
      <c r="AO60" s="293">
        <v>0.1</v>
      </c>
      <c r="AP60" s="60">
        <f t="shared" si="2"/>
        <v>1.5412580105182141</v>
      </c>
      <c r="AR60" s="297">
        <v>0.39</v>
      </c>
      <c r="AT60" s="60">
        <f t="shared" si="3"/>
        <v>9.247548063109285</v>
      </c>
      <c r="AU60" s="60">
        <f t="shared" si="4"/>
        <v>1.7157559293474434</v>
      </c>
      <c r="AV60" s="296">
        <f t="shared" si="5"/>
        <v>5.3897806237664714</v>
      </c>
      <c r="AW60" t="s">
        <v>43</v>
      </c>
      <c r="AX60" s="10">
        <f t="shared" si="6"/>
        <v>7.0968362721773204</v>
      </c>
      <c r="AY60" s="307">
        <f t="shared" si="7"/>
        <v>-1.707055648410849</v>
      </c>
    </row>
    <row r="61" spans="1:51" x14ac:dyDescent="0.3">
      <c r="A61" s="7" t="s">
        <v>46</v>
      </c>
      <c r="B61" s="14" t="s">
        <v>48</v>
      </c>
      <c r="D61" s="9"/>
      <c r="E61" s="10"/>
      <c r="F61" s="11"/>
      <c r="G61" s="10"/>
      <c r="H61" s="10"/>
      <c r="I61" s="12"/>
      <c r="J61" s="30">
        <f>141024/10^6</f>
        <v>0.14102400000000001</v>
      </c>
      <c r="K61" s="33"/>
      <c r="L61" s="36"/>
      <c r="M61" s="39"/>
      <c r="N61" s="30"/>
      <c r="O61" s="30"/>
      <c r="P61" s="33"/>
      <c r="Q61" s="36"/>
      <c r="R61" s="41"/>
      <c r="S61" s="30"/>
      <c r="T61" s="33"/>
      <c r="U61" s="36"/>
      <c r="V61" s="41"/>
      <c r="W61" s="281"/>
      <c r="X61" s="279"/>
      <c r="Y61" s="280"/>
      <c r="AA61" s="281"/>
      <c r="AB61" s="303"/>
      <c r="AC61" s="303"/>
      <c r="AD61">
        <f t="shared" si="9"/>
        <v>0</v>
      </c>
      <c r="AE61" s="301" t="e">
        <f t="shared" si="10"/>
        <v>#DIV/0!</v>
      </c>
      <c r="AG61" s="281"/>
      <c r="AH61" s="281"/>
      <c r="AI61" s="280"/>
      <c r="AJ61" s="60"/>
      <c r="AK61" s="280"/>
      <c r="AL61" s="60"/>
      <c r="AN61" s="293">
        <v>0.39</v>
      </c>
      <c r="AO61" s="293">
        <v>0.1</v>
      </c>
      <c r="AP61" s="60" t="e">
        <f t="shared" si="2"/>
        <v>#DIV/0!</v>
      </c>
      <c r="AR61" s="297">
        <v>0.39</v>
      </c>
      <c r="AT61" s="60" t="e">
        <f t="shared" si="3"/>
        <v>#DIV/0!</v>
      </c>
      <c r="AU61" s="60">
        <f t="shared" si="4"/>
        <v>0</v>
      </c>
      <c r="AV61" s="296" t="e">
        <f t="shared" si="5"/>
        <v>#DIV/0!</v>
      </c>
      <c r="AW61" t="s">
        <v>43</v>
      </c>
      <c r="AX61" s="10">
        <f t="shared" si="6"/>
        <v>0</v>
      </c>
      <c r="AY61" s="307" t="e">
        <f t="shared" si="7"/>
        <v>#DIV/0!</v>
      </c>
    </row>
    <row r="62" spans="1:51" x14ac:dyDescent="0.3">
      <c r="A62" s="7" t="s">
        <v>34</v>
      </c>
      <c r="D62" s="9"/>
      <c r="E62" s="10"/>
      <c r="F62" s="11"/>
      <c r="G62" s="10"/>
      <c r="H62" s="10"/>
      <c r="I62" s="12"/>
      <c r="J62" s="30">
        <f>80000/10^6</f>
        <v>0.08</v>
      </c>
      <c r="K62" s="33"/>
      <c r="L62" s="36"/>
      <c r="M62" s="39"/>
      <c r="N62" s="30"/>
      <c r="O62" s="30"/>
      <c r="P62" s="33"/>
      <c r="Q62" s="36"/>
      <c r="R62" s="41"/>
      <c r="S62" s="30"/>
      <c r="T62" s="33"/>
      <c r="U62" s="36"/>
      <c r="V62" s="41"/>
      <c r="W62" s="281"/>
      <c r="X62" s="279"/>
      <c r="Y62" s="280"/>
      <c r="AA62" s="281"/>
      <c r="AB62" s="303"/>
      <c r="AC62" s="303"/>
      <c r="AD62">
        <f t="shared" si="9"/>
        <v>0</v>
      </c>
      <c r="AE62" s="301" t="e">
        <f t="shared" si="10"/>
        <v>#DIV/0!</v>
      </c>
      <c r="AG62" s="281"/>
      <c r="AH62" s="281"/>
      <c r="AI62" s="280"/>
      <c r="AJ62" s="60"/>
      <c r="AK62" s="280"/>
      <c r="AL62" s="60"/>
      <c r="AN62" s="293">
        <v>0.39</v>
      </c>
      <c r="AO62" s="293">
        <v>0.1</v>
      </c>
      <c r="AP62" s="60" t="e">
        <f t="shared" si="2"/>
        <v>#DIV/0!</v>
      </c>
      <c r="AR62" s="297">
        <v>0.39</v>
      </c>
      <c r="AT62" s="60" t="e">
        <f t="shared" si="3"/>
        <v>#DIV/0!</v>
      </c>
      <c r="AU62" s="60">
        <f t="shared" si="4"/>
        <v>0</v>
      </c>
      <c r="AV62" s="296" t="e">
        <f t="shared" si="5"/>
        <v>#DIV/0!</v>
      </c>
      <c r="AW62" t="s">
        <v>43</v>
      </c>
      <c r="AX62" s="10">
        <f t="shared" si="6"/>
        <v>0</v>
      </c>
      <c r="AY62" s="307" t="e">
        <f t="shared" si="7"/>
        <v>#DIV/0!</v>
      </c>
    </row>
    <row r="63" spans="1:51" x14ac:dyDescent="0.3">
      <c r="A63" s="7" t="s">
        <v>68</v>
      </c>
      <c r="D63" s="9"/>
      <c r="E63" s="10"/>
      <c r="F63" s="11"/>
      <c r="G63" s="10"/>
      <c r="H63" s="10"/>
      <c r="I63" s="12"/>
      <c r="J63" s="30">
        <f>81290/10^6</f>
        <v>8.1290000000000001E-2</v>
      </c>
      <c r="K63" s="33"/>
      <c r="L63" s="36"/>
      <c r="M63" s="39"/>
      <c r="N63" s="30"/>
      <c r="O63" s="30"/>
      <c r="P63" s="33"/>
      <c r="Q63" s="36"/>
      <c r="R63" s="41"/>
      <c r="S63" s="30"/>
      <c r="T63" s="33"/>
      <c r="U63" s="36"/>
      <c r="V63" s="41"/>
      <c r="W63" s="281"/>
      <c r="X63" s="279"/>
      <c r="Y63" s="280"/>
      <c r="AA63" s="281"/>
      <c r="AB63" s="303"/>
      <c r="AC63" s="303"/>
      <c r="AD63">
        <f t="shared" si="9"/>
        <v>0</v>
      </c>
      <c r="AE63" s="301" t="e">
        <f t="shared" si="10"/>
        <v>#DIV/0!</v>
      </c>
      <c r="AG63" s="281"/>
      <c r="AH63" s="281"/>
      <c r="AI63" s="280"/>
      <c r="AJ63" s="60"/>
      <c r="AK63" s="280"/>
      <c r="AL63" s="60"/>
      <c r="AN63" s="293">
        <v>0.39</v>
      </c>
      <c r="AO63" s="293">
        <v>0.1</v>
      </c>
      <c r="AP63" s="60" t="e">
        <f t="shared" si="2"/>
        <v>#DIV/0!</v>
      </c>
      <c r="AR63" s="297">
        <v>0.39</v>
      </c>
      <c r="AT63" s="60" t="e">
        <f t="shared" si="3"/>
        <v>#DIV/0!</v>
      </c>
      <c r="AU63" s="60">
        <f t="shared" si="4"/>
        <v>0</v>
      </c>
      <c r="AV63" s="296" t="e">
        <f t="shared" si="5"/>
        <v>#DIV/0!</v>
      </c>
      <c r="AW63" t="s">
        <v>43</v>
      </c>
      <c r="AX63" s="10">
        <f t="shared" si="6"/>
        <v>0</v>
      </c>
      <c r="AY63" s="307" t="e">
        <f t="shared" si="7"/>
        <v>#DIV/0!</v>
      </c>
    </row>
    <row r="64" spans="1:51" x14ac:dyDescent="0.3">
      <c r="A64" s="7"/>
      <c r="D64" s="9"/>
      <c r="E64" s="10"/>
      <c r="F64" s="11"/>
      <c r="G64" s="10"/>
      <c r="H64" s="10"/>
      <c r="I64" s="12"/>
      <c r="J64" s="30"/>
      <c r="K64" s="33"/>
      <c r="L64" s="36"/>
      <c r="M64" s="39"/>
      <c r="N64" s="30"/>
      <c r="O64" s="30"/>
      <c r="P64" s="33"/>
      <c r="Q64" s="36"/>
      <c r="R64" s="41"/>
      <c r="S64" s="30"/>
      <c r="T64" s="33"/>
      <c r="U64" s="36"/>
      <c r="V64" s="41"/>
      <c r="W64" s="281"/>
      <c r="X64" s="279"/>
      <c r="Y64" s="280"/>
      <c r="AA64" s="281"/>
      <c r="AB64" s="303"/>
      <c r="AC64" s="303"/>
      <c r="AE64" s="301"/>
      <c r="AG64" s="281"/>
      <c r="AH64" s="281"/>
      <c r="AI64" s="280"/>
      <c r="AJ64" s="60"/>
      <c r="AK64" s="280"/>
      <c r="AL64" s="60"/>
      <c r="AN64" s="293"/>
      <c r="AO64" s="281"/>
      <c r="AR64" s="281"/>
      <c r="AT64" s="60"/>
      <c r="AU64" s="60"/>
      <c r="AV64" s="296"/>
      <c r="AX64" s="10"/>
      <c r="AY64" s="307"/>
    </row>
    <row r="65" spans="1:51" x14ac:dyDescent="0.3">
      <c r="A65" s="15" t="s">
        <v>37</v>
      </c>
      <c r="D65" s="9"/>
      <c r="E65" s="10"/>
      <c r="F65" s="11"/>
      <c r="G65" s="10"/>
      <c r="H65" s="10"/>
      <c r="I65" s="12"/>
      <c r="J65" s="30"/>
      <c r="K65" s="33"/>
      <c r="L65" s="36"/>
      <c r="M65" s="39"/>
      <c r="N65" s="30"/>
      <c r="O65" s="30"/>
      <c r="P65" s="33"/>
      <c r="Q65" s="36"/>
      <c r="R65" s="41"/>
      <c r="S65" s="30"/>
      <c r="T65" s="33"/>
      <c r="U65" s="36"/>
      <c r="V65" s="41"/>
      <c r="W65" s="281"/>
      <c r="X65" s="279"/>
      <c r="Y65" s="280"/>
      <c r="AA65" s="281"/>
      <c r="AB65" s="303"/>
      <c r="AC65" s="303"/>
      <c r="AG65" s="281"/>
      <c r="AH65" s="281"/>
      <c r="AI65" s="280"/>
      <c r="AJ65" s="60"/>
      <c r="AK65" s="280"/>
      <c r="AL65" s="60"/>
      <c r="AN65" s="293"/>
      <c r="AO65" s="281"/>
      <c r="AR65" s="281"/>
      <c r="AV65"/>
      <c r="AX65" s="10"/>
      <c r="AY65" s="307"/>
    </row>
    <row r="66" spans="1:51" x14ac:dyDescent="0.3">
      <c r="A66" s="7" t="s">
        <v>41</v>
      </c>
      <c r="B66" s="14" t="s">
        <v>42</v>
      </c>
      <c r="C66" s="1" t="str">
        <f>[34]Input!$B$3</f>
        <v xml:space="preserve">  2 Months</v>
      </c>
      <c r="D66" s="9">
        <f>[34]Input!$B$5</f>
        <v>169638</v>
      </c>
      <c r="E66" s="10">
        <f>'[34]Summary - Program Period'!$C$16</f>
        <v>0.99000000000000554</v>
      </c>
      <c r="F66" s="11">
        <f>[34]Input!$Q$6</f>
        <v>2.6577181208053746E-2</v>
      </c>
      <c r="G66" s="10">
        <f>'[34]Summary - Program Period'!$C$28</f>
        <v>1.4</v>
      </c>
      <c r="H66" s="10">
        <f>'[34]Summary - Program Period'!$C$25</f>
        <v>2.6059135372345925</v>
      </c>
      <c r="I66" s="12">
        <f>[34]Input!$B$7</f>
        <v>3.7830556832785107</v>
      </c>
      <c r="J66" s="30">
        <f>421899/10^6</f>
        <v>0.42189900000000002</v>
      </c>
      <c r="K66" s="33"/>
      <c r="L66" s="36"/>
      <c r="M66" s="39"/>
      <c r="N66" s="30"/>
      <c r="O66" s="30"/>
      <c r="P66" s="33"/>
      <c r="Q66" s="36"/>
      <c r="R66" s="41"/>
      <c r="S66" s="30"/>
      <c r="T66" s="33"/>
      <c r="U66" s="36"/>
      <c r="V66" s="41"/>
      <c r="W66" s="281" t="s">
        <v>91</v>
      </c>
      <c r="X66" s="279">
        <v>169638</v>
      </c>
      <c r="Y66" s="280">
        <v>3.7830556832785107</v>
      </c>
      <c r="AA66" s="281" t="s">
        <v>201</v>
      </c>
      <c r="AB66" s="303">
        <v>38.24</v>
      </c>
      <c r="AC66" s="303">
        <v>37.25</v>
      </c>
      <c r="AD66">
        <f t="shared" si="9"/>
        <v>0.99000000000000199</v>
      </c>
      <c r="AE66" s="301">
        <f t="shared" si="10"/>
        <v>2.6577181208053746E-2</v>
      </c>
      <c r="AG66" s="281">
        <v>2012</v>
      </c>
      <c r="AH66" s="281">
        <v>2012</v>
      </c>
      <c r="AI66" s="280">
        <v>7.5</v>
      </c>
      <c r="AJ66" s="60">
        <f>AI66*(1-VLOOKUP(AW66,Discs.ProductCost.Royalty!$K$4:$Q$50,2)-VLOOKUP(Model!AW66,Discs.ProductCost.Royalty!$B$4:$H$50,2))*(1-VLOOKUP(Model!AW66,Discs.ProductCost.Royalty!$V$4:$AB$50,2))</f>
        <v>4.5637471041580264</v>
      </c>
      <c r="AK66" s="280">
        <v>7.5</v>
      </c>
      <c r="AL66" s="60">
        <f>AK66*(1-VLOOKUP(AW66,Discs.ProductCost.Royalty!$K$4:$Q$50,2)-VLOOKUP(Model!AW66,Discs.ProductCost.Royalty!$B$4:$H$50,2))*(1-VLOOKUP(Model!AW66,Discs.ProductCost.Royalty!$V$4:$AB$50,2))</f>
        <v>4.5637471041580264</v>
      </c>
      <c r="AN66" s="293">
        <v>0.15</v>
      </c>
      <c r="AO66" s="293">
        <v>0.1</v>
      </c>
      <c r="AP66" s="60">
        <f t="shared" si="2"/>
        <v>3.6986578110036978</v>
      </c>
      <c r="AR66" s="297">
        <v>0.39</v>
      </c>
      <c r="AT66" s="60">
        <f t="shared" si="3"/>
        <v>3.661671232893668</v>
      </c>
      <c r="AU66" s="60">
        <f t="shared" si="4"/>
        <v>2.2002712608937789</v>
      </c>
      <c r="AV66" s="296">
        <f t="shared" si="5"/>
        <v>1.6641908195475177</v>
      </c>
      <c r="AW66" t="s">
        <v>37</v>
      </c>
      <c r="AX66" s="10">
        <f t="shared" si="6"/>
        <v>2.6059135372345925</v>
      </c>
      <c r="AY66" s="307">
        <f t="shared" si="7"/>
        <v>-0.94172271768707483</v>
      </c>
    </row>
    <row r="67" spans="1:51" x14ac:dyDescent="0.3">
      <c r="A67" s="7" t="s">
        <v>34</v>
      </c>
      <c r="D67" s="9"/>
      <c r="E67" s="10"/>
      <c r="F67" s="11"/>
      <c r="G67" s="10"/>
      <c r="H67" s="10"/>
      <c r="I67" s="12"/>
      <c r="J67" s="30">
        <f>3000000/10^6</f>
        <v>3</v>
      </c>
      <c r="K67" s="33"/>
      <c r="L67" s="36"/>
      <c r="M67" s="39"/>
      <c r="N67" s="30"/>
      <c r="O67" s="30"/>
      <c r="P67" s="33"/>
      <c r="Q67" s="36"/>
      <c r="R67" s="41"/>
      <c r="S67" s="30"/>
      <c r="T67" s="33"/>
      <c r="U67" s="36"/>
      <c r="V67" s="41"/>
      <c r="W67" s="281"/>
      <c r="X67" s="279"/>
      <c r="Y67" s="280"/>
      <c r="AA67" s="281"/>
      <c r="AB67" s="303"/>
      <c r="AC67" s="303"/>
      <c r="AD67">
        <f t="shared" si="9"/>
        <v>0</v>
      </c>
      <c r="AE67" s="301" t="e">
        <f t="shared" si="10"/>
        <v>#DIV/0!</v>
      </c>
      <c r="AG67" s="281"/>
      <c r="AH67" s="281"/>
      <c r="AI67" s="280"/>
      <c r="AJ67" s="60"/>
      <c r="AK67" s="280"/>
      <c r="AL67" s="60"/>
      <c r="AN67" s="293">
        <v>0.15</v>
      </c>
      <c r="AO67" s="293">
        <v>0.1</v>
      </c>
      <c r="AP67" s="60" t="e">
        <f t="shared" si="2"/>
        <v>#DIV/0!</v>
      </c>
      <c r="AR67" s="297">
        <v>0.39</v>
      </c>
      <c r="AT67" s="60" t="e">
        <f t="shared" si="3"/>
        <v>#DIV/0!</v>
      </c>
      <c r="AU67" s="60">
        <f t="shared" si="4"/>
        <v>0</v>
      </c>
      <c r="AV67" s="296" t="e">
        <f t="shared" si="5"/>
        <v>#DIV/0!</v>
      </c>
      <c r="AW67" t="s">
        <v>37</v>
      </c>
      <c r="AX67" s="10">
        <f t="shared" si="6"/>
        <v>0</v>
      </c>
      <c r="AY67" s="307" t="e">
        <f t="shared" si="7"/>
        <v>#DIV/0!</v>
      </c>
    </row>
    <row r="68" spans="1:51" x14ac:dyDescent="0.3">
      <c r="A68" s="7" t="s">
        <v>28</v>
      </c>
      <c r="D68" s="9"/>
      <c r="E68" s="10"/>
      <c r="F68" s="11"/>
      <c r="G68" s="10"/>
      <c r="H68" s="10"/>
      <c r="I68" s="12"/>
      <c r="J68" s="30">
        <f>2654282/10^6</f>
        <v>2.6542819999999998</v>
      </c>
      <c r="K68" s="33"/>
      <c r="L68" s="36"/>
      <c r="M68" s="39"/>
      <c r="N68" s="30"/>
      <c r="O68" s="30"/>
      <c r="P68" s="33"/>
      <c r="Q68" s="36"/>
      <c r="R68" s="41"/>
      <c r="S68" s="30"/>
      <c r="T68" s="33"/>
      <c r="U68" s="36"/>
      <c r="V68" s="41"/>
      <c r="W68" s="281"/>
      <c r="X68" s="279"/>
      <c r="Y68" s="280"/>
      <c r="AA68" s="281"/>
      <c r="AB68" s="303"/>
      <c r="AC68" s="303"/>
      <c r="AD68">
        <f t="shared" si="9"/>
        <v>0</v>
      </c>
      <c r="AE68" s="301" t="e">
        <f t="shared" si="10"/>
        <v>#DIV/0!</v>
      </c>
      <c r="AG68" s="281"/>
      <c r="AH68" s="281"/>
      <c r="AI68" s="280"/>
      <c r="AJ68" s="60"/>
      <c r="AK68" s="280"/>
      <c r="AL68" s="60"/>
      <c r="AN68" s="293">
        <v>0.15</v>
      </c>
      <c r="AO68" s="293">
        <v>0.1</v>
      </c>
      <c r="AP68" s="60" t="e">
        <f t="shared" si="2"/>
        <v>#DIV/0!</v>
      </c>
      <c r="AR68" s="297">
        <v>0.39</v>
      </c>
      <c r="AT68" s="60" t="e">
        <f t="shared" si="3"/>
        <v>#DIV/0!</v>
      </c>
      <c r="AU68" s="60">
        <f t="shared" si="4"/>
        <v>0</v>
      </c>
      <c r="AV68" s="296" t="e">
        <f t="shared" si="5"/>
        <v>#DIV/0!</v>
      </c>
      <c r="AW68" t="s">
        <v>37</v>
      </c>
      <c r="AX68" s="10">
        <f t="shared" si="6"/>
        <v>0</v>
      </c>
      <c r="AY68" s="307" t="e">
        <f t="shared" si="7"/>
        <v>#DIV/0!</v>
      </c>
    </row>
    <row r="69" spans="1:51" x14ac:dyDescent="0.3">
      <c r="A69" s="7" t="s">
        <v>46</v>
      </c>
      <c r="B69" s="14" t="s">
        <v>47</v>
      </c>
      <c r="D69" s="9"/>
      <c r="E69" s="10"/>
      <c r="F69" s="11"/>
      <c r="G69" s="10"/>
      <c r="H69" s="10"/>
      <c r="I69" s="12"/>
      <c r="J69" s="30">
        <f>1300000/10^6</f>
        <v>1.3</v>
      </c>
      <c r="K69" s="33"/>
      <c r="L69" s="36"/>
      <c r="M69" s="39"/>
      <c r="N69" s="30"/>
      <c r="O69" s="30"/>
      <c r="P69" s="33"/>
      <c r="Q69" s="36"/>
      <c r="R69" s="41"/>
      <c r="S69" s="30"/>
      <c r="T69" s="33"/>
      <c r="U69" s="36"/>
      <c r="V69" s="41"/>
      <c r="W69" s="281"/>
      <c r="X69" s="279"/>
      <c r="Y69" s="280"/>
      <c r="AA69" s="281"/>
      <c r="AB69" s="303"/>
      <c r="AC69" s="303"/>
      <c r="AD69">
        <f t="shared" si="9"/>
        <v>0</v>
      </c>
      <c r="AE69" s="301" t="e">
        <f t="shared" si="10"/>
        <v>#DIV/0!</v>
      </c>
      <c r="AG69" s="281"/>
      <c r="AH69" s="281"/>
      <c r="AI69" s="280"/>
      <c r="AJ69" s="60"/>
      <c r="AK69" s="280"/>
      <c r="AL69" s="60"/>
      <c r="AN69" s="293">
        <v>0.15</v>
      </c>
      <c r="AO69" s="293">
        <v>0.1</v>
      </c>
      <c r="AP69" s="60" t="e">
        <f t="shared" si="2"/>
        <v>#DIV/0!</v>
      </c>
      <c r="AR69" s="297">
        <v>0.39</v>
      </c>
      <c r="AT69" s="60" t="e">
        <f t="shared" si="3"/>
        <v>#DIV/0!</v>
      </c>
      <c r="AU69" s="60">
        <f t="shared" si="4"/>
        <v>0</v>
      </c>
      <c r="AV69" s="296" t="e">
        <f t="shared" si="5"/>
        <v>#DIV/0!</v>
      </c>
      <c r="AW69" t="s">
        <v>37</v>
      </c>
      <c r="AX69" s="10">
        <f t="shared" si="6"/>
        <v>0</v>
      </c>
      <c r="AY69" s="307" t="e">
        <f t="shared" si="7"/>
        <v>#DIV/0!</v>
      </c>
    </row>
    <row r="70" spans="1:51" x14ac:dyDescent="0.3">
      <c r="A70" s="7" t="s">
        <v>46</v>
      </c>
      <c r="B70" s="14" t="s">
        <v>48</v>
      </c>
      <c r="D70" s="9"/>
      <c r="E70" s="10"/>
      <c r="F70" s="11"/>
      <c r="G70" s="10"/>
      <c r="H70" s="10"/>
      <c r="I70" s="12"/>
      <c r="J70" s="30">
        <f>623819/10^6</f>
        <v>0.62381900000000001</v>
      </c>
      <c r="K70" s="33"/>
      <c r="L70" s="36"/>
      <c r="M70" s="39"/>
      <c r="N70" s="30"/>
      <c r="O70" s="30"/>
      <c r="P70" s="33"/>
      <c r="Q70" s="36"/>
      <c r="R70" s="41"/>
      <c r="S70" s="30"/>
      <c r="T70" s="33"/>
      <c r="U70" s="36"/>
      <c r="V70" s="41"/>
      <c r="W70" s="281"/>
      <c r="X70" s="279"/>
      <c r="Y70" s="280"/>
      <c r="AA70" s="281"/>
      <c r="AB70" s="303"/>
      <c r="AC70" s="303"/>
      <c r="AD70">
        <f t="shared" si="9"/>
        <v>0</v>
      </c>
      <c r="AE70" s="301" t="e">
        <f t="shared" si="10"/>
        <v>#DIV/0!</v>
      </c>
      <c r="AG70" s="281"/>
      <c r="AH70" s="281"/>
      <c r="AI70" s="280"/>
      <c r="AJ70" s="60"/>
      <c r="AK70" s="280"/>
      <c r="AL70" s="60"/>
      <c r="AN70" s="293">
        <v>0.15</v>
      </c>
      <c r="AO70" s="293">
        <v>0.1</v>
      </c>
      <c r="AP70" s="60" t="e">
        <f t="shared" si="2"/>
        <v>#DIV/0!</v>
      </c>
      <c r="AR70" s="297">
        <v>0.39</v>
      </c>
      <c r="AT70" s="60" t="e">
        <f t="shared" si="3"/>
        <v>#DIV/0!</v>
      </c>
      <c r="AU70" s="60">
        <f t="shared" si="4"/>
        <v>0</v>
      </c>
      <c r="AV70" s="296" t="e">
        <f t="shared" si="5"/>
        <v>#DIV/0!</v>
      </c>
      <c r="AW70" t="s">
        <v>37</v>
      </c>
      <c r="AX70" s="10">
        <f t="shared" si="6"/>
        <v>0</v>
      </c>
      <c r="AY70" s="307" t="e">
        <f t="shared" si="7"/>
        <v>#DIV/0!</v>
      </c>
    </row>
    <row r="71" spans="1:51" x14ac:dyDescent="0.3">
      <c r="A71" s="7"/>
      <c r="D71" s="9"/>
      <c r="E71" s="10"/>
      <c r="F71" s="11"/>
      <c r="G71" s="10"/>
      <c r="H71" s="10"/>
      <c r="I71" s="12"/>
      <c r="J71" s="30"/>
      <c r="K71" s="33"/>
      <c r="L71" s="36"/>
      <c r="M71" s="39"/>
      <c r="N71" s="30"/>
      <c r="O71" s="30"/>
      <c r="P71" s="33"/>
      <c r="Q71" s="36"/>
      <c r="R71" s="41"/>
      <c r="S71" s="30"/>
      <c r="T71" s="33"/>
      <c r="U71" s="36"/>
      <c r="V71" s="41"/>
      <c r="W71" s="281"/>
      <c r="X71" s="279"/>
      <c r="Y71" s="280"/>
      <c r="AA71" s="281"/>
      <c r="AB71" s="303"/>
      <c r="AC71" s="303"/>
      <c r="AE71" s="301"/>
      <c r="AG71" s="281"/>
      <c r="AH71" s="281"/>
      <c r="AI71" s="280"/>
      <c r="AJ71" s="60"/>
      <c r="AK71" s="280"/>
      <c r="AL71" s="60"/>
      <c r="AN71" s="293"/>
      <c r="AO71" s="293"/>
      <c r="AP71" s="60"/>
      <c r="AR71" s="297"/>
      <c r="AT71" s="60"/>
      <c r="AU71" s="60"/>
      <c r="AV71" s="296"/>
      <c r="AX71" s="10"/>
      <c r="AY71" s="307"/>
    </row>
    <row r="72" spans="1:51" x14ac:dyDescent="0.3">
      <c r="A72" s="15" t="s">
        <v>67</v>
      </c>
      <c r="D72" s="9"/>
      <c r="E72" s="10"/>
      <c r="F72" s="11"/>
      <c r="G72" s="10"/>
      <c r="H72" s="10"/>
      <c r="I72" s="12"/>
      <c r="J72" s="30"/>
      <c r="K72" s="33"/>
      <c r="L72" s="36"/>
      <c r="M72" s="39"/>
      <c r="N72" s="30"/>
      <c r="O72" s="30"/>
      <c r="P72" s="33"/>
      <c r="Q72" s="36"/>
      <c r="R72" s="41"/>
      <c r="S72" s="30"/>
      <c r="T72" s="33"/>
      <c r="U72" s="36"/>
      <c r="V72" s="41"/>
      <c r="W72" s="281"/>
      <c r="X72" s="279"/>
      <c r="Y72" s="280"/>
      <c r="AA72" s="281"/>
      <c r="AB72" s="303"/>
      <c r="AC72" s="303"/>
      <c r="AG72" s="281"/>
      <c r="AH72" s="281"/>
      <c r="AI72" s="280"/>
      <c r="AJ72" s="60"/>
      <c r="AK72" s="280"/>
      <c r="AL72" s="60"/>
      <c r="AN72" s="293"/>
      <c r="AO72" s="281"/>
      <c r="AR72" s="281"/>
      <c r="AV72"/>
      <c r="AX72" s="10"/>
      <c r="AY72" s="307"/>
    </row>
    <row r="73" spans="1:51" x14ac:dyDescent="0.3">
      <c r="A73" s="7" t="s">
        <v>34</v>
      </c>
      <c r="D73" s="9"/>
      <c r="E73" s="10"/>
      <c r="F73" s="11"/>
      <c r="G73" s="10"/>
      <c r="H73" s="10"/>
      <c r="I73" s="12"/>
      <c r="J73" s="30">
        <f>456000/10^6</f>
        <v>0.45600000000000002</v>
      </c>
      <c r="K73" s="33"/>
      <c r="L73" s="36"/>
      <c r="M73" s="39"/>
      <c r="N73" s="30"/>
      <c r="O73" s="30"/>
      <c r="P73" s="33"/>
      <c r="Q73" s="36"/>
      <c r="R73" s="41"/>
      <c r="S73" s="30"/>
      <c r="T73" s="33"/>
      <c r="U73" s="36"/>
      <c r="V73" s="41"/>
      <c r="W73" s="281"/>
      <c r="X73" s="279"/>
      <c r="Y73" s="280"/>
      <c r="AA73" s="281"/>
      <c r="AB73" s="303"/>
      <c r="AC73" s="303"/>
      <c r="AD73">
        <f t="shared" si="9"/>
        <v>0</v>
      </c>
      <c r="AE73" s="301" t="e">
        <f t="shared" si="10"/>
        <v>#DIV/0!</v>
      </c>
      <c r="AG73" s="281"/>
      <c r="AH73" s="281"/>
      <c r="AI73" s="280"/>
      <c r="AJ73" s="60"/>
      <c r="AK73" s="280"/>
      <c r="AL73" s="60"/>
      <c r="AN73" s="293">
        <v>0.21</v>
      </c>
      <c r="AO73" s="293">
        <v>0.1</v>
      </c>
      <c r="AP73" s="60" t="e">
        <f t="shared" ref="AP73:AP83" si="11">((AVERAGE(AJ73,AL73)*(1-AN73))/((1+AO73)^0.5))</f>
        <v>#DIV/0!</v>
      </c>
      <c r="AR73" s="297">
        <v>0.39</v>
      </c>
      <c r="AT73" s="60" t="e">
        <f t="shared" ref="AT73:AT83" si="12">AP73*AD73</f>
        <v>#DIV/0!</v>
      </c>
      <c r="AU73" s="60">
        <f t="shared" ref="AU73:AU83" si="13">(Y73*(1-AR73)/((1+AO73)^(0.5)))</f>
        <v>0</v>
      </c>
      <c r="AV73" s="296" t="e">
        <f t="shared" ref="AV73:AV83" si="14">AT73/AU73</f>
        <v>#DIV/0!</v>
      </c>
      <c r="AW73" t="s">
        <v>67</v>
      </c>
      <c r="AX73" s="10">
        <f t="shared" ref="AX73:AX80" si="15">H73</f>
        <v>0</v>
      </c>
      <c r="AY73" s="307" t="e">
        <f t="shared" ref="AY73:AY80" si="16">AV73-AX73</f>
        <v>#DIV/0!</v>
      </c>
    </row>
    <row r="74" spans="1:51" x14ac:dyDescent="0.3">
      <c r="A74" s="44" t="s">
        <v>46</v>
      </c>
      <c r="B74" s="45" t="s">
        <v>47</v>
      </c>
      <c r="C74" s="46" t="str">
        <f>[35]Input!$B$3</f>
        <v xml:space="preserve"> 12 Months</v>
      </c>
      <c r="D74" s="47">
        <f>[35]Input!$B$5</f>
        <v>4254</v>
      </c>
      <c r="E74" s="48">
        <f>'[35]Summary - Program Period'!$C$16</f>
        <v>0.74000000000000199</v>
      </c>
      <c r="F74" s="49">
        <f>[35]Input!$Q$6</f>
        <v>2.6222537207654106E-2</v>
      </c>
      <c r="G74" s="48">
        <f>'[35]Summary - Program Period'!$C$28</f>
        <v>9.3000000000000007</v>
      </c>
      <c r="H74" s="48">
        <f>'[35]Summary - Program Period'!$C$25</f>
        <v>10.127979498665745</v>
      </c>
      <c r="I74" s="50">
        <f>[35]Input!$B$7</f>
        <v>1.6</v>
      </c>
      <c r="J74" s="30">
        <f>102000/10^6</f>
        <v>0.10199999999999999</v>
      </c>
      <c r="K74" s="33"/>
      <c r="L74" s="36"/>
      <c r="M74" s="39"/>
      <c r="N74" s="30"/>
      <c r="O74" s="30"/>
      <c r="P74" s="33"/>
      <c r="Q74" s="36"/>
      <c r="R74" s="41"/>
      <c r="S74" s="30"/>
      <c r="T74" s="33"/>
      <c r="U74" s="36"/>
      <c r="V74" s="41"/>
      <c r="W74" s="281" t="s">
        <v>91</v>
      </c>
      <c r="X74" s="279">
        <v>4254</v>
      </c>
      <c r="Y74" s="280">
        <v>1.6</v>
      </c>
      <c r="AA74" s="281" t="s">
        <v>203</v>
      </c>
      <c r="AB74" s="303">
        <v>28.96</v>
      </c>
      <c r="AC74" s="303">
        <v>28.22</v>
      </c>
      <c r="AD74">
        <f t="shared" si="9"/>
        <v>0.74000000000000199</v>
      </c>
      <c r="AE74" s="301">
        <f t="shared" si="10"/>
        <v>2.6222537207654217E-2</v>
      </c>
      <c r="AG74" s="281">
        <v>2011</v>
      </c>
      <c r="AH74" s="281">
        <v>2011</v>
      </c>
      <c r="AI74" s="280">
        <v>18.47</v>
      </c>
      <c r="AJ74" s="60">
        <f>AI74*(1-VLOOKUP(AW74,Discs.ProductCost.Royalty!$K$4:$Q$50,2)-VLOOKUP(Model!AW74,Discs.ProductCost.Royalty!$B$4:$H$50,2))*(1-VLOOKUP(Model!AW74,Discs.ProductCost.Royalty!$V$4:$AB$50,2))</f>
        <v>18.066182972664635</v>
      </c>
      <c r="AK74" s="280">
        <v>18.47</v>
      </c>
      <c r="AL74" s="60">
        <f>AK74*(1-VLOOKUP(AW74,Discs.ProductCost.Royalty!$K$4:$Q$50,2)-VLOOKUP(Model!AW74,Discs.ProductCost.Royalty!$B$4:$H$50,2))*(1-VLOOKUP(Model!AW74,Discs.ProductCost.Royalty!$V$4:$AB$50,2))</f>
        <v>18.066182972664635</v>
      </c>
      <c r="AN74" s="293">
        <v>0.21</v>
      </c>
      <c r="AO74" s="293">
        <v>0.1</v>
      </c>
      <c r="AP74" s="60">
        <f t="shared" si="11"/>
        <v>13.608089379972149</v>
      </c>
      <c r="AR74" s="297">
        <v>0.39</v>
      </c>
      <c r="AT74" s="60">
        <f t="shared" si="12"/>
        <v>10.069986141179418</v>
      </c>
      <c r="AU74" s="60">
        <f t="shared" si="13"/>
        <v>0.93057948710369798</v>
      </c>
      <c r="AV74" s="296">
        <f t="shared" si="14"/>
        <v>10.82119935022518</v>
      </c>
      <c r="AW74" t="s">
        <v>67</v>
      </c>
      <c r="AX74" s="10">
        <f t="shared" si="15"/>
        <v>10.127979498665745</v>
      </c>
      <c r="AY74" s="307">
        <f t="shared" si="16"/>
        <v>0.69321985155943544</v>
      </c>
    </row>
    <row r="75" spans="1:51" x14ac:dyDescent="0.3">
      <c r="A75" s="44" t="s">
        <v>46</v>
      </c>
      <c r="B75" s="51" t="s">
        <v>48</v>
      </c>
      <c r="C75" s="46" t="str">
        <f>[36]Input!$B$3</f>
        <v xml:space="preserve"> 12 Months</v>
      </c>
      <c r="D75" s="47">
        <f>[36]Input!$B$5</f>
        <v>311</v>
      </c>
      <c r="E75" s="48">
        <f>'[36]Summary - Program Period'!$C$16</f>
        <v>1.3899999999999997</v>
      </c>
      <c r="F75" s="49">
        <f>[36]Input!$Q$6</f>
        <v>0.12139737991266442</v>
      </c>
      <c r="G75" s="48">
        <f>'[36]Summary - Program Period'!$C$28</f>
        <v>16.5</v>
      </c>
      <c r="H75" s="48">
        <f>'[36]Summary - Program Period'!$C$25</f>
        <v>17.800400193640396</v>
      </c>
      <c r="I75" s="50">
        <f>[36]Input!$B$7</f>
        <v>1.71</v>
      </c>
      <c r="J75" s="30">
        <f>197027/10^6</f>
        <v>0.19702700000000001</v>
      </c>
      <c r="K75" s="33"/>
      <c r="L75" s="36"/>
      <c r="M75" s="39"/>
      <c r="N75" s="30"/>
      <c r="O75" s="30"/>
      <c r="P75" s="33"/>
      <c r="Q75" s="36"/>
      <c r="R75" s="41"/>
      <c r="S75" s="30"/>
      <c r="T75" s="33"/>
      <c r="U75" s="36"/>
      <c r="V75" s="41"/>
      <c r="W75" s="281" t="s">
        <v>91</v>
      </c>
      <c r="X75" s="279">
        <v>311</v>
      </c>
      <c r="Y75" s="280">
        <v>1.71</v>
      </c>
      <c r="AA75" s="281" t="s">
        <v>203</v>
      </c>
      <c r="AB75" s="303">
        <v>12.84</v>
      </c>
      <c r="AC75" s="303">
        <v>11.45</v>
      </c>
      <c r="AD75">
        <f t="shared" si="9"/>
        <v>1.3900000000000006</v>
      </c>
      <c r="AE75" s="301">
        <f t="shared" si="10"/>
        <v>0.12139737991266382</v>
      </c>
      <c r="AG75" s="281">
        <v>2011</v>
      </c>
      <c r="AH75" s="281">
        <v>2012</v>
      </c>
      <c r="AI75" s="280">
        <v>18.47</v>
      </c>
      <c r="AJ75" s="60">
        <f>AI75*(1-VLOOKUP(AW75,Discs.ProductCost.Royalty!$K$4:$Q$50,2)-VLOOKUP(Model!AW75,Discs.ProductCost.Royalty!$B$4:$H$50,2))*(1-VLOOKUP(Model!AW75,Discs.ProductCost.Royalty!$V$4:$AB$50,2))</f>
        <v>18.066182972664635</v>
      </c>
      <c r="AK75" s="280">
        <v>18.47</v>
      </c>
      <c r="AL75" s="60">
        <f>AK75*(1-VLOOKUP(AW75,Discs.ProductCost.Royalty!$K$4:$Q$50,2)-VLOOKUP(Model!AW75,Discs.ProductCost.Royalty!$B$4:$H$50,2))*(1-VLOOKUP(Model!AW75,Discs.ProductCost.Royalty!$V$4:$AB$50,2))</f>
        <v>18.066182972664635</v>
      </c>
      <c r="AN75" s="293">
        <v>0.21</v>
      </c>
      <c r="AO75" s="293">
        <v>0.1</v>
      </c>
      <c r="AP75" s="60">
        <f t="shared" si="11"/>
        <v>13.608089379972149</v>
      </c>
      <c r="AR75" s="297">
        <v>0.39</v>
      </c>
      <c r="AT75" s="60">
        <f t="shared" si="12"/>
        <v>18.915244238161296</v>
      </c>
      <c r="AU75" s="60">
        <f t="shared" si="13"/>
        <v>0.99455682684207714</v>
      </c>
      <c r="AV75" s="296">
        <f t="shared" si="14"/>
        <v>19.018766678442191</v>
      </c>
      <c r="AW75" t="s">
        <v>67</v>
      </c>
      <c r="AX75" s="10">
        <f t="shared" si="15"/>
        <v>17.800400193640396</v>
      </c>
      <c r="AY75" s="307">
        <f t="shared" si="16"/>
        <v>1.2183664848017948</v>
      </c>
    </row>
    <row r="76" spans="1:51" x14ac:dyDescent="0.3">
      <c r="A76" s="7" t="s">
        <v>28</v>
      </c>
      <c r="D76" s="9"/>
      <c r="E76" s="10"/>
      <c r="F76" s="11"/>
      <c r="G76" s="10"/>
      <c r="H76" s="10"/>
      <c r="I76" s="12"/>
      <c r="J76" s="30">
        <f>500000/10^6</f>
        <v>0.5</v>
      </c>
      <c r="K76" s="33"/>
      <c r="L76" s="36"/>
      <c r="M76" s="39"/>
      <c r="N76" s="30"/>
      <c r="O76" s="30"/>
      <c r="P76" s="33"/>
      <c r="Q76" s="36"/>
      <c r="R76" s="41"/>
      <c r="S76" s="30"/>
      <c r="T76" s="33"/>
      <c r="U76" s="36"/>
      <c r="V76" s="41"/>
      <c r="W76" s="281"/>
      <c r="X76" s="279"/>
      <c r="Y76" s="280"/>
      <c r="AA76" s="281"/>
      <c r="AB76" s="303"/>
      <c r="AC76" s="303"/>
      <c r="AD76">
        <f t="shared" si="9"/>
        <v>0</v>
      </c>
      <c r="AE76" s="301" t="e">
        <f t="shared" si="10"/>
        <v>#DIV/0!</v>
      </c>
      <c r="AG76" s="281"/>
      <c r="AH76" s="281"/>
      <c r="AI76" s="280"/>
      <c r="AJ76" s="60"/>
      <c r="AK76" s="280"/>
      <c r="AL76" s="60"/>
      <c r="AN76" s="293">
        <v>0.21</v>
      </c>
      <c r="AO76" s="293">
        <v>0.1</v>
      </c>
      <c r="AP76" s="60" t="e">
        <f t="shared" si="11"/>
        <v>#DIV/0!</v>
      </c>
      <c r="AR76" s="297">
        <v>0.39</v>
      </c>
      <c r="AT76" s="60" t="e">
        <f t="shared" si="12"/>
        <v>#DIV/0!</v>
      </c>
      <c r="AU76" s="60">
        <f t="shared" si="13"/>
        <v>0</v>
      </c>
      <c r="AV76" s="296" t="e">
        <f t="shared" si="14"/>
        <v>#DIV/0!</v>
      </c>
      <c r="AW76" t="s">
        <v>67</v>
      </c>
      <c r="AX76" s="10">
        <f t="shared" si="15"/>
        <v>0</v>
      </c>
      <c r="AY76" s="307" t="e">
        <f t="shared" si="16"/>
        <v>#DIV/0!</v>
      </c>
    </row>
    <row r="77" spans="1:51" x14ac:dyDescent="0.3">
      <c r="A77" s="7"/>
      <c r="D77" s="9"/>
      <c r="E77" s="10"/>
      <c r="F77" s="11"/>
      <c r="G77" s="10"/>
      <c r="H77" s="10"/>
      <c r="I77" s="12"/>
      <c r="J77" s="30"/>
      <c r="K77" s="33"/>
      <c r="L77" s="36"/>
      <c r="M77" s="39"/>
      <c r="N77" s="30"/>
      <c r="O77" s="30"/>
      <c r="P77" s="33"/>
      <c r="Q77" s="36"/>
      <c r="R77" s="41"/>
      <c r="S77" s="30"/>
      <c r="T77" s="33"/>
      <c r="U77" s="36"/>
      <c r="V77" s="41"/>
      <c r="W77" s="281"/>
      <c r="X77" s="279"/>
      <c r="Y77" s="280"/>
      <c r="AA77" s="281"/>
      <c r="AB77" s="303"/>
      <c r="AC77" s="303"/>
      <c r="AE77" s="301"/>
      <c r="AG77" s="281"/>
      <c r="AH77" s="281"/>
      <c r="AI77" s="280"/>
      <c r="AJ77" s="60"/>
      <c r="AK77" s="280"/>
      <c r="AL77" s="60"/>
      <c r="AN77" s="293"/>
      <c r="AO77" s="281"/>
      <c r="AR77" s="281"/>
      <c r="AT77" s="60"/>
      <c r="AU77" s="60"/>
      <c r="AV77" s="296"/>
      <c r="AX77" s="10"/>
      <c r="AY77" s="307"/>
    </row>
    <row r="78" spans="1:51" x14ac:dyDescent="0.3">
      <c r="A78" s="7" t="s">
        <v>70</v>
      </c>
      <c r="D78" s="9"/>
      <c r="E78" s="10"/>
      <c r="F78" s="11"/>
      <c r="G78" s="10"/>
      <c r="H78" s="10"/>
      <c r="I78" s="12"/>
      <c r="J78" s="30"/>
      <c r="K78" s="33"/>
      <c r="L78" s="36"/>
      <c r="M78" s="39"/>
      <c r="N78" s="30"/>
      <c r="O78" s="30"/>
      <c r="P78" s="33"/>
      <c r="Q78" s="36"/>
      <c r="R78" s="41"/>
      <c r="S78" s="30"/>
      <c r="T78" s="33"/>
      <c r="U78" s="36"/>
      <c r="V78" s="41"/>
      <c r="W78" s="281"/>
      <c r="X78" s="279"/>
      <c r="Y78" s="280"/>
      <c r="AA78" s="281"/>
      <c r="AB78" s="303"/>
      <c r="AC78" s="303"/>
      <c r="AG78" s="281"/>
      <c r="AH78" s="281"/>
      <c r="AI78" s="280"/>
      <c r="AJ78" s="60"/>
      <c r="AK78" s="280"/>
      <c r="AL78" s="60"/>
      <c r="AN78" s="293"/>
      <c r="AO78" s="281"/>
      <c r="AR78" s="281"/>
      <c r="AV78"/>
      <c r="AX78" s="10"/>
      <c r="AY78" s="307"/>
    </row>
    <row r="79" spans="1:51" x14ac:dyDescent="0.3">
      <c r="A79" s="7" t="s">
        <v>34</v>
      </c>
      <c r="D79" s="9"/>
      <c r="E79" s="10"/>
      <c r="F79" s="11"/>
      <c r="G79" s="10"/>
      <c r="H79" s="10"/>
      <c r="I79" s="12"/>
      <c r="J79" s="30">
        <f>30000/10^6</f>
        <v>0.03</v>
      </c>
      <c r="K79" s="33"/>
      <c r="L79" s="36"/>
      <c r="M79" s="39"/>
      <c r="N79" s="30"/>
      <c r="O79" s="30"/>
      <c r="P79" s="33"/>
      <c r="Q79" s="36"/>
      <c r="R79" s="41"/>
      <c r="S79" s="30"/>
      <c r="T79" s="33"/>
      <c r="U79" s="36"/>
      <c r="V79" s="41"/>
      <c r="W79" s="281"/>
      <c r="X79" s="279"/>
      <c r="Y79" s="280"/>
      <c r="AA79" s="281"/>
      <c r="AB79" s="303"/>
      <c r="AC79" s="303"/>
      <c r="AD79">
        <f t="shared" si="9"/>
        <v>0</v>
      </c>
      <c r="AE79" s="301" t="e">
        <f t="shared" si="10"/>
        <v>#DIV/0!</v>
      </c>
      <c r="AG79" s="281"/>
      <c r="AH79" s="281"/>
      <c r="AI79" s="280"/>
      <c r="AJ79" s="60"/>
      <c r="AK79" s="280"/>
      <c r="AL79" s="60"/>
      <c r="AN79" s="293">
        <v>0.39</v>
      </c>
      <c r="AO79" s="293">
        <v>0.1</v>
      </c>
      <c r="AP79" s="60" t="e">
        <f t="shared" si="11"/>
        <v>#DIV/0!</v>
      </c>
      <c r="AR79" s="297">
        <v>0.39</v>
      </c>
      <c r="AT79" s="60" t="e">
        <f t="shared" si="12"/>
        <v>#DIV/0!</v>
      </c>
      <c r="AU79" s="60">
        <f t="shared" si="13"/>
        <v>0</v>
      </c>
      <c r="AV79" s="296" t="e">
        <f t="shared" si="14"/>
        <v>#DIV/0!</v>
      </c>
      <c r="AW79" t="s">
        <v>70</v>
      </c>
      <c r="AX79" s="10">
        <f t="shared" si="15"/>
        <v>0</v>
      </c>
      <c r="AY79" s="307" t="e">
        <f t="shared" si="16"/>
        <v>#DIV/0!</v>
      </c>
    </row>
    <row r="80" spans="1:51" x14ac:dyDescent="0.3">
      <c r="A80" s="44" t="s">
        <v>46</v>
      </c>
      <c r="B80" s="45" t="s">
        <v>47</v>
      </c>
      <c r="C80" s="46" t="str">
        <f>[37]Input!$B$3</f>
        <v xml:space="preserve">  9 Months</v>
      </c>
      <c r="D80" s="47">
        <f>[37]Input!$B$5</f>
        <v>2729</v>
      </c>
      <c r="E80" s="48">
        <f>'[37]Summary - Program Period'!$C$16</f>
        <v>2.1699999999999964</v>
      </c>
      <c r="F80" s="49">
        <f>[37]Input!$Q$6</f>
        <v>2.9427719012747433E-2</v>
      </c>
      <c r="G80" s="48">
        <f>'[37]Summary - Program Period'!$C$28</f>
        <v>5.0999999999999996</v>
      </c>
      <c r="H80" s="48">
        <f>'[37]Summary - Program Period'!$C$25</f>
        <v>17.117029374233631</v>
      </c>
      <c r="I80" s="50">
        <f>[37]Input!$B$7</f>
        <v>1.63</v>
      </c>
      <c r="J80" s="30">
        <f>30000/10^6</f>
        <v>0.03</v>
      </c>
      <c r="K80" s="33"/>
      <c r="L80" s="36"/>
      <c r="M80" s="39"/>
      <c r="N80" s="30"/>
      <c r="O80" s="30"/>
      <c r="P80" s="33"/>
      <c r="Q80" s="36"/>
      <c r="R80" s="41"/>
      <c r="S80" s="30"/>
      <c r="T80" s="33"/>
      <c r="U80" s="36"/>
      <c r="V80" s="41"/>
      <c r="W80" s="281" t="s">
        <v>91</v>
      </c>
      <c r="X80" s="279">
        <v>2729</v>
      </c>
      <c r="Y80" s="280">
        <v>1.63</v>
      </c>
      <c r="AA80" s="281" t="s">
        <v>203</v>
      </c>
      <c r="AB80" s="303">
        <v>75.91</v>
      </c>
      <c r="AC80" s="303">
        <v>73.739999999999995</v>
      </c>
      <c r="AD80">
        <f t="shared" si="9"/>
        <v>2.1700000000000017</v>
      </c>
      <c r="AE80" s="301">
        <f t="shared" si="10"/>
        <v>2.9427719012747516E-2</v>
      </c>
      <c r="AG80" s="281">
        <v>2011</v>
      </c>
      <c r="AH80" s="281">
        <v>2011</v>
      </c>
      <c r="AI80" s="280">
        <v>14.4</v>
      </c>
      <c r="AJ80" s="304">
        <f>AI80*(1-Discs.ProductCost.Royalty!L42-Discs.ProductCost.Royalty!C42)*(1-Discs.ProductCost.Royalty!W42)</f>
        <v>13.531006295277543</v>
      </c>
      <c r="AK80" s="280">
        <v>14.4</v>
      </c>
      <c r="AL80" s="304">
        <f>AK80*(1-Discs.ProductCost.Royalty!L42-Discs.ProductCost.Royalty!C42)*(1-Discs.ProductCost.Royalty!W42)</f>
        <v>13.531006295277543</v>
      </c>
      <c r="AN80" s="293">
        <v>0.39</v>
      </c>
      <c r="AO80" s="293">
        <v>0.1</v>
      </c>
      <c r="AP80" s="60">
        <f t="shared" si="11"/>
        <v>7.8697980614101777</v>
      </c>
      <c r="AR80" s="297">
        <v>0.39</v>
      </c>
      <c r="AT80" s="60">
        <f t="shared" si="12"/>
        <v>17.077461793260099</v>
      </c>
      <c r="AU80" s="60">
        <f t="shared" si="13"/>
        <v>0.94802785248689236</v>
      </c>
      <c r="AV80" s="296">
        <f t="shared" si="14"/>
        <v>18.013670957516741</v>
      </c>
      <c r="AW80" t="s">
        <v>70</v>
      </c>
      <c r="AX80" s="10">
        <f t="shared" si="15"/>
        <v>17.117029374233631</v>
      </c>
      <c r="AY80" s="307">
        <f t="shared" si="16"/>
        <v>0.89664158328310961</v>
      </c>
    </row>
    <row r="81" spans="1:51" x14ac:dyDescent="0.3">
      <c r="A81" s="7"/>
      <c r="D81" s="9"/>
      <c r="E81" s="10"/>
      <c r="F81" s="11"/>
      <c r="G81" s="10"/>
      <c r="H81" s="10"/>
      <c r="I81" s="12"/>
      <c r="J81" s="30"/>
      <c r="K81" s="33"/>
      <c r="L81" s="36"/>
      <c r="M81" s="39"/>
      <c r="N81" s="30"/>
      <c r="O81" s="30"/>
      <c r="P81" s="33"/>
      <c r="Q81" s="36"/>
      <c r="R81" s="41"/>
      <c r="S81" s="30"/>
      <c r="T81" s="33"/>
      <c r="U81" s="36"/>
      <c r="V81" s="41"/>
      <c r="W81" s="281"/>
      <c r="X81" s="279"/>
      <c r="Y81" s="280"/>
      <c r="AA81" s="281"/>
      <c r="AB81" s="303"/>
      <c r="AC81" s="303"/>
      <c r="AD81">
        <f t="shared" si="9"/>
        <v>0</v>
      </c>
      <c r="AE81" s="301" t="e">
        <f t="shared" si="10"/>
        <v>#DIV/0!</v>
      </c>
      <c r="AG81" s="281"/>
      <c r="AH81" s="281"/>
      <c r="AI81" s="280"/>
      <c r="AJ81" s="60"/>
      <c r="AK81" s="280"/>
      <c r="AL81" s="60"/>
      <c r="AN81" s="293"/>
      <c r="AO81" s="281"/>
      <c r="AP81" s="60"/>
      <c r="AR81" s="281"/>
      <c r="AT81" s="60"/>
      <c r="AU81" s="60"/>
      <c r="AV81" s="296"/>
      <c r="AX81" s="10"/>
      <c r="AY81" s="286"/>
    </row>
    <row r="82" spans="1:51" x14ac:dyDescent="0.3">
      <c r="A82" s="7" t="s">
        <v>71</v>
      </c>
      <c r="D82" s="9"/>
      <c r="E82" s="10"/>
      <c r="F82" s="11"/>
      <c r="G82" s="10"/>
      <c r="H82" s="10"/>
      <c r="I82" s="12"/>
      <c r="J82" s="30"/>
      <c r="K82" s="33"/>
      <c r="L82" s="36"/>
      <c r="M82" s="39"/>
      <c r="N82" s="30"/>
      <c r="O82" s="30"/>
      <c r="P82" s="33"/>
      <c r="Q82" s="36"/>
      <c r="R82" s="41"/>
      <c r="S82" s="30"/>
      <c r="T82" s="33"/>
      <c r="U82" s="36"/>
      <c r="V82" s="41"/>
      <c r="W82" s="281"/>
      <c r="X82" s="279"/>
      <c r="Y82" s="280"/>
      <c r="AA82" s="281"/>
      <c r="AB82" s="303"/>
      <c r="AC82" s="303"/>
      <c r="AE82" s="301"/>
      <c r="AG82" s="281"/>
      <c r="AH82" s="281"/>
      <c r="AI82" s="280"/>
      <c r="AJ82" s="60"/>
      <c r="AK82" s="280"/>
      <c r="AL82" s="60"/>
      <c r="AN82" s="293"/>
      <c r="AO82" s="281"/>
      <c r="AR82" s="281"/>
      <c r="AV82"/>
      <c r="AX82" s="10"/>
      <c r="AY82" s="286"/>
    </row>
    <row r="83" spans="1:51" x14ac:dyDescent="0.3">
      <c r="A83" s="7" t="s">
        <v>46</v>
      </c>
      <c r="B83" s="14" t="s">
        <v>72</v>
      </c>
      <c r="D83" s="9"/>
      <c r="E83" s="10"/>
      <c r="F83" s="11"/>
      <c r="G83" s="10"/>
      <c r="H83" s="10"/>
      <c r="I83" s="12"/>
      <c r="J83" s="30">
        <f>250000/10^6</f>
        <v>0.25</v>
      </c>
      <c r="K83" s="33"/>
      <c r="L83" s="36"/>
      <c r="M83" s="39"/>
      <c r="N83" s="30"/>
      <c r="O83" s="30"/>
      <c r="P83" s="33"/>
      <c r="Q83" s="36"/>
      <c r="R83" s="41"/>
      <c r="S83" s="30"/>
      <c r="T83" s="33"/>
      <c r="U83" s="36"/>
      <c r="V83" s="41"/>
      <c r="W83" s="281"/>
      <c r="X83" s="279"/>
      <c r="Y83" s="280"/>
      <c r="AA83" s="281"/>
      <c r="AB83" s="303"/>
      <c r="AC83" s="303"/>
      <c r="AD83">
        <f t="shared" si="9"/>
        <v>0</v>
      </c>
      <c r="AE83" s="301" t="e">
        <f t="shared" si="10"/>
        <v>#DIV/0!</v>
      </c>
      <c r="AG83" s="281"/>
      <c r="AH83" s="281"/>
      <c r="AI83" s="280"/>
      <c r="AJ83" s="60"/>
      <c r="AK83" s="280"/>
      <c r="AL83" s="60"/>
      <c r="AN83" s="293">
        <v>0.39</v>
      </c>
      <c r="AO83" s="293">
        <v>0.1</v>
      </c>
      <c r="AP83" s="60" t="e">
        <f t="shared" si="11"/>
        <v>#DIV/0!</v>
      </c>
      <c r="AR83" s="293">
        <v>0.39</v>
      </c>
      <c r="AT83" s="60" t="e">
        <f t="shared" si="12"/>
        <v>#DIV/0!</v>
      </c>
      <c r="AU83" s="60">
        <f t="shared" si="13"/>
        <v>0</v>
      </c>
      <c r="AV83" s="296" t="e">
        <f t="shared" si="14"/>
        <v>#DIV/0!</v>
      </c>
      <c r="AW83" t="s">
        <v>71</v>
      </c>
      <c r="AX83" s="10"/>
      <c r="AY83" s="286"/>
    </row>
    <row r="84" spans="1:51" x14ac:dyDescent="0.3">
      <c r="A84" s="7"/>
      <c r="D84" s="9"/>
      <c r="E84" s="10"/>
      <c r="F84" s="11"/>
      <c r="G84" s="10"/>
      <c r="H84" s="10"/>
      <c r="I84" s="12"/>
      <c r="J84" s="30"/>
      <c r="K84" s="33"/>
      <c r="L84" s="36"/>
      <c r="M84" s="39"/>
      <c r="N84" s="30"/>
      <c r="O84" s="30"/>
      <c r="P84" s="33"/>
      <c r="Q84" s="36"/>
      <c r="R84" s="41"/>
      <c r="S84" s="30"/>
      <c r="T84" s="33"/>
      <c r="U84" s="36"/>
      <c r="V84" s="41"/>
      <c r="AX84" s="10"/>
    </row>
    <row r="85" spans="1:51" ht="15" thickBot="1" x14ac:dyDescent="0.35">
      <c r="A85" s="17" t="s">
        <v>11</v>
      </c>
      <c r="B85" s="43"/>
      <c r="C85" s="18"/>
      <c r="D85" s="17"/>
      <c r="E85" s="19"/>
      <c r="F85" s="20"/>
      <c r="G85" s="19"/>
      <c r="H85" s="19"/>
      <c r="I85" s="21"/>
      <c r="J85" s="31">
        <f>SUM(J4:J76)</f>
        <v>35.265082</v>
      </c>
      <c r="K85" s="34"/>
      <c r="L85" s="37"/>
      <c r="M85" s="40"/>
      <c r="N85" s="31">
        <f>'[6]Aug 2013 Forecast '!$P$57/1000</f>
        <v>17.181999999999999</v>
      </c>
      <c r="O85" s="31"/>
      <c r="P85" s="34"/>
      <c r="Q85" s="37"/>
      <c r="R85" s="42"/>
      <c r="S85" s="31"/>
      <c r="T85" s="34"/>
      <c r="U85" s="37"/>
      <c r="V85" s="42"/>
      <c r="AX85" s="19"/>
    </row>
    <row r="86" spans="1:51" ht="15" thickTop="1" x14ac:dyDescent="0.3">
      <c r="A86" t="s">
        <v>12</v>
      </c>
      <c r="E86" s="10"/>
      <c r="F86" s="11"/>
      <c r="G86" s="10"/>
      <c r="H86" s="10"/>
      <c r="I86" s="12"/>
      <c r="N86" s="3">
        <f>SUM($N$5,$N$17,$N$28,$N$34,$N$36,$N$40,$N$45,$N$47,$N$53,$N$85)</f>
        <v>59.382000000000005</v>
      </c>
      <c r="O86" s="3"/>
      <c r="P86" s="3"/>
      <c r="Q86" s="3"/>
      <c r="S86" s="3"/>
      <c r="T86" s="3"/>
      <c r="U86" s="3"/>
      <c r="AX86" s="10"/>
    </row>
    <row r="87" spans="1:51" x14ac:dyDescent="0.3">
      <c r="A87" t="s">
        <v>13</v>
      </c>
      <c r="E87" s="10"/>
      <c r="F87" s="11"/>
      <c r="G87" s="10"/>
      <c r="H87" s="10"/>
      <c r="I87" s="12"/>
      <c r="N87" s="4">
        <f>$N$86*1000-'[6]Aug 2013 Forecast '!$P$4</f>
        <v>0</v>
      </c>
      <c r="O87" s="4"/>
      <c r="P87" s="4"/>
      <c r="Q87" s="4"/>
      <c r="S87" s="4"/>
      <c r="T87" s="4"/>
      <c r="U87" s="4"/>
      <c r="AX87" s="10"/>
    </row>
    <row r="89" spans="1:51" x14ac:dyDescent="0.3">
      <c r="A89" t="s">
        <v>14</v>
      </c>
      <c r="N89">
        <v>15.7</v>
      </c>
    </row>
    <row r="90" spans="1:51" x14ac:dyDescent="0.3">
      <c r="A90" t="s">
        <v>15</v>
      </c>
      <c r="N90">
        <v>11.1</v>
      </c>
    </row>
    <row r="91" spans="1:51" x14ac:dyDescent="0.3">
      <c r="A91" t="s">
        <v>16</v>
      </c>
      <c r="N91">
        <v>8.1</v>
      </c>
    </row>
    <row r="92" spans="1:51" x14ac:dyDescent="0.3">
      <c r="A92" s="22" t="s">
        <v>17</v>
      </c>
      <c r="B92" s="23"/>
      <c r="C92" s="24"/>
      <c r="D92" s="22"/>
      <c r="E92" s="22"/>
      <c r="F92" s="22"/>
      <c r="G92" s="22"/>
      <c r="H92" s="22"/>
      <c r="I92" s="22"/>
      <c r="J92" s="22"/>
      <c r="K92" s="22"/>
      <c r="L92" s="22"/>
      <c r="M92" s="22"/>
      <c r="N92" s="22">
        <v>1.9</v>
      </c>
      <c r="O92" s="27"/>
      <c r="P92" s="27"/>
      <c r="Q92" s="27"/>
      <c r="R92" s="26"/>
      <c r="S92" s="27"/>
      <c r="T92" s="27"/>
      <c r="U92" s="27"/>
      <c r="V92" s="26"/>
      <c r="AX92" s="22"/>
    </row>
    <row r="93" spans="1:51" x14ac:dyDescent="0.3">
      <c r="A93" t="s">
        <v>12</v>
      </c>
      <c r="N93">
        <f>SUM(N89:N92)</f>
        <v>36.799999999999997</v>
      </c>
    </row>
  </sheetData>
  <conditionalFormatting sqref="AY6:AY83">
    <cfRule type="cellIs" dxfId="2" priority="3" operator="greaterThan">
      <formula>1</formula>
    </cfRule>
    <cfRule type="cellIs" dxfId="1" priority="2" operator="between">
      <formula>-1</formula>
      <formula>1</formula>
    </cfRule>
    <cfRule type="cellIs" dxfId="0" priority="1" operator="lessThan">
      <formula>-1</formula>
    </cfRule>
  </conditionalFormatting>
  <dataValidations count="1">
    <dataValidation type="list" allowBlank="1" showInputMessage="1" showErrorMessage="1" sqref="W4:W1048576">
      <formula1>"Patients, Messages"</formula1>
    </dataValidation>
  </dataValidations>
  <printOptions horizontalCentered="1"/>
  <pageMargins left="0.25" right="0.25" top="0.25" bottom="0.25" header="0.3" footer="0.3"/>
  <pageSetup scale="44"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61"/>
  <sheetViews>
    <sheetView zoomScale="80" zoomScaleNormal="80" zoomScaleSheetLayoutView="100" workbookViewId="0">
      <pane xSplit="2" ySplit="4" topLeftCell="C5" activePane="bottomRight" state="frozen"/>
      <selection pane="topRight" activeCell="C1" sqref="C1"/>
      <selection pane="bottomLeft" activeCell="A6" sqref="A6"/>
      <selection pane="bottomRight" activeCell="B39" sqref="B39"/>
    </sheetView>
  </sheetViews>
  <sheetFormatPr defaultRowHeight="13.2" outlineLevelCol="1" x14ac:dyDescent="0.25"/>
  <cols>
    <col min="1" max="1" width="3" style="119" customWidth="1"/>
    <col min="2" max="2" width="19.44140625" style="161" customWidth="1"/>
    <col min="3" max="3" width="15.33203125" style="153" customWidth="1"/>
    <col min="4" max="4" width="14" style="153" customWidth="1"/>
    <col min="5" max="5" width="18.5546875" style="154" customWidth="1"/>
    <col min="6" max="6" width="17.109375" style="155" customWidth="1"/>
    <col min="7" max="10" width="14.33203125" style="119" customWidth="1"/>
    <col min="11" max="12" width="12.33203125" style="119" customWidth="1" outlineLevel="1"/>
    <col min="13" max="13" width="14.33203125" style="157" customWidth="1"/>
    <col min="14" max="14" width="28.6640625" style="158" customWidth="1"/>
    <col min="15" max="15" width="45" style="237" customWidth="1"/>
    <col min="16" max="256" width="9.109375" style="119"/>
    <col min="257" max="257" width="3" style="119" customWidth="1"/>
    <col min="258" max="258" width="19.44140625" style="119" customWidth="1"/>
    <col min="259" max="259" width="15.33203125" style="119" customWidth="1"/>
    <col min="260" max="260" width="14" style="119" customWidth="1"/>
    <col min="261" max="261" width="18.5546875" style="119" customWidth="1"/>
    <col min="262" max="262" width="17.109375" style="119" customWidth="1"/>
    <col min="263" max="266" width="14.33203125" style="119" customWidth="1"/>
    <col min="267" max="268" width="12.33203125" style="119" customWidth="1"/>
    <col min="269" max="269" width="14.33203125" style="119" customWidth="1"/>
    <col min="270" max="270" width="28.6640625" style="119" customWidth="1"/>
    <col min="271" max="271" width="45" style="119" customWidth="1"/>
    <col min="272" max="512" width="9.109375" style="119"/>
    <col min="513" max="513" width="3" style="119" customWidth="1"/>
    <col min="514" max="514" width="19.44140625" style="119" customWidth="1"/>
    <col min="515" max="515" width="15.33203125" style="119" customWidth="1"/>
    <col min="516" max="516" width="14" style="119" customWidth="1"/>
    <col min="517" max="517" width="18.5546875" style="119" customWidth="1"/>
    <col min="518" max="518" width="17.109375" style="119" customWidth="1"/>
    <col min="519" max="522" width="14.33203125" style="119" customWidth="1"/>
    <col min="523" max="524" width="12.33203125" style="119" customWidth="1"/>
    <col min="525" max="525" width="14.33203125" style="119" customWidth="1"/>
    <col min="526" max="526" width="28.6640625" style="119" customWidth="1"/>
    <col min="527" max="527" width="45" style="119" customWidth="1"/>
    <col min="528" max="768" width="9.109375" style="119"/>
    <col min="769" max="769" width="3" style="119" customWidth="1"/>
    <col min="770" max="770" width="19.44140625" style="119" customWidth="1"/>
    <col min="771" max="771" width="15.33203125" style="119" customWidth="1"/>
    <col min="772" max="772" width="14" style="119" customWidth="1"/>
    <col min="773" max="773" width="18.5546875" style="119" customWidth="1"/>
    <col min="774" max="774" width="17.109375" style="119" customWidth="1"/>
    <col min="775" max="778" width="14.33203125" style="119" customWidth="1"/>
    <col min="779" max="780" width="12.33203125" style="119" customWidth="1"/>
    <col min="781" max="781" width="14.33203125" style="119" customWidth="1"/>
    <col min="782" max="782" width="28.6640625" style="119" customWidth="1"/>
    <col min="783" max="783" width="45" style="119" customWidth="1"/>
    <col min="784" max="1024" width="9.109375" style="119"/>
    <col min="1025" max="1025" width="3" style="119" customWidth="1"/>
    <col min="1026" max="1026" width="19.44140625" style="119" customWidth="1"/>
    <col min="1027" max="1027" width="15.33203125" style="119" customWidth="1"/>
    <col min="1028" max="1028" width="14" style="119" customWidth="1"/>
    <col min="1029" max="1029" width="18.5546875" style="119" customWidth="1"/>
    <col min="1030" max="1030" width="17.109375" style="119" customWidth="1"/>
    <col min="1031" max="1034" width="14.33203125" style="119" customWidth="1"/>
    <col min="1035" max="1036" width="12.33203125" style="119" customWidth="1"/>
    <col min="1037" max="1037" width="14.33203125" style="119" customWidth="1"/>
    <col min="1038" max="1038" width="28.6640625" style="119" customWidth="1"/>
    <col min="1039" max="1039" width="45" style="119" customWidth="1"/>
    <col min="1040" max="1280" width="9.109375" style="119"/>
    <col min="1281" max="1281" width="3" style="119" customWidth="1"/>
    <col min="1282" max="1282" width="19.44140625" style="119" customWidth="1"/>
    <col min="1283" max="1283" width="15.33203125" style="119" customWidth="1"/>
    <col min="1284" max="1284" width="14" style="119" customWidth="1"/>
    <col min="1285" max="1285" width="18.5546875" style="119" customWidth="1"/>
    <col min="1286" max="1286" width="17.109375" style="119" customWidth="1"/>
    <col min="1287" max="1290" width="14.33203125" style="119" customWidth="1"/>
    <col min="1291" max="1292" width="12.33203125" style="119" customWidth="1"/>
    <col min="1293" max="1293" width="14.33203125" style="119" customWidth="1"/>
    <col min="1294" max="1294" width="28.6640625" style="119" customWidth="1"/>
    <col min="1295" max="1295" width="45" style="119" customWidth="1"/>
    <col min="1296" max="1536" width="9.109375" style="119"/>
    <col min="1537" max="1537" width="3" style="119" customWidth="1"/>
    <col min="1538" max="1538" width="19.44140625" style="119" customWidth="1"/>
    <col min="1539" max="1539" width="15.33203125" style="119" customWidth="1"/>
    <col min="1540" max="1540" width="14" style="119" customWidth="1"/>
    <col min="1541" max="1541" width="18.5546875" style="119" customWidth="1"/>
    <col min="1542" max="1542" width="17.109375" style="119" customWidth="1"/>
    <col min="1543" max="1546" width="14.33203125" style="119" customWidth="1"/>
    <col min="1547" max="1548" width="12.33203125" style="119" customWidth="1"/>
    <col min="1549" max="1549" width="14.33203125" style="119" customWidth="1"/>
    <col min="1550" max="1550" width="28.6640625" style="119" customWidth="1"/>
    <col min="1551" max="1551" width="45" style="119" customWidth="1"/>
    <col min="1552" max="1792" width="9.109375" style="119"/>
    <col min="1793" max="1793" width="3" style="119" customWidth="1"/>
    <col min="1794" max="1794" width="19.44140625" style="119" customWidth="1"/>
    <col min="1795" max="1795" width="15.33203125" style="119" customWidth="1"/>
    <col min="1796" max="1796" width="14" style="119" customWidth="1"/>
    <col min="1797" max="1797" width="18.5546875" style="119" customWidth="1"/>
    <col min="1798" max="1798" width="17.109375" style="119" customWidth="1"/>
    <col min="1799" max="1802" width="14.33203125" style="119" customWidth="1"/>
    <col min="1803" max="1804" width="12.33203125" style="119" customWidth="1"/>
    <col min="1805" max="1805" width="14.33203125" style="119" customWidth="1"/>
    <col min="1806" max="1806" width="28.6640625" style="119" customWidth="1"/>
    <col min="1807" max="1807" width="45" style="119" customWidth="1"/>
    <col min="1808" max="2048" width="9.109375" style="119"/>
    <col min="2049" max="2049" width="3" style="119" customWidth="1"/>
    <col min="2050" max="2050" width="19.44140625" style="119" customWidth="1"/>
    <col min="2051" max="2051" width="15.33203125" style="119" customWidth="1"/>
    <col min="2052" max="2052" width="14" style="119" customWidth="1"/>
    <col min="2053" max="2053" width="18.5546875" style="119" customWidth="1"/>
    <col min="2054" max="2054" width="17.109375" style="119" customWidth="1"/>
    <col min="2055" max="2058" width="14.33203125" style="119" customWidth="1"/>
    <col min="2059" max="2060" width="12.33203125" style="119" customWidth="1"/>
    <col min="2061" max="2061" width="14.33203125" style="119" customWidth="1"/>
    <col min="2062" max="2062" width="28.6640625" style="119" customWidth="1"/>
    <col min="2063" max="2063" width="45" style="119" customWidth="1"/>
    <col min="2064" max="2304" width="9.109375" style="119"/>
    <col min="2305" max="2305" width="3" style="119" customWidth="1"/>
    <col min="2306" max="2306" width="19.44140625" style="119" customWidth="1"/>
    <col min="2307" max="2307" width="15.33203125" style="119" customWidth="1"/>
    <col min="2308" max="2308" width="14" style="119" customWidth="1"/>
    <col min="2309" max="2309" width="18.5546875" style="119" customWidth="1"/>
    <col min="2310" max="2310" width="17.109375" style="119" customWidth="1"/>
    <col min="2311" max="2314" width="14.33203125" style="119" customWidth="1"/>
    <col min="2315" max="2316" width="12.33203125" style="119" customWidth="1"/>
    <col min="2317" max="2317" width="14.33203125" style="119" customWidth="1"/>
    <col min="2318" max="2318" width="28.6640625" style="119" customWidth="1"/>
    <col min="2319" max="2319" width="45" style="119" customWidth="1"/>
    <col min="2320" max="2560" width="9.109375" style="119"/>
    <col min="2561" max="2561" width="3" style="119" customWidth="1"/>
    <col min="2562" max="2562" width="19.44140625" style="119" customWidth="1"/>
    <col min="2563" max="2563" width="15.33203125" style="119" customWidth="1"/>
    <col min="2564" max="2564" width="14" style="119" customWidth="1"/>
    <col min="2565" max="2565" width="18.5546875" style="119" customWidth="1"/>
    <col min="2566" max="2566" width="17.109375" style="119" customWidth="1"/>
    <col min="2567" max="2570" width="14.33203125" style="119" customWidth="1"/>
    <col min="2571" max="2572" width="12.33203125" style="119" customWidth="1"/>
    <col min="2573" max="2573" width="14.33203125" style="119" customWidth="1"/>
    <col min="2574" max="2574" width="28.6640625" style="119" customWidth="1"/>
    <col min="2575" max="2575" width="45" style="119" customWidth="1"/>
    <col min="2576" max="2816" width="9.109375" style="119"/>
    <col min="2817" max="2817" width="3" style="119" customWidth="1"/>
    <col min="2818" max="2818" width="19.44140625" style="119" customWidth="1"/>
    <col min="2819" max="2819" width="15.33203125" style="119" customWidth="1"/>
    <col min="2820" max="2820" width="14" style="119" customWidth="1"/>
    <col min="2821" max="2821" width="18.5546875" style="119" customWidth="1"/>
    <col min="2822" max="2822" width="17.109375" style="119" customWidth="1"/>
    <col min="2823" max="2826" width="14.33203125" style="119" customWidth="1"/>
    <col min="2827" max="2828" width="12.33203125" style="119" customWidth="1"/>
    <col min="2829" max="2829" width="14.33203125" style="119" customWidth="1"/>
    <col min="2830" max="2830" width="28.6640625" style="119" customWidth="1"/>
    <col min="2831" max="2831" width="45" style="119" customWidth="1"/>
    <col min="2832" max="3072" width="9.109375" style="119"/>
    <col min="3073" max="3073" width="3" style="119" customWidth="1"/>
    <col min="3074" max="3074" width="19.44140625" style="119" customWidth="1"/>
    <col min="3075" max="3075" width="15.33203125" style="119" customWidth="1"/>
    <col min="3076" max="3076" width="14" style="119" customWidth="1"/>
    <col min="3077" max="3077" width="18.5546875" style="119" customWidth="1"/>
    <col min="3078" max="3078" width="17.109375" style="119" customWidth="1"/>
    <col min="3079" max="3082" width="14.33203125" style="119" customWidth="1"/>
    <col min="3083" max="3084" width="12.33203125" style="119" customWidth="1"/>
    <col min="3085" max="3085" width="14.33203125" style="119" customWidth="1"/>
    <col min="3086" max="3086" width="28.6640625" style="119" customWidth="1"/>
    <col min="3087" max="3087" width="45" style="119" customWidth="1"/>
    <col min="3088" max="3328" width="9.109375" style="119"/>
    <col min="3329" max="3329" width="3" style="119" customWidth="1"/>
    <col min="3330" max="3330" width="19.44140625" style="119" customWidth="1"/>
    <col min="3331" max="3331" width="15.33203125" style="119" customWidth="1"/>
    <col min="3332" max="3332" width="14" style="119" customWidth="1"/>
    <col min="3333" max="3333" width="18.5546875" style="119" customWidth="1"/>
    <col min="3334" max="3334" width="17.109375" style="119" customWidth="1"/>
    <col min="3335" max="3338" width="14.33203125" style="119" customWidth="1"/>
    <col min="3339" max="3340" width="12.33203125" style="119" customWidth="1"/>
    <col min="3341" max="3341" width="14.33203125" style="119" customWidth="1"/>
    <col min="3342" max="3342" width="28.6640625" style="119" customWidth="1"/>
    <col min="3343" max="3343" width="45" style="119" customWidth="1"/>
    <col min="3344" max="3584" width="9.109375" style="119"/>
    <col min="3585" max="3585" width="3" style="119" customWidth="1"/>
    <col min="3586" max="3586" width="19.44140625" style="119" customWidth="1"/>
    <col min="3587" max="3587" width="15.33203125" style="119" customWidth="1"/>
    <col min="3588" max="3588" width="14" style="119" customWidth="1"/>
    <col min="3589" max="3589" width="18.5546875" style="119" customWidth="1"/>
    <col min="3590" max="3590" width="17.109375" style="119" customWidth="1"/>
    <col min="3591" max="3594" width="14.33203125" style="119" customWidth="1"/>
    <col min="3595" max="3596" width="12.33203125" style="119" customWidth="1"/>
    <col min="3597" max="3597" width="14.33203125" style="119" customWidth="1"/>
    <col min="3598" max="3598" width="28.6640625" style="119" customWidth="1"/>
    <col min="3599" max="3599" width="45" style="119" customWidth="1"/>
    <col min="3600" max="3840" width="9.109375" style="119"/>
    <col min="3841" max="3841" width="3" style="119" customWidth="1"/>
    <col min="3842" max="3842" width="19.44140625" style="119" customWidth="1"/>
    <col min="3843" max="3843" width="15.33203125" style="119" customWidth="1"/>
    <col min="3844" max="3844" width="14" style="119" customWidth="1"/>
    <col min="3845" max="3845" width="18.5546875" style="119" customWidth="1"/>
    <col min="3846" max="3846" width="17.109375" style="119" customWidth="1"/>
    <col min="3847" max="3850" width="14.33203125" style="119" customWidth="1"/>
    <col min="3851" max="3852" width="12.33203125" style="119" customWidth="1"/>
    <col min="3853" max="3853" width="14.33203125" style="119" customWidth="1"/>
    <col min="3854" max="3854" width="28.6640625" style="119" customWidth="1"/>
    <col min="3855" max="3855" width="45" style="119" customWidth="1"/>
    <col min="3856" max="4096" width="9.109375" style="119"/>
    <col min="4097" max="4097" width="3" style="119" customWidth="1"/>
    <col min="4098" max="4098" width="19.44140625" style="119" customWidth="1"/>
    <col min="4099" max="4099" width="15.33203125" style="119" customWidth="1"/>
    <col min="4100" max="4100" width="14" style="119" customWidth="1"/>
    <col min="4101" max="4101" width="18.5546875" style="119" customWidth="1"/>
    <col min="4102" max="4102" width="17.109375" style="119" customWidth="1"/>
    <col min="4103" max="4106" width="14.33203125" style="119" customWidth="1"/>
    <col min="4107" max="4108" width="12.33203125" style="119" customWidth="1"/>
    <col min="4109" max="4109" width="14.33203125" style="119" customWidth="1"/>
    <col min="4110" max="4110" width="28.6640625" style="119" customWidth="1"/>
    <col min="4111" max="4111" width="45" style="119" customWidth="1"/>
    <col min="4112" max="4352" width="9.109375" style="119"/>
    <col min="4353" max="4353" width="3" style="119" customWidth="1"/>
    <col min="4354" max="4354" width="19.44140625" style="119" customWidth="1"/>
    <col min="4355" max="4355" width="15.33203125" style="119" customWidth="1"/>
    <col min="4356" max="4356" width="14" style="119" customWidth="1"/>
    <col min="4357" max="4357" width="18.5546875" style="119" customWidth="1"/>
    <col min="4358" max="4358" width="17.109375" style="119" customWidth="1"/>
    <col min="4359" max="4362" width="14.33203125" style="119" customWidth="1"/>
    <col min="4363" max="4364" width="12.33203125" style="119" customWidth="1"/>
    <col min="4365" max="4365" width="14.33203125" style="119" customWidth="1"/>
    <col min="4366" max="4366" width="28.6640625" style="119" customWidth="1"/>
    <col min="4367" max="4367" width="45" style="119" customWidth="1"/>
    <col min="4368" max="4608" width="9.109375" style="119"/>
    <col min="4609" max="4609" width="3" style="119" customWidth="1"/>
    <col min="4610" max="4610" width="19.44140625" style="119" customWidth="1"/>
    <col min="4611" max="4611" width="15.33203125" style="119" customWidth="1"/>
    <col min="4612" max="4612" width="14" style="119" customWidth="1"/>
    <col min="4613" max="4613" width="18.5546875" style="119" customWidth="1"/>
    <col min="4614" max="4614" width="17.109375" style="119" customWidth="1"/>
    <col min="4615" max="4618" width="14.33203125" style="119" customWidth="1"/>
    <col min="4619" max="4620" width="12.33203125" style="119" customWidth="1"/>
    <col min="4621" max="4621" width="14.33203125" style="119" customWidth="1"/>
    <col min="4622" max="4622" width="28.6640625" style="119" customWidth="1"/>
    <col min="4623" max="4623" width="45" style="119" customWidth="1"/>
    <col min="4624" max="4864" width="9.109375" style="119"/>
    <col min="4865" max="4865" width="3" style="119" customWidth="1"/>
    <col min="4866" max="4866" width="19.44140625" style="119" customWidth="1"/>
    <col min="4867" max="4867" width="15.33203125" style="119" customWidth="1"/>
    <col min="4868" max="4868" width="14" style="119" customWidth="1"/>
    <col min="4869" max="4869" width="18.5546875" style="119" customWidth="1"/>
    <col min="4870" max="4870" width="17.109375" style="119" customWidth="1"/>
    <col min="4871" max="4874" width="14.33203125" style="119" customWidth="1"/>
    <col min="4875" max="4876" width="12.33203125" style="119" customWidth="1"/>
    <col min="4877" max="4877" width="14.33203125" style="119" customWidth="1"/>
    <col min="4878" max="4878" width="28.6640625" style="119" customWidth="1"/>
    <col min="4879" max="4879" width="45" style="119" customWidth="1"/>
    <col min="4880" max="5120" width="9.109375" style="119"/>
    <col min="5121" max="5121" width="3" style="119" customWidth="1"/>
    <col min="5122" max="5122" width="19.44140625" style="119" customWidth="1"/>
    <col min="5123" max="5123" width="15.33203125" style="119" customWidth="1"/>
    <col min="5124" max="5124" width="14" style="119" customWidth="1"/>
    <col min="5125" max="5125" width="18.5546875" style="119" customWidth="1"/>
    <col min="5126" max="5126" width="17.109375" style="119" customWidth="1"/>
    <col min="5127" max="5130" width="14.33203125" style="119" customWidth="1"/>
    <col min="5131" max="5132" width="12.33203125" style="119" customWidth="1"/>
    <col min="5133" max="5133" width="14.33203125" style="119" customWidth="1"/>
    <col min="5134" max="5134" width="28.6640625" style="119" customWidth="1"/>
    <col min="5135" max="5135" width="45" style="119" customWidth="1"/>
    <col min="5136" max="5376" width="9.109375" style="119"/>
    <col min="5377" max="5377" width="3" style="119" customWidth="1"/>
    <col min="5378" max="5378" width="19.44140625" style="119" customWidth="1"/>
    <col min="5379" max="5379" width="15.33203125" style="119" customWidth="1"/>
    <col min="5380" max="5380" width="14" style="119" customWidth="1"/>
    <col min="5381" max="5381" width="18.5546875" style="119" customWidth="1"/>
    <col min="5382" max="5382" width="17.109375" style="119" customWidth="1"/>
    <col min="5383" max="5386" width="14.33203125" style="119" customWidth="1"/>
    <col min="5387" max="5388" width="12.33203125" style="119" customWidth="1"/>
    <col min="5389" max="5389" width="14.33203125" style="119" customWidth="1"/>
    <col min="5390" max="5390" width="28.6640625" style="119" customWidth="1"/>
    <col min="5391" max="5391" width="45" style="119" customWidth="1"/>
    <col min="5392" max="5632" width="9.109375" style="119"/>
    <col min="5633" max="5633" width="3" style="119" customWidth="1"/>
    <col min="5634" max="5634" width="19.44140625" style="119" customWidth="1"/>
    <col min="5635" max="5635" width="15.33203125" style="119" customWidth="1"/>
    <col min="5636" max="5636" width="14" style="119" customWidth="1"/>
    <col min="5637" max="5637" width="18.5546875" style="119" customWidth="1"/>
    <col min="5638" max="5638" width="17.109375" style="119" customWidth="1"/>
    <col min="5639" max="5642" width="14.33203125" style="119" customWidth="1"/>
    <col min="5643" max="5644" width="12.33203125" style="119" customWidth="1"/>
    <col min="5645" max="5645" width="14.33203125" style="119" customWidth="1"/>
    <col min="5646" max="5646" width="28.6640625" style="119" customWidth="1"/>
    <col min="5647" max="5647" width="45" style="119" customWidth="1"/>
    <col min="5648" max="5888" width="9.109375" style="119"/>
    <col min="5889" max="5889" width="3" style="119" customWidth="1"/>
    <col min="5890" max="5890" width="19.44140625" style="119" customWidth="1"/>
    <col min="5891" max="5891" width="15.33203125" style="119" customWidth="1"/>
    <col min="5892" max="5892" width="14" style="119" customWidth="1"/>
    <col min="5893" max="5893" width="18.5546875" style="119" customWidth="1"/>
    <col min="5894" max="5894" width="17.109375" style="119" customWidth="1"/>
    <col min="5895" max="5898" width="14.33203125" style="119" customWidth="1"/>
    <col min="5899" max="5900" width="12.33203125" style="119" customWidth="1"/>
    <col min="5901" max="5901" width="14.33203125" style="119" customWidth="1"/>
    <col min="5902" max="5902" width="28.6640625" style="119" customWidth="1"/>
    <col min="5903" max="5903" width="45" style="119" customWidth="1"/>
    <col min="5904" max="6144" width="9.109375" style="119"/>
    <col min="6145" max="6145" width="3" style="119" customWidth="1"/>
    <col min="6146" max="6146" width="19.44140625" style="119" customWidth="1"/>
    <col min="6147" max="6147" width="15.33203125" style="119" customWidth="1"/>
    <col min="6148" max="6148" width="14" style="119" customWidth="1"/>
    <col min="6149" max="6149" width="18.5546875" style="119" customWidth="1"/>
    <col min="6150" max="6150" width="17.109375" style="119" customWidth="1"/>
    <col min="6151" max="6154" width="14.33203125" style="119" customWidth="1"/>
    <col min="6155" max="6156" width="12.33203125" style="119" customWidth="1"/>
    <col min="6157" max="6157" width="14.33203125" style="119" customWidth="1"/>
    <col min="6158" max="6158" width="28.6640625" style="119" customWidth="1"/>
    <col min="6159" max="6159" width="45" style="119" customWidth="1"/>
    <col min="6160" max="6400" width="9.109375" style="119"/>
    <col min="6401" max="6401" width="3" style="119" customWidth="1"/>
    <col min="6402" max="6402" width="19.44140625" style="119" customWidth="1"/>
    <col min="6403" max="6403" width="15.33203125" style="119" customWidth="1"/>
    <col min="6404" max="6404" width="14" style="119" customWidth="1"/>
    <col min="6405" max="6405" width="18.5546875" style="119" customWidth="1"/>
    <col min="6406" max="6406" width="17.109375" style="119" customWidth="1"/>
    <col min="6407" max="6410" width="14.33203125" style="119" customWidth="1"/>
    <col min="6411" max="6412" width="12.33203125" style="119" customWidth="1"/>
    <col min="6413" max="6413" width="14.33203125" style="119" customWidth="1"/>
    <col min="6414" max="6414" width="28.6640625" style="119" customWidth="1"/>
    <col min="6415" max="6415" width="45" style="119" customWidth="1"/>
    <col min="6416" max="6656" width="9.109375" style="119"/>
    <col min="6657" max="6657" width="3" style="119" customWidth="1"/>
    <col min="6658" max="6658" width="19.44140625" style="119" customWidth="1"/>
    <col min="6659" max="6659" width="15.33203125" style="119" customWidth="1"/>
    <col min="6660" max="6660" width="14" style="119" customWidth="1"/>
    <col min="6661" max="6661" width="18.5546875" style="119" customWidth="1"/>
    <col min="6662" max="6662" width="17.109375" style="119" customWidth="1"/>
    <col min="6663" max="6666" width="14.33203125" style="119" customWidth="1"/>
    <col min="6667" max="6668" width="12.33203125" style="119" customWidth="1"/>
    <col min="6669" max="6669" width="14.33203125" style="119" customWidth="1"/>
    <col min="6670" max="6670" width="28.6640625" style="119" customWidth="1"/>
    <col min="6671" max="6671" width="45" style="119" customWidth="1"/>
    <col min="6672" max="6912" width="9.109375" style="119"/>
    <col min="6913" max="6913" width="3" style="119" customWidth="1"/>
    <col min="6914" max="6914" width="19.44140625" style="119" customWidth="1"/>
    <col min="6915" max="6915" width="15.33203125" style="119" customWidth="1"/>
    <col min="6916" max="6916" width="14" style="119" customWidth="1"/>
    <col min="6917" max="6917" width="18.5546875" style="119" customWidth="1"/>
    <col min="6918" max="6918" width="17.109375" style="119" customWidth="1"/>
    <col min="6919" max="6922" width="14.33203125" style="119" customWidth="1"/>
    <col min="6923" max="6924" width="12.33203125" style="119" customWidth="1"/>
    <col min="6925" max="6925" width="14.33203125" style="119" customWidth="1"/>
    <col min="6926" max="6926" width="28.6640625" style="119" customWidth="1"/>
    <col min="6927" max="6927" width="45" style="119" customWidth="1"/>
    <col min="6928" max="7168" width="9.109375" style="119"/>
    <col min="7169" max="7169" width="3" style="119" customWidth="1"/>
    <col min="7170" max="7170" width="19.44140625" style="119" customWidth="1"/>
    <col min="7171" max="7171" width="15.33203125" style="119" customWidth="1"/>
    <col min="7172" max="7172" width="14" style="119" customWidth="1"/>
    <col min="7173" max="7173" width="18.5546875" style="119" customWidth="1"/>
    <col min="7174" max="7174" width="17.109375" style="119" customWidth="1"/>
    <col min="7175" max="7178" width="14.33203125" style="119" customWidth="1"/>
    <col min="7179" max="7180" width="12.33203125" style="119" customWidth="1"/>
    <col min="7181" max="7181" width="14.33203125" style="119" customWidth="1"/>
    <col min="7182" max="7182" width="28.6640625" style="119" customWidth="1"/>
    <col min="7183" max="7183" width="45" style="119" customWidth="1"/>
    <col min="7184" max="7424" width="9.109375" style="119"/>
    <col min="7425" max="7425" width="3" style="119" customWidth="1"/>
    <col min="7426" max="7426" width="19.44140625" style="119" customWidth="1"/>
    <col min="7427" max="7427" width="15.33203125" style="119" customWidth="1"/>
    <col min="7428" max="7428" width="14" style="119" customWidth="1"/>
    <col min="7429" max="7429" width="18.5546875" style="119" customWidth="1"/>
    <col min="7430" max="7430" width="17.109375" style="119" customWidth="1"/>
    <col min="7431" max="7434" width="14.33203125" style="119" customWidth="1"/>
    <col min="7435" max="7436" width="12.33203125" style="119" customWidth="1"/>
    <col min="7437" max="7437" width="14.33203125" style="119" customWidth="1"/>
    <col min="7438" max="7438" width="28.6640625" style="119" customWidth="1"/>
    <col min="7439" max="7439" width="45" style="119" customWidth="1"/>
    <col min="7440" max="7680" width="9.109375" style="119"/>
    <col min="7681" max="7681" width="3" style="119" customWidth="1"/>
    <col min="7682" max="7682" width="19.44140625" style="119" customWidth="1"/>
    <col min="7683" max="7683" width="15.33203125" style="119" customWidth="1"/>
    <col min="7684" max="7684" width="14" style="119" customWidth="1"/>
    <col min="7685" max="7685" width="18.5546875" style="119" customWidth="1"/>
    <col min="7686" max="7686" width="17.109375" style="119" customWidth="1"/>
    <col min="7687" max="7690" width="14.33203125" style="119" customWidth="1"/>
    <col min="7691" max="7692" width="12.33203125" style="119" customWidth="1"/>
    <col min="7693" max="7693" width="14.33203125" style="119" customWidth="1"/>
    <col min="7694" max="7694" width="28.6640625" style="119" customWidth="1"/>
    <col min="7695" max="7695" width="45" style="119" customWidth="1"/>
    <col min="7696" max="7936" width="9.109375" style="119"/>
    <col min="7937" max="7937" width="3" style="119" customWidth="1"/>
    <col min="7938" max="7938" width="19.44140625" style="119" customWidth="1"/>
    <col min="7939" max="7939" width="15.33203125" style="119" customWidth="1"/>
    <col min="7940" max="7940" width="14" style="119" customWidth="1"/>
    <col min="7941" max="7941" width="18.5546875" style="119" customWidth="1"/>
    <col min="7942" max="7942" width="17.109375" style="119" customWidth="1"/>
    <col min="7943" max="7946" width="14.33203125" style="119" customWidth="1"/>
    <col min="7947" max="7948" width="12.33203125" style="119" customWidth="1"/>
    <col min="7949" max="7949" width="14.33203125" style="119" customWidth="1"/>
    <col min="7950" max="7950" width="28.6640625" style="119" customWidth="1"/>
    <col min="7951" max="7951" width="45" style="119" customWidth="1"/>
    <col min="7952" max="8192" width="9.109375" style="119"/>
    <col min="8193" max="8193" width="3" style="119" customWidth="1"/>
    <col min="8194" max="8194" width="19.44140625" style="119" customWidth="1"/>
    <col min="8195" max="8195" width="15.33203125" style="119" customWidth="1"/>
    <col min="8196" max="8196" width="14" style="119" customWidth="1"/>
    <col min="8197" max="8197" width="18.5546875" style="119" customWidth="1"/>
    <col min="8198" max="8198" width="17.109375" style="119" customWidth="1"/>
    <col min="8199" max="8202" width="14.33203125" style="119" customWidth="1"/>
    <col min="8203" max="8204" width="12.33203125" style="119" customWidth="1"/>
    <col min="8205" max="8205" width="14.33203125" style="119" customWidth="1"/>
    <col min="8206" max="8206" width="28.6640625" style="119" customWidth="1"/>
    <col min="8207" max="8207" width="45" style="119" customWidth="1"/>
    <col min="8208" max="8448" width="9.109375" style="119"/>
    <col min="8449" max="8449" width="3" style="119" customWidth="1"/>
    <col min="8450" max="8450" width="19.44140625" style="119" customWidth="1"/>
    <col min="8451" max="8451" width="15.33203125" style="119" customWidth="1"/>
    <col min="8452" max="8452" width="14" style="119" customWidth="1"/>
    <col min="8453" max="8453" width="18.5546875" style="119" customWidth="1"/>
    <col min="8454" max="8454" width="17.109375" style="119" customWidth="1"/>
    <col min="8455" max="8458" width="14.33203125" style="119" customWidth="1"/>
    <col min="8459" max="8460" width="12.33203125" style="119" customWidth="1"/>
    <col min="8461" max="8461" width="14.33203125" style="119" customWidth="1"/>
    <col min="8462" max="8462" width="28.6640625" style="119" customWidth="1"/>
    <col min="8463" max="8463" width="45" style="119" customWidth="1"/>
    <col min="8464" max="8704" width="9.109375" style="119"/>
    <col min="8705" max="8705" width="3" style="119" customWidth="1"/>
    <col min="8706" max="8706" width="19.44140625" style="119" customWidth="1"/>
    <col min="8707" max="8707" width="15.33203125" style="119" customWidth="1"/>
    <col min="8708" max="8708" width="14" style="119" customWidth="1"/>
    <col min="8709" max="8709" width="18.5546875" style="119" customWidth="1"/>
    <col min="8710" max="8710" width="17.109375" style="119" customWidth="1"/>
    <col min="8711" max="8714" width="14.33203125" style="119" customWidth="1"/>
    <col min="8715" max="8716" width="12.33203125" style="119" customWidth="1"/>
    <col min="8717" max="8717" width="14.33203125" style="119" customWidth="1"/>
    <col min="8718" max="8718" width="28.6640625" style="119" customWidth="1"/>
    <col min="8719" max="8719" width="45" style="119" customWidth="1"/>
    <col min="8720" max="8960" width="9.109375" style="119"/>
    <col min="8961" max="8961" width="3" style="119" customWidth="1"/>
    <col min="8962" max="8962" width="19.44140625" style="119" customWidth="1"/>
    <col min="8963" max="8963" width="15.33203125" style="119" customWidth="1"/>
    <col min="8964" max="8964" width="14" style="119" customWidth="1"/>
    <col min="8965" max="8965" width="18.5546875" style="119" customWidth="1"/>
    <col min="8966" max="8966" width="17.109375" style="119" customWidth="1"/>
    <col min="8967" max="8970" width="14.33203125" style="119" customWidth="1"/>
    <col min="8971" max="8972" width="12.33203125" style="119" customWidth="1"/>
    <col min="8973" max="8973" width="14.33203125" style="119" customWidth="1"/>
    <col min="8974" max="8974" width="28.6640625" style="119" customWidth="1"/>
    <col min="8975" max="8975" width="45" style="119" customWidth="1"/>
    <col min="8976" max="9216" width="9.109375" style="119"/>
    <col min="9217" max="9217" width="3" style="119" customWidth="1"/>
    <col min="9218" max="9218" width="19.44140625" style="119" customWidth="1"/>
    <col min="9219" max="9219" width="15.33203125" style="119" customWidth="1"/>
    <col min="9220" max="9220" width="14" style="119" customWidth="1"/>
    <col min="9221" max="9221" width="18.5546875" style="119" customWidth="1"/>
    <col min="9222" max="9222" width="17.109375" style="119" customWidth="1"/>
    <col min="9223" max="9226" width="14.33203125" style="119" customWidth="1"/>
    <col min="9227" max="9228" width="12.33203125" style="119" customWidth="1"/>
    <col min="9229" max="9229" width="14.33203125" style="119" customWidth="1"/>
    <col min="9230" max="9230" width="28.6640625" style="119" customWidth="1"/>
    <col min="9231" max="9231" width="45" style="119" customWidth="1"/>
    <col min="9232" max="9472" width="9.109375" style="119"/>
    <col min="9473" max="9473" width="3" style="119" customWidth="1"/>
    <col min="9474" max="9474" width="19.44140625" style="119" customWidth="1"/>
    <col min="9475" max="9475" width="15.33203125" style="119" customWidth="1"/>
    <col min="9476" max="9476" width="14" style="119" customWidth="1"/>
    <col min="9477" max="9477" width="18.5546875" style="119" customWidth="1"/>
    <col min="9478" max="9478" width="17.109375" style="119" customWidth="1"/>
    <col min="9479" max="9482" width="14.33203125" style="119" customWidth="1"/>
    <col min="9483" max="9484" width="12.33203125" style="119" customWidth="1"/>
    <col min="9485" max="9485" width="14.33203125" style="119" customWidth="1"/>
    <col min="9486" max="9486" width="28.6640625" style="119" customWidth="1"/>
    <col min="9487" max="9487" width="45" style="119" customWidth="1"/>
    <col min="9488" max="9728" width="9.109375" style="119"/>
    <col min="9729" max="9729" width="3" style="119" customWidth="1"/>
    <col min="9730" max="9730" width="19.44140625" style="119" customWidth="1"/>
    <col min="9731" max="9731" width="15.33203125" style="119" customWidth="1"/>
    <col min="9732" max="9732" width="14" style="119" customWidth="1"/>
    <col min="9733" max="9733" width="18.5546875" style="119" customWidth="1"/>
    <col min="9734" max="9734" width="17.109375" style="119" customWidth="1"/>
    <col min="9735" max="9738" width="14.33203125" style="119" customWidth="1"/>
    <col min="9739" max="9740" width="12.33203125" style="119" customWidth="1"/>
    <col min="9741" max="9741" width="14.33203125" style="119" customWidth="1"/>
    <col min="9742" max="9742" width="28.6640625" style="119" customWidth="1"/>
    <col min="9743" max="9743" width="45" style="119" customWidth="1"/>
    <col min="9744" max="9984" width="9.109375" style="119"/>
    <col min="9985" max="9985" width="3" style="119" customWidth="1"/>
    <col min="9986" max="9986" width="19.44140625" style="119" customWidth="1"/>
    <col min="9987" max="9987" width="15.33203125" style="119" customWidth="1"/>
    <col min="9988" max="9988" width="14" style="119" customWidth="1"/>
    <col min="9989" max="9989" width="18.5546875" style="119" customWidth="1"/>
    <col min="9990" max="9990" width="17.109375" style="119" customWidth="1"/>
    <col min="9991" max="9994" width="14.33203125" style="119" customWidth="1"/>
    <col min="9995" max="9996" width="12.33203125" style="119" customWidth="1"/>
    <col min="9997" max="9997" width="14.33203125" style="119" customWidth="1"/>
    <col min="9998" max="9998" width="28.6640625" style="119" customWidth="1"/>
    <col min="9999" max="9999" width="45" style="119" customWidth="1"/>
    <col min="10000" max="10240" width="9.109375" style="119"/>
    <col min="10241" max="10241" width="3" style="119" customWidth="1"/>
    <col min="10242" max="10242" width="19.44140625" style="119" customWidth="1"/>
    <col min="10243" max="10243" width="15.33203125" style="119" customWidth="1"/>
    <col min="10244" max="10244" width="14" style="119" customWidth="1"/>
    <col min="10245" max="10245" width="18.5546875" style="119" customWidth="1"/>
    <col min="10246" max="10246" width="17.109375" style="119" customWidth="1"/>
    <col min="10247" max="10250" width="14.33203125" style="119" customWidth="1"/>
    <col min="10251" max="10252" width="12.33203125" style="119" customWidth="1"/>
    <col min="10253" max="10253" width="14.33203125" style="119" customWidth="1"/>
    <col min="10254" max="10254" width="28.6640625" style="119" customWidth="1"/>
    <col min="10255" max="10255" width="45" style="119" customWidth="1"/>
    <col min="10256" max="10496" width="9.109375" style="119"/>
    <col min="10497" max="10497" width="3" style="119" customWidth="1"/>
    <col min="10498" max="10498" width="19.44140625" style="119" customWidth="1"/>
    <col min="10499" max="10499" width="15.33203125" style="119" customWidth="1"/>
    <col min="10500" max="10500" width="14" style="119" customWidth="1"/>
    <col min="10501" max="10501" width="18.5546875" style="119" customWidth="1"/>
    <col min="10502" max="10502" width="17.109375" style="119" customWidth="1"/>
    <col min="10503" max="10506" width="14.33203125" style="119" customWidth="1"/>
    <col min="10507" max="10508" width="12.33203125" style="119" customWidth="1"/>
    <col min="10509" max="10509" width="14.33203125" style="119" customWidth="1"/>
    <col min="10510" max="10510" width="28.6640625" style="119" customWidth="1"/>
    <col min="10511" max="10511" width="45" style="119" customWidth="1"/>
    <col min="10512" max="10752" width="9.109375" style="119"/>
    <col min="10753" max="10753" width="3" style="119" customWidth="1"/>
    <col min="10754" max="10754" width="19.44140625" style="119" customWidth="1"/>
    <col min="10755" max="10755" width="15.33203125" style="119" customWidth="1"/>
    <col min="10756" max="10756" width="14" style="119" customWidth="1"/>
    <col min="10757" max="10757" width="18.5546875" style="119" customWidth="1"/>
    <col min="10758" max="10758" width="17.109375" style="119" customWidth="1"/>
    <col min="10759" max="10762" width="14.33203125" style="119" customWidth="1"/>
    <col min="10763" max="10764" width="12.33203125" style="119" customWidth="1"/>
    <col min="10765" max="10765" width="14.33203125" style="119" customWidth="1"/>
    <col min="10766" max="10766" width="28.6640625" style="119" customWidth="1"/>
    <col min="10767" max="10767" width="45" style="119" customWidth="1"/>
    <col min="10768" max="11008" width="9.109375" style="119"/>
    <col min="11009" max="11009" width="3" style="119" customWidth="1"/>
    <col min="11010" max="11010" width="19.44140625" style="119" customWidth="1"/>
    <col min="11011" max="11011" width="15.33203125" style="119" customWidth="1"/>
    <col min="11012" max="11012" width="14" style="119" customWidth="1"/>
    <col min="11013" max="11013" width="18.5546875" style="119" customWidth="1"/>
    <col min="11014" max="11014" width="17.109375" style="119" customWidth="1"/>
    <col min="11015" max="11018" width="14.33203125" style="119" customWidth="1"/>
    <col min="11019" max="11020" width="12.33203125" style="119" customWidth="1"/>
    <col min="11021" max="11021" width="14.33203125" style="119" customWidth="1"/>
    <col min="11022" max="11022" width="28.6640625" style="119" customWidth="1"/>
    <col min="11023" max="11023" width="45" style="119" customWidth="1"/>
    <col min="11024" max="11264" width="9.109375" style="119"/>
    <col min="11265" max="11265" width="3" style="119" customWidth="1"/>
    <col min="11266" max="11266" width="19.44140625" style="119" customWidth="1"/>
    <col min="11267" max="11267" width="15.33203125" style="119" customWidth="1"/>
    <col min="11268" max="11268" width="14" style="119" customWidth="1"/>
    <col min="11269" max="11269" width="18.5546875" style="119" customWidth="1"/>
    <col min="11270" max="11270" width="17.109375" style="119" customWidth="1"/>
    <col min="11271" max="11274" width="14.33203125" style="119" customWidth="1"/>
    <col min="11275" max="11276" width="12.33203125" style="119" customWidth="1"/>
    <col min="11277" max="11277" width="14.33203125" style="119" customWidth="1"/>
    <col min="11278" max="11278" width="28.6640625" style="119" customWidth="1"/>
    <col min="11279" max="11279" width="45" style="119" customWidth="1"/>
    <col min="11280" max="11520" width="9.109375" style="119"/>
    <col min="11521" max="11521" width="3" style="119" customWidth="1"/>
    <col min="11522" max="11522" width="19.44140625" style="119" customWidth="1"/>
    <col min="11523" max="11523" width="15.33203125" style="119" customWidth="1"/>
    <col min="11524" max="11524" width="14" style="119" customWidth="1"/>
    <col min="11525" max="11525" width="18.5546875" style="119" customWidth="1"/>
    <col min="11526" max="11526" width="17.109375" style="119" customWidth="1"/>
    <col min="11527" max="11530" width="14.33203125" style="119" customWidth="1"/>
    <col min="11531" max="11532" width="12.33203125" style="119" customWidth="1"/>
    <col min="11533" max="11533" width="14.33203125" style="119" customWidth="1"/>
    <col min="11534" max="11534" width="28.6640625" style="119" customWidth="1"/>
    <col min="11535" max="11535" width="45" style="119" customWidth="1"/>
    <col min="11536" max="11776" width="9.109375" style="119"/>
    <col min="11777" max="11777" width="3" style="119" customWidth="1"/>
    <col min="11778" max="11778" width="19.44140625" style="119" customWidth="1"/>
    <col min="11779" max="11779" width="15.33203125" style="119" customWidth="1"/>
    <col min="11780" max="11780" width="14" style="119" customWidth="1"/>
    <col min="11781" max="11781" width="18.5546875" style="119" customWidth="1"/>
    <col min="11782" max="11782" width="17.109375" style="119" customWidth="1"/>
    <col min="11783" max="11786" width="14.33203125" style="119" customWidth="1"/>
    <col min="11787" max="11788" width="12.33203125" style="119" customWidth="1"/>
    <col min="11789" max="11789" width="14.33203125" style="119" customWidth="1"/>
    <col min="11790" max="11790" width="28.6640625" style="119" customWidth="1"/>
    <col min="11791" max="11791" width="45" style="119" customWidth="1"/>
    <col min="11792" max="12032" width="9.109375" style="119"/>
    <col min="12033" max="12033" width="3" style="119" customWidth="1"/>
    <col min="12034" max="12034" width="19.44140625" style="119" customWidth="1"/>
    <col min="12035" max="12035" width="15.33203125" style="119" customWidth="1"/>
    <col min="12036" max="12036" width="14" style="119" customWidth="1"/>
    <col min="12037" max="12037" width="18.5546875" style="119" customWidth="1"/>
    <col min="12038" max="12038" width="17.109375" style="119" customWidth="1"/>
    <col min="12039" max="12042" width="14.33203125" style="119" customWidth="1"/>
    <col min="12043" max="12044" width="12.33203125" style="119" customWidth="1"/>
    <col min="12045" max="12045" width="14.33203125" style="119" customWidth="1"/>
    <col min="12046" max="12046" width="28.6640625" style="119" customWidth="1"/>
    <col min="12047" max="12047" width="45" style="119" customWidth="1"/>
    <col min="12048" max="12288" width="9.109375" style="119"/>
    <col min="12289" max="12289" width="3" style="119" customWidth="1"/>
    <col min="12290" max="12290" width="19.44140625" style="119" customWidth="1"/>
    <col min="12291" max="12291" width="15.33203125" style="119" customWidth="1"/>
    <col min="12292" max="12292" width="14" style="119" customWidth="1"/>
    <col min="12293" max="12293" width="18.5546875" style="119" customWidth="1"/>
    <col min="12294" max="12294" width="17.109375" style="119" customWidth="1"/>
    <col min="12295" max="12298" width="14.33203125" style="119" customWidth="1"/>
    <col min="12299" max="12300" width="12.33203125" style="119" customWidth="1"/>
    <col min="12301" max="12301" width="14.33203125" style="119" customWidth="1"/>
    <col min="12302" max="12302" width="28.6640625" style="119" customWidth="1"/>
    <col min="12303" max="12303" width="45" style="119" customWidth="1"/>
    <col min="12304" max="12544" width="9.109375" style="119"/>
    <col min="12545" max="12545" width="3" style="119" customWidth="1"/>
    <col min="12546" max="12546" width="19.44140625" style="119" customWidth="1"/>
    <col min="12547" max="12547" width="15.33203125" style="119" customWidth="1"/>
    <col min="12548" max="12548" width="14" style="119" customWidth="1"/>
    <col min="12549" max="12549" width="18.5546875" style="119" customWidth="1"/>
    <col min="12550" max="12550" width="17.109375" style="119" customWidth="1"/>
    <col min="12551" max="12554" width="14.33203125" style="119" customWidth="1"/>
    <col min="12555" max="12556" width="12.33203125" style="119" customWidth="1"/>
    <col min="12557" max="12557" width="14.33203125" style="119" customWidth="1"/>
    <col min="12558" max="12558" width="28.6640625" style="119" customWidth="1"/>
    <col min="12559" max="12559" width="45" style="119" customWidth="1"/>
    <col min="12560" max="12800" width="9.109375" style="119"/>
    <col min="12801" max="12801" width="3" style="119" customWidth="1"/>
    <col min="12802" max="12802" width="19.44140625" style="119" customWidth="1"/>
    <col min="12803" max="12803" width="15.33203125" style="119" customWidth="1"/>
    <col min="12804" max="12804" width="14" style="119" customWidth="1"/>
    <col min="12805" max="12805" width="18.5546875" style="119" customWidth="1"/>
    <col min="12806" max="12806" width="17.109375" style="119" customWidth="1"/>
    <col min="12807" max="12810" width="14.33203125" style="119" customWidth="1"/>
    <col min="12811" max="12812" width="12.33203125" style="119" customWidth="1"/>
    <col min="12813" max="12813" width="14.33203125" style="119" customWidth="1"/>
    <col min="12814" max="12814" width="28.6640625" style="119" customWidth="1"/>
    <col min="12815" max="12815" width="45" style="119" customWidth="1"/>
    <col min="12816" max="13056" width="9.109375" style="119"/>
    <col min="13057" max="13057" width="3" style="119" customWidth="1"/>
    <col min="13058" max="13058" width="19.44140625" style="119" customWidth="1"/>
    <col min="13059" max="13059" width="15.33203125" style="119" customWidth="1"/>
    <col min="13060" max="13060" width="14" style="119" customWidth="1"/>
    <col min="13061" max="13061" width="18.5546875" style="119" customWidth="1"/>
    <col min="13062" max="13062" width="17.109375" style="119" customWidth="1"/>
    <col min="13063" max="13066" width="14.33203125" style="119" customWidth="1"/>
    <col min="13067" max="13068" width="12.33203125" style="119" customWidth="1"/>
    <col min="13069" max="13069" width="14.33203125" style="119" customWidth="1"/>
    <col min="13070" max="13070" width="28.6640625" style="119" customWidth="1"/>
    <col min="13071" max="13071" width="45" style="119" customWidth="1"/>
    <col min="13072" max="13312" width="9.109375" style="119"/>
    <col min="13313" max="13313" width="3" style="119" customWidth="1"/>
    <col min="13314" max="13314" width="19.44140625" style="119" customWidth="1"/>
    <col min="13315" max="13315" width="15.33203125" style="119" customWidth="1"/>
    <col min="13316" max="13316" width="14" style="119" customWidth="1"/>
    <col min="13317" max="13317" width="18.5546875" style="119" customWidth="1"/>
    <col min="13318" max="13318" width="17.109375" style="119" customWidth="1"/>
    <col min="13319" max="13322" width="14.33203125" style="119" customWidth="1"/>
    <col min="13323" max="13324" width="12.33203125" style="119" customWidth="1"/>
    <col min="13325" max="13325" width="14.33203125" style="119" customWidth="1"/>
    <col min="13326" max="13326" width="28.6640625" style="119" customWidth="1"/>
    <col min="13327" max="13327" width="45" style="119" customWidth="1"/>
    <col min="13328" max="13568" width="9.109375" style="119"/>
    <col min="13569" max="13569" width="3" style="119" customWidth="1"/>
    <col min="13570" max="13570" width="19.44140625" style="119" customWidth="1"/>
    <col min="13571" max="13571" width="15.33203125" style="119" customWidth="1"/>
    <col min="13572" max="13572" width="14" style="119" customWidth="1"/>
    <col min="13573" max="13573" width="18.5546875" style="119" customWidth="1"/>
    <col min="13574" max="13574" width="17.109375" style="119" customWidth="1"/>
    <col min="13575" max="13578" width="14.33203125" style="119" customWidth="1"/>
    <col min="13579" max="13580" width="12.33203125" style="119" customWidth="1"/>
    <col min="13581" max="13581" width="14.33203125" style="119" customWidth="1"/>
    <col min="13582" max="13582" width="28.6640625" style="119" customWidth="1"/>
    <col min="13583" max="13583" width="45" style="119" customWidth="1"/>
    <col min="13584" max="13824" width="9.109375" style="119"/>
    <col min="13825" max="13825" width="3" style="119" customWidth="1"/>
    <col min="13826" max="13826" width="19.44140625" style="119" customWidth="1"/>
    <col min="13827" max="13827" width="15.33203125" style="119" customWidth="1"/>
    <col min="13828" max="13828" width="14" style="119" customWidth="1"/>
    <col min="13829" max="13829" width="18.5546875" style="119" customWidth="1"/>
    <col min="13830" max="13830" width="17.109375" style="119" customWidth="1"/>
    <col min="13831" max="13834" width="14.33203125" style="119" customWidth="1"/>
    <col min="13835" max="13836" width="12.33203125" style="119" customWidth="1"/>
    <col min="13837" max="13837" width="14.33203125" style="119" customWidth="1"/>
    <col min="13838" max="13838" width="28.6640625" style="119" customWidth="1"/>
    <col min="13839" max="13839" width="45" style="119" customWidth="1"/>
    <col min="13840" max="14080" width="9.109375" style="119"/>
    <col min="14081" max="14081" width="3" style="119" customWidth="1"/>
    <col min="14082" max="14082" width="19.44140625" style="119" customWidth="1"/>
    <col min="14083" max="14083" width="15.33203125" style="119" customWidth="1"/>
    <col min="14084" max="14084" width="14" style="119" customWidth="1"/>
    <col min="14085" max="14085" width="18.5546875" style="119" customWidth="1"/>
    <col min="14086" max="14086" width="17.109375" style="119" customWidth="1"/>
    <col min="14087" max="14090" width="14.33203125" style="119" customWidth="1"/>
    <col min="14091" max="14092" width="12.33203125" style="119" customWidth="1"/>
    <col min="14093" max="14093" width="14.33203125" style="119" customWidth="1"/>
    <col min="14094" max="14094" width="28.6640625" style="119" customWidth="1"/>
    <col min="14095" max="14095" width="45" style="119" customWidth="1"/>
    <col min="14096" max="14336" width="9.109375" style="119"/>
    <col min="14337" max="14337" width="3" style="119" customWidth="1"/>
    <col min="14338" max="14338" width="19.44140625" style="119" customWidth="1"/>
    <col min="14339" max="14339" width="15.33203125" style="119" customWidth="1"/>
    <col min="14340" max="14340" width="14" style="119" customWidth="1"/>
    <col min="14341" max="14341" width="18.5546875" style="119" customWidth="1"/>
    <col min="14342" max="14342" width="17.109375" style="119" customWidth="1"/>
    <col min="14343" max="14346" width="14.33203125" style="119" customWidth="1"/>
    <col min="14347" max="14348" width="12.33203125" style="119" customWidth="1"/>
    <col min="14349" max="14349" width="14.33203125" style="119" customWidth="1"/>
    <col min="14350" max="14350" width="28.6640625" style="119" customWidth="1"/>
    <col min="14351" max="14351" width="45" style="119" customWidth="1"/>
    <col min="14352" max="14592" width="9.109375" style="119"/>
    <col min="14593" max="14593" width="3" style="119" customWidth="1"/>
    <col min="14594" max="14594" width="19.44140625" style="119" customWidth="1"/>
    <col min="14595" max="14595" width="15.33203125" style="119" customWidth="1"/>
    <col min="14596" max="14596" width="14" style="119" customWidth="1"/>
    <col min="14597" max="14597" width="18.5546875" style="119" customWidth="1"/>
    <col min="14598" max="14598" width="17.109375" style="119" customWidth="1"/>
    <col min="14599" max="14602" width="14.33203125" style="119" customWidth="1"/>
    <col min="14603" max="14604" width="12.33203125" style="119" customWidth="1"/>
    <col min="14605" max="14605" width="14.33203125" style="119" customWidth="1"/>
    <col min="14606" max="14606" width="28.6640625" style="119" customWidth="1"/>
    <col min="14607" max="14607" width="45" style="119" customWidth="1"/>
    <col min="14608" max="14848" width="9.109375" style="119"/>
    <col min="14849" max="14849" width="3" style="119" customWidth="1"/>
    <col min="14850" max="14850" width="19.44140625" style="119" customWidth="1"/>
    <col min="14851" max="14851" width="15.33203125" style="119" customWidth="1"/>
    <col min="14852" max="14852" width="14" style="119" customWidth="1"/>
    <col min="14853" max="14853" width="18.5546875" style="119" customWidth="1"/>
    <col min="14854" max="14854" width="17.109375" style="119" customWidth="1"/>
    <col min="14855" max="14858" width="14.33203125" style="119" customWidth="1"/>
    <col min="14859" max="14860" width="12.33203125" style="119" customWidth="1"/>
    <col min="14861" max="14861" width="14.33203125" style="119" customWidth="1"/>
    <col min="14862" max="14862" width="28.6640625" style="119" customWidth="1"/>
    <col min="14863" max="14863" width="45" style="119" customWidth="1"/>
    <col min="14864" max="15104" width="9.109375" style="119"/>
    <col min="15105" max="15105" width="3" style="119" customWidth="1"/>
    <col min="15106" max="15106" width="19.44140625" style="119" customWidth="1"/>
    <col min="15107" max="15107" width="15.33203125" style="119" customWidth="1"/>
    <col min="15108" max="15108" width="14" style="119" customWidth="1"/>
    <col min="15109" max="15109" width="18.5546875" style="119" customWidth="1"/>
    <col min="15110" max="15110" width="17.109375" style="119" customWidth="1"/>
    <col min="15111" max="15114" width="14.33203125" style="119" customWidth="1"/>
    <col min="15115" max="15116" width="12.33203125" style="119" customWidth="1"/>
    <col min="15117" max="15117" width="14.33203125" style="119" customWidth="1"/>
    <col min="15118" max="15118" width="28.6640625" style="119" customWidth="1"/>
    <col min="15119" max="15119" width="45" style="119" customWidth="1"/>
    <col min="15120" max="15360" width="9.109375" style="119"/>
    <col min="15361" max="15361" width="3" style="119" customWidth="1"/>
    <col min="15362" max="15362" width="19.44140625" style="119" customWidth="1"/>
    <col min="15363" max="15363" width="15.33203125" style="119" customWidth="1"/>
    <col min="15364" max="15364" width="14" style="119" customWidth="1"/>
    <col min="15365" max="15365" width="18.5546875" style="119" customWidth="1"/>
    <col min="15366" max="15366" width="17.109375" style="119" customWidth="1"/>
    <col min="15367" max="15370" width="14.33203125" style="119" customWidth="1"/>
    <col min="15371" max="15372" width="12.33203125" style="119" customWidth="1"/>
    <col min="15373" max="15373" width="14.33203125" style="119" customWidth="1"/>
    <col min="15374" max="15374" width="28.6640625" style="119" customWidth="1"/>
    <col min="15375" max="15375" width="45" style="119" customWidth="1"/>
    <col min="15376" max="15616" width="9.109375" style="119"/>
    <col min="15617" max="15617" width="3" style="119" customWidth="1"/>
    <col min="15618" max="15618" width="19.44140625" style="119" customWidth="1"/>
    <col min="15619" max="15619" width="15.33203125" style="119" customWidth="1"/>
    <col min="15620" max="15620" width="14" style="119" customWidth="1"/>
    <col min="15621" max="15621" width="18.5546875" style="119" customWidth="1"/>
    <col min="15622" max="15622" width="17.109375" style="119" customWidth="1"/>
    <col min="15623" max="15626" width="14.33203125" style="119" customWidth="1"/>
    <col min="15627" max="15628" width="12.33203125" style="119" customWidth="1"/>
    <col min="15629" max="15629" width="14.33203125" style="119" customWidth="1"/>
    <col min="15630" max="15630" width="28.6640625" style="119" customWidth="1"/>
    <col min="15631" max="15631" width="45" style="119" customWidth="1"/>
    <col min="15632" max="15872" width="9.109375" style="119"/>
    <col min="15873" max="15873" width="3" style="119" customWidth="1"/>
    <col min="15874" max="15874" width="19.44140625" style="119" customWidth="1"/>
    <col min="15875" max="15875" width="15.33203125" style="119" customWidth="1"/>
    <col min="15876" max="15876" width="14" style="119" customWidth="1"/>
    <col min="15877" max="15877" width="18.5546875" style="119" customWidth="1"/>
    <col min="15878" max="15878" width="17.109375" style="119" customWidth="1"/>
    <col min="15879" max="15882" width="14.33203125" style="119" customWidth="1"/>
    <col min="15883" max="15884" width="12.33203125" style="119" customWidth="1"/>
    <col min="15885" max="15885" width="14.33203125" style="119" customWidth="1"/>
    <col min="15886" max="15886" width="28.6640625" style="119" customWidth="1"/>
    <col min="15887" max="15887" width="45" style="119" customWidth="1"/>
    <col min="15888" max="16128" width="9.109375" style="119"/>
    <col min="16129" max="16129" width="3" style="119" customWidth="1"/>
    <col min="16130" max="16130" width="19.44140625" style="119" customWidth="1"/>
    <col min="16131" max="16131" width="15.33203125" style="119" customWidth="1"/>
    <col min="16132" max="16132" width="14" style="119" customWidth="1"/>
    <col min="16133" max="16133" width="18.5546875" style="119" customWidth="1"/>
    <col min="16134" max="16134" width="17.109375" style="119" customWidth="1"/>
    <col min="16135" max="16138" width="14.33203125" style="119" customWidth="1"/>
    <col min="16139" max="16140" width="12.33203125" style="119" customWidth="1"/>
    <col min="16141" max="16141" width="14.33203125" style="119" customWidth="1"/>
    <col min="16142" max="16142" width="28.6640625" style="119" customWidth="1"/>
    <col min="16143" max="16143" width="45" style="119" customWidth="1"/>
    <col min="16144" max="16384" width="9.109375" style="119"/>
  </cols>
  <sheetData>
    <row r="1" spans="1:18" ht="12.75" x14ac:dyDescent="0.2">
      <c r="A1" s="151" t="s">
        <v>155</v>
      </c>
      <c r="B1" s="152"/>
      <c r="J1" s="156"/>
      <c r="O1" s="159"/>
    </row>
    <row r="2" spans="1:18" s="160" customFormat="1" ht="12.75" x14ac:dyDescent="0.2">
      <c r="B2" s="161"/>
      <c r="C2" s="152"/>
      <c r="D2" s="153"/>
      <c r="E2" s="162"/>
      <c r="F2" s="163"/>
      <c r="M2" s="164"/>
      <c r="N2" s="158"/>
      <c r="O2" s="165"/>
    </row>
    <row r="3" spans="1:18" s="160" customFormat="1" ht="15.75" customHeight="1" x14ac:dyDescent="0.2">
      <c r="B3" s="166"/>
      <c r="C3" s="167"/>
      <c r="D3" s="167"/>
      <c r="E3" s="168"/>
      <c r="F3" s="169"/>
      <c r="G3" s="170"/>
      <c r="H3" s="170"/>
      <c r="I3" s="170"/>
      <c r="J3" s="170"/>
      <c r="K3" s="170"/>
      <c r="L3" s="170"/>
      <c r="M3" s="171"/>
      <c r="N3" s="172"/>
      <c r="O3" s="173"/>
    </row>
    <row r="4" spans="1:18" s="181" customFormat="1" ht="37.5" customHeight="1" x14ac:dyDescent="0.2">
      <c r="A4" s="174"/>
      <c r="B4" s="175"/>
      <c r="C4" s="176" t="s">
        <v>156</v>
      </c>
      <c r="D4" s="176" t="s">
        <v>157</v>
      </c>
      <c r="E4" s="177" t="s">
        <v>158</v>
      </c>
      <c r="F4" s="176" t="s">
        <v>159</v>
      </c>
      <c r="G4" s="176">
        <v>2011</v>
      </c>
      <c r="H4" s="178">
        <v>2012</v>
      </c>
      <c r="I4" s="176">
        <v>2013</v>
      </c>
      <c r="J4" s="178">
        <v>2014</v>
      </c>
      <c r="K4" s="176">
        <v>2015</v>
      </c>
      <c r="L4" s="176">
        <v>2016</v>
      </c>
      <c r="M4" s="176" t="s">
        <v>160</v>
      </c>
      <c r="N4" s="179" t="s">
        <v>161</v>
      </c>
      <c r="O4" s="180" t="s">
        <v>162</v>
      </c>
      <c r="Q4" s="182" t="s">
        <v>163</v>
      </c>
      <c r="R4" s="182" t="s">
        <v>164</v>
      </c>
    </row>
    <row r="5" spans="1:18" ht="12.75" customHeight="1" x14ac:dyDescent="0.2">
      <c r="B5" s="183" t="s">
        <v>103</v>
      </c>
      <c r="C5" s="184">
        <v>5.5</v>
      </c>
      <c r="D5" s="185">
        <v>30</v>
      </c>
      <c r="E5" s="186">
        <f>C5*D5</f>
        <v>165</v>
      </c>
      <c r="F5" s="187">
        <v>42826</v>
      </c>
      <c r="G5" s="188"/>
      <c r="H5" s="189"/>
      <c r="I5" s="189">
        <v>1</v>
      </c>
      <c r="J5" s="189">
        <v>1</v>
      </c>
      <c r="K5" s="189">
        <v>1</v>
      </c>
      <c r="L5" s="190">
        <v>1</v>
      </c>
      <c r="M5" s="186">
        <f>C5*R5</f>
        <v>209.55</v>
      </c>
      <c r="N5" s="191" t="s">
        <v>165</v>
      </c>
      <c r="O5" s="192"/>
      <c r="P5" s="158"/>
      <c r="Q5" s="193">
        <v>41395</v>
      </c>
      <c r="R5" s="194">
        <v>38.1</v>
      </c>
    </row>
    <row r="6" spans="1:18" ht="12.75" customHeight="1" x14ac:dyDescent="0.2">
      <c r="B6" s="195" t="s">
        <v>106</v>
      </c>
      <c r="C6" s="196">
        <v>4.28</v>
      </c>
      <c r="D6" s="197">
        <v>30</v>
      </c>
      <c r="E6" s="198">
        <f>C6*D6</f>
        <v>128.4</v>
      </c>
      <c r="F6" s="199">
        <v>46388</v>
      </c>
      <c r="G6" s="200"/>
      <c r="H6" s="201"/>
      <c r="I6" s="201"/>
      <c r="J6" s="201">
        <v>1</v>
      </c>
      <c r="K6" s="201">
        <v>1</v>
      </c>
      <c r="L6" s="202">
        <v>1</v>
      </c>
      <c r="M6" s="203"/>
      <c r="N6" s="158" t="s">
        <v>166</v>
      </c>
      <c r="O6" s="204"/>
      <c r="P6" s="158" t="s">
        <v>167</v>
      </c>
      <c r="Q6" s="193">
        <v>41640</v>
      </c>
      <c r="R6" s="194"/>
    </row>
    <row r="7" spans="1:18" ht="12.75" customHeight="1" x14ac:dyDescent="0.2">
      <c r="B7" s="195" t="s">
        <v>107</v>
      </c>
      <c r="C7" s="196">
        <v>4.3</v>
      </c>
      <c r="D7" s="197">
        <v>28</v>
      </c>
      <c r="E7" s="198">
        <f>C7*30</f>
        <v>129</v>
      </c>
      <c r="F7" s="199">
        <v>46753</v>
      </c>
      <c r="G7" s="200"/>
      <c r="H7" s="201"/>
      <c r="I7" s="201"/>
      <c r="J7" s="201">
        <v>1</v>
      </c>
      <c r="K7" s="201">
        <v>1</v>
      </c>
      <c r="L7" s="202">
        <v>1</v>
      </c>
      <c r="M7" s="203">
        <f>C7*D7</f>
        <v>120.39999999999999</v>
      </c>
      <c r="N7" s="158" t="s">
        <v>166</v>
      </c>
      <c r="O7" s="205"/>
      <c r="P7" s="158"/>
      <c r="Q7" s="193">
        <v>41791</v>
      </c>
      <c r="R7" s="194"/>
    </row>
    <row r="8" spans="1:18" ht="12.75" x14ac:dyDescent="0.2">
      <c r="B8" s="195" t="s">
        <v>108</v>
      </c>
      <c r="C8" s="196">
        <v>8.69</v>
      </c>
      <c r="D8" s="197">
        <v>30</v>
      </c>
      <c r="E8" s="198">
        <f>C8*D8</f>
        <v>260.7</v>
      </c>
      <c r="F8" s="199">
        <v>47423</v>
      </c>
      <c r="G8" s="200"/>
      <c r="H8" s="201"/>
      <c r="I8" s="201"/>
      <c r="J8" s="201">
        <v>1</v>
      </c>
      <c r="K8" s="201">
        <v>1</v>
      </c>
      <c r="L8" s="202">
        <v>1</v>
      </c>
      <c r="M8" s="186">
        <f>C8*R8</f>
        <v>245.92699999999999</v>
      </c>
      <c r="N8" s="158" t="s">
        <v>168</v>
      </c>
      <c r="O8" s="205"/>
      <c r="P8" s="158"/>
      <c r="Q8" s="193">
        <v>41671</v>
      </c>
      <c r="R8" s="194">
        <v>28.3</v>
      </c>
    </row>
    <row r="9" spans="1:18" ht="12.75" x14ac:dyDescent="0.2">
      <c r="B9" s="195" t="s">
        <v>109</v>
      </c>
      <c r="C9" s="206">
        <f>E9/D9</f>
        <v>4.8340000000000005</v>
      </c>
      <c r="D9" s="207">
        <v>30</v>
      </c>
      <c r="E9" s="208">
        <v>145.02000000000001</v>
      </c>
      <c r="F9" s="209">
        <v>43282</v>
      </c>
      <c r="G9" s="200">
        <v>1</v>
      </c>
      <c r="H9" s="201">
        <v>1</v>
      </c>
      <c r="I9" s="201">
        <v>1</v>
      </c>
      <c r="J9" s="201">
        <v>1</v>
      </c>
      <c r="K9" s="201">
        <v>1</v>
      </c>
      <c r="L9" s="202">
        <v>1</v>
      </c>
      <c r="M9" s="186">
        <v>165.97</v>
      </c>
      <c r="N9" s="158" t="s">
        <v>168</v>
      </c>
      <c r="O9" s="205"/>
      <c r="P9" s="158"/>
      <c r="Q9" s="210" t="s">
        <v>169</v>
      </c>
      <c r="R9" s="194">
        <v>0.245</v>
      </c>
    </row>
    <row r="10" spans="1:18" ht="12.75" x14ac:dyDescent="0.2">
      <c r="B10" s="195" t="s">
        <v>110</v>
      </c>
      <c r="C10" s="211">
        <f>E10/D10</f>
        <v>6.9786666666666672</v>
      </c>
      <c r="D10" s="197">
        <v>30</v>
      </c>
      <c r="E10" s="212">
        <v>209.36</v>
      </c>
      <c r="F10" s="197">
        <v>2020</v>
      </c>
      <c r="G10" s="200">
        <v>1</v>
      </c>
      <c r="H10" s="201">
        <v>1</v>
      </c>
      <c r="I10" s="201">
        <v>1</v>
      </c>
      <c r="J10" s="201">
        <v>1</v>
      </c>
      <c r="K10" s="201">
        <v>1</v>
      </c>
      <c r="L10" s="202">
        <v>1</v>
      </c>
      <c r="M10" s="213">
        <v>236</v>
      </c>
      <c r="N10" s="158" t="s">
        <v>168</v>
      </c>
      <c r="O10" s="205"/>
      <c r="P10" s="158"/>
      <c r="Q10" s="210" t="s">
        <v>169</v>
      </c>
      <c r="R10" s="194">
        <v>1.06</v>
      </c>
    </row>
    <row r="11" spans="1:18" ht="12.75" x14ac:dyDescent="0.2">
      <c r="B11" s="195" t="s">
        <v>111</v>
      </c>
      <c r="C11" s="196">
        <f>E11/D11</f>
        <v>5.54</v>
      </c>
      <c r="D11" s="197">
        <v>30</v>
      </c>
      <c r="E11" s="198">
        <v>166.2</v>
      </c>
      <c r="F11" s="199">
        <v>44136</v>
      </c>
      <c r="G11" s="200">
        <v>1</v>
      </c>
      <c r="H11" s="201">
        <v>1</v>
      </c>
      <c r="I11" s="201">
        <v>1</v>
      </c>
      <c r="J11" s="201">
        <v>1</v>
      </c>
      <c r="K11" s="201">
        <v>1</v>
      </c>
      <c r="L11" s="202">
        <v>1</v>
      </c>
      <c r="M11" s="213">
        <v>207.46</v>
      </c>
      <c r="N11" s="158" t="s">
        <v>170</v>
      </c>
      <c r="O11" s="205"/>
      <c r="P11" s="158"/>
      <c r="Q11" s="210" t="s">
        <v>169</v>
      </c>
      <c r="R11" s="194">
        <v>68.099999999999994</v>
      </c>
    </row>
    <row r="12" spans="1:18" ht="12.75" customHeight="1" x14ac:dyDescent="0.2">
      <c r="B12" s="195" t="s">
        <v>112</v>
      </c>
      <c r="C12" s="214">
        <v>34.129927833263999</v>
      </c>
      <c r="D12" s="197">
        <v>30</v>
      </c>
      <c r="E12" s="215">
        <f>C12*D12</f>
        <v>1023.89783499792</v>
      </c>
      <c r="F12" s="199">
        <v>44927</v>
      </c>
      <c r="G12" s="216">
        <v>1</v>
      </c>
      <c r="H12" s="217">
        <v>1</v>
      </c>
      <c r="I12" s="217">
        <v>1</v>
      </c>
      <c r="J12" s="217">
        <v>1</v>
      </c>
      <c r="K12" s="217">
        <v>1</v>
      </c>
      <c r="L12" s="218">
        <v>1</v>
      </c>
      <c r="M12" s="186">
        <f>C12*R12</f>
        <v>1063.0436574349801</v>
      </c>
      <c r="N12" s="158" t="s">
        <v>171</v>
      </c>
      <c r="O12" s="205"/>
      <c r="P12" s="158"/>
      <c r="Q12" s="210" t="s">
        <v>169</v>
      </c>
      <c r="R12" s="194">
        <v>31.146964699963636</v>
      </c>
    </row>
    <row r="13" spans="1:18" ht="12.75" customHeight="1" x14ac:dyDescent="0.25">
      <c r="B13" s="195" t="s">
        <v>113</v>
      </c>
      <c r="C13" s="196">
        <v>7.46</v>
      </c>
      <c r="D13" s="197">
        <v>30</v>
      </c>
      <c r="E13" s="198">
        <f>C13*D13</f>
        <v>223.8</v>
      </c>
      <c r="F13" s="199">
        <v>44562</v>
      </c>
      <c r="G13" s="200">
        <v>1</v>
      </c>
      <c r="H13" s="201">
        <v>1</v>
      </c>
      <c r="I13" s="201">
        <v>1</v>
      </c>
      <c r="J13" s="201">
        <v>1</v>
      </c>
      <c r="K13" s="201">
        <v>1</v>
      </c>
      <c r="L13" s="202">
        <v>1</v>
      </c>
      <c r="M13" s="213">
        <v>258.36485284705242</v>
      </c>
      <c r="N13" s="158" t="s">
        <v>172</v>
      </c>
      <c r="O13" s="205"/>
      <c r="P13" s="158"/>
      <c r="Q13" s="210" t="s">
        <v>169</v>
      </c>
      <c r="R13" s="194"/>
    </row>
    <row r="14" spans="1:18" ht="12.75" customHeight="1" x14ac:dyDescent="0.25">
      <c r="B14" s="195" t="s">
        <v>114</v>
      </c>
      <c r="C14" s="196">
        <v>7.46</v>
      </c>
      <c r="D14" s="197">
        <v>30</v>
      </c>
      <c r="E14" s="198">
        <f>C14*D14</f>
        <v>223.8</v>
      </c>
      <c r="F14" s="199">
        <v>44562</v>
      </c>
      <c r="G14" s="200">
        <v>1</v>
      </c>
      <c r="H14" s="201">
        <v>1</v>
      </c>
      <c r="I14" s="201">
        <v>1</v>
      </c>
      <c r="J14" s="201">
        <v>1</v>
      </c>
      <c r="K14" s="201">
        <v>1</v>
      </c>
      <c r="L14" s="202">
        <v>1</v>
      </c>
      <c r="M14" s="213">
        <v>275.33437521408848</v>
      </c>
      <c r="N14" s="158" t="s">
        <v>172</v>
      </c>
      <c r="O14" s="205"/>
      <c r="P14" s="158"/>
      <c r="Q14" s="210" t="s">
        <v>169</v>
      </c>
      <c r="R14" s="194"/>
    </row>
    <row r="15" spans="1:18" ht="12.75" customHeight="1" x14ac:dyDescent="0.25">
      <c r="A15" s="119" t="s">
        <v>173</v>
      </c>
      <c r="B15" s="195" t="s">
        <v>115</v>
      </c>
      <c r="C15" s="196">
        <v>7.46</v>
      </c>
      <c r="D15" s="197">
        <v>30</v>
      </c>
      <c r="E15" s="198">
        <f>C15*D15</f>
        <v>223.8</v>
      </c>
      <c r="F15" s="199">
        <v>44562</v>
      </c>
      <c r="G15" s="200">
        <v>1</v>
      </c>
      <c r="H15" s="201">
        <v>1</v>
      </c>
      <c r="I15" s="201">
        <v>1</v>
      </c>
      <c r="J15" s="201">
        <v>1</v>
      </c>
      <c r="K15" s="201">
        <v>1</v>
      </c>
      <c r="L15" s="202">
        <v>1</v>
      </c>
      <c r="M15" s="213">
        <v>270.16959529059795</v>
      </c>
      <c r="N15" s="158" t="s">
        <v>172</v>
      </c>
      <c r="O15" s="205"/>
      <c r="P15" s="158"/>
      <c r="Q15" s="210" t="s">
        <v>169</v>
      </c>
      <c r="R15" s="194"/>
    </row>
    <row r="16" spans="1:18" ht="12.75" customHeight="1" x14ac:dyDescent="0.25">
      <c r="B16" s="195" t="s">
        <v>116</v>
      </c>
      <c r="C16" s="196">
        <v>7.46</v>
      </c>
      <c r="D16" s="197">
        <v>30</v>
      </c>
      <c r="E16" s="198">
        <f>C16*D16</f>
        <v>223.8</v>
      </c>
      <c r="F16" s="199">
        <v>44562</v>
      </c>
      <c r="G16" s="200">
        <v>1</v>
      </c>
      <c r="H16" s="201">
        <v>1</v>
      </c>
      <c r="I16" s="201">
        <v>1</v>
      </c>
      <c r="J16" s="201">
        <v>1</v>
      </c>
      <c r="K16" s="201">
        <v>1</v>
      </c>
      <c r="L16" s="202">
        <v>1</v>
      </c>
      <c r="M16" s="213">
        <v>264.69574485940302</v>
      </c>
      <c r="N16" s="158" t="s">
        <v>172</v>
      </c>
      <c r="O16" s="205"/>
      <c r="P16" s="158"/>
      <c r="Q16" s="210" t="s">
        <v>169</v>
      </c>
      <c r="R16" s="194"/>
    </row>
    <row r="17" spans="1:18" ht="15" x14ac:dyDescent="0.25">
      <c r="B17" s="195" t="s">
        <v>118</v>
      </c>
      <c r="C17" s="196">
        <f>E17/D17</f>
        <v>4.1176666666666666</v>
      </c>
      <c r="D17" s="197">
        <v>30</v>
      </c>
      <c r="E17" s="198">
        <v>123.53</v>
      </c>
      <c r="F17" s="199">
        <v>43191</v>
      </c>
      <c r="G17" s="200">
        <v>1</v>
      </c>
      <c r="H17" s="201">
        <v>1</v>
      </c>
      <c r="I17" s="201">
        <v>1</v>
      </c>
      <c r="J17" s="201">
        <v>1</v>
      </c>
      <c r="K17" s="201">
        <v>1</v>
      </c>
      <c r="L17" s="202">
        <v>1</v>
      </c>
      <c r="M17" s="203">
        <v>137.91</v>
      </c>
      <c r="N17" s="158" t="s">
        <v>168</v>
      </c>
      <c r="O17" s="205"/>
      <c r="P17" s="158"/>
      <c r="Q17" s="210" t="s">
        <v>169</v>
      </c>
      <c r="R17" s="194">
        <v>18</v>
      </c>
    </row>
    <row r="18" spans="1:18" ht="12.75" customHeight="1" x14ac:dyDescent="0.25">
      <c r="B18" s="195" t="s">
        <v>119</v>
      </c>
      <c r="C18" s="196">
        <f>E18/D18</f>
        <v>2.64</v>
      </c>
      <c r="D18" s="197">
        <v>30</v>
      </c>
      <c r="E18" s="198">
        <v>79.2</v>
      </c>
      <c r="F18" s="199">
        <v>43101</v>
      </c>
      <c r="G18" s="200">
        <v>1</v>
      </c>
      <c r="H18" s="201">
        <v>1</v>
      </c>
      <c r="I18" s="201">
        <v>1</v>
      </c>
      <c r="J18" s="201">
        <v>1</v>
      </c>
      <c r="K18" s="201">
        <v>1</v>
      </c>
      <c r="L18" s="202">
        <v>1</v>
      </c>
      <c r="M18" s="203">
        <f>E18*1.29</f>
        <v>102.16800000000001</v>
      </c>
      <c r="N18" s="158" t="s">
        <v>174</v>
      </c>
      <c r="O18" s="205"/>
      <c r="P18" s="158"/>
      <c r="Q18" s="210" t="s">
        <v>169</v>
      </c>
      <c r="R18" s="194"/>
    </row>
    <row r="19" spans="1:18" ht="12.75" x14ac:dyDescent="0.2">
      <c r="B19" s="195" t="s">
        <v>120</v>
      </c>
      <c r="C19" s="196">
        <f>E19/D19</f>
        <v>1.5833333333333333</v>
      </c>
      <c r="D19" s="197">
        <v>30</v>
      </c>
      <c r="E19" s="198">
        <v>47.5</v>
      </c>
      <c r="F19" s="199">
        <v>42156</v>
      </c>
      <c r="G19" s="200">
        <v>1</v>
      </c>
      <c r="H19" s="201">
        <v>1</v>
      </c>
      <c r="I19" s="201">
        <v>1</v>
      </c>
      <c r="J19" s="201">
        <v>1</v>
      </c>
      <c r="K19" s="201">
        <v>1</v>
      </c>
      <c r="L19" s="202">
        <v>1</v>
      </c>
      <c r="M19" s="213">
        <v>57.98</v>
      </c>
      <c r="N19" s="158" t="s">
        <v>168</v>
      </c>
      <c r="O19" s="205"/>
      <c r="P19" s="158"/>
      <c r="Q19" s="210" t="s">
        <v>169</v>
      </c>
      <c r="R19" s="194">
        <v>7.4</v>
      </c>
    </row>
    <row r="20" spans="1:18" ht="12.75" customHeight="1" x14ac:dyDescent="0.2">
      <c r="B20" s="195" t="s">
        <v>121</v>
      </c>
      <c r="C20" s="196">
        <f>10.45*2</f>
        <v>20.9</v>
      </c>
      <c r="D20" s="197">
        <v>30</v>
      </c>
      <c r="E20" s="198">
        <f>C20*D20</f>
        <v>627</v>
      </c>
      <c r="F20" s="199">
        <v>43831</v>
      </c>
      <c r="G20" s="200">
        <v>1</v>
      </c>
      <c r="H20" s="201">
        <v>1</v>
      </c>
      <c r="I20" s="201">
        <v>1</v>
      </c>
      <c r="J20" s="201">
        <v>1</v>
      </c>
      <c r="K20" s="201">
        <v>1</v>
      </c>
      <c r="L20" s="202">
        <v>1</v>
      </c>
      <c r="M20" s="213">
        <f>C20*R20</f>
        <v>982.3</v>
      </c>
      <c r="N20" s="158" t="s">
        <v>175</v>
      </c>
      <c r="O20" s="205"/>
      <c r="P20" s="158"/>
      <c r="Q20" s="210" t="s">
        <v>169</v>
      </c>
      <c r="R20" s="194">
        <v>47</v>
      </c>
    </row>
    <row r="21" spans="1:18" ht="12.75" customHeight="1" x14ac:dyDescent="0.2">
      <c r="B21" s="195" t="s">
        <v>122</v>
      </c>
      <c r="C21" s="219">
        <v>4.7898294564969577</v>
      </c>
      <c r="D21" s="197">
        <v>30</v>
      </c>
      <c r="E21" s="215">
        <f>C21*D21</f>
        <v>143.69488369490873</v>
      </c>
      <c r="F21" s="199">
        <v>42826</v>
      </c>
      <c r="G21" s="216">
        <v>1</v>
      </c>
      <c r="H21" s="217">
        <v>1</v>
      </c>
      <c r="I21" s="217">
        <v>1</v>
      </c>
      <c r="J21" s="217">
        <v>1</v>
      </c>
      <c r="K21" s="217">
        <v>1</v>
      </c>
      <c r="L21" s="218">
        <v>1</v>
      </c>
      <c r="M21" s="186">
        <f>C21*R21</f>
        <v>188.24029764033043</v>
      </c>
      <c r="N21" s="158" t="s">
        <v>165</v>
      </c>
      <c r="O21" s="205"/>
      <c r="P21" s="158"/>
      <c r="Q21" s="210" t="s">
        <v>169</v>
      </c>
      <c r="R21" s="194">
        <v>39.299999999999997</v>
      </c>
    </row>
    <row r="22" spans="1:18" ht="12.75" customHeight="1" x14ac:dyDescent="0.2">
      <c r="B22" s="195" t="s">
        <v>123</v>
      </c>
      <c r="C22" s="219">
        <v>4.7273698613192687</v>
      </c>
      <c r="D22" s="197">
        <v>30</v>
      </c>
      <c r="E22" s="215">
        <f>C22*D22</f>
        <v>141.82109583957805</v>
      </c>
      <c r="F22" s="199">
        <v>42705</v>
      </c>
      <c r="G22" s="216">
        <v>1</v>
      </c>
      <c r="H22" s="217">
        <v>1</v>
      </c>
      <c r="I22" s="217">
        <v>1</v>
      </c>
      <c r="J22" s="217">
        <v>1</v>
      </c>
      <c r="K22" s="217">
        <v>1</v>
      </c>
      <c r="L22" s="218">
        <v>0.9797282562495605</v>
      </c>
      <c r="M22" s="186">
        <f>C22*R22</f>
        <v>187.20384650824306</v>
      </c>
      <c r="N22" s="158" t="s">
        <v>165</v>
      </c>
      <c r="O22" s="205"/>
      <c r="P22" s="158"/>
      <c r="Q22" s="210" t="s">
        <v>169</v>
      </c>
      <c r="R22" s="194">
        <v>39.6</v>
      </c>
    </row>
    <row r="23" spans="1:18" ht="12.75" customHeight="1" x14ac:dyDescent="0.2">
      <c r="B23" s="195" t="s">
        <v>124</v>
      </c>
      <c r="C23" s="219">
        <v>4.7488681865006752</v>
      </c>
      <c r="D23" s="197">
        <v>30</v>
      </c>
      <c r="E23" s="215">
        <f>C23*D23</f>
        <v>142.46604559502026</v>
      </c>
      <c r="F23" s="199">
        <f>F22</f>
        <v>42705</v>
      </c>
      <c r="G23" s="216">
        <v>1</v>
      </c>
      <c r="H23" s="217">
        <v>1</v>
      </c>
      <c r="I23" s="217">
        <v>1</v>
      </c>
      <c r="J23" s="217">
        <v>1</v>
      </c>
      <c r="K23" s="217">
        <v>1</v>
      </c>
      <c r="L23" s="218">
        <v>0.98222010041810193</v>
      </c>
      <c r="M23" s="186">
        <f>C23*R23</f>
        <v>187.4057560237359</v>
      </c>
      <c r="N23" s="158" t="s">
        <v>165</v>
      </c>
      <c r="O23" s="205"/>
      <c r="P23" s="158"/>
      <c r="Q23" s="210" t="s">
        <v>169</v>
      </c>
      <c r="R23" s="194">
        <v>39.463246538714863</v>
      </c>
    </row>
    <row r="24" spans="1:18" ht="12.75" customHeight="1" x14ac:dyDescent="0.2">
      <c r="B24" s="220" t="s">
        <v>125</v>
      </c>
      <c r="C24" s="221">
        <f>+E24/D24</f>
        <v>3.6</v>
      </c>
      <c r="D24" s="222">
        <v>30</v>
      </c>
      <c r="E24" s="223">
        <v>108</v>
      </c>
      <c r="F24" s="224">
        <v>42736</v>
      </c>
      <c r="G24" s="225">
        <v>1</v>
      </c>
      <c r="H24" s="226">
        <v>1</v>
      </c>
      <c r="I24" s="226">
        <v>1</v>
      </c>
      <c r="J24" s="226">
        <v>1</v>
      </c>
      <c r="K24" s="226">
        <v>1</v>
      </c>
      <c r="L24" s="227">
        <v>1</v>
      </c>
      <c r="M24" s="228"/>
      <c r="N24" s="229" t="s">
        <v>166</v>
      </c>
      <c r="O24" s="230"/>
      <c r="P24" s="158"/>
      <c r="Q24" s="210" t="s">
        <v>169</v>
      </c>
      <c r="R24" s="194"/>
    </row>
    <row r="26" spans="1:18" s="231" customFormat="1" ht="12.75" x14ac:dyDescent="0.2">
      <c r="B26" s="232"/>
      <c r="C26" s="197"/>
      <c r="D26" s="197"/>
      <c r="E26" s="198"/>
      <c r="F26" s="233"/>
      <c r="M26" s="234"/>
      <c r="N26" s="158"/>
      <c r="O26" s="235"/>
    </row>
    <row r="27" spans="1:18" ht="12.75" x14ac:dyDescent="0.2">
      <c r="A27" s="236" t="s">
        <v>176</v>
      </c>
    </row>
    <row r="28" spans="1:18" ht="12.75" x14ac:dyDescent="0.2">
      <c r="B28" s="183" t="s">
        <v>140</v>
      </c>
      <c r="C28" s="238">
        <v>14.4</v>
      </c>
      <c r="D28" s="239">
        <f>E28/C28</f>
        <v>30</v>
      </c>
      <c r="E28" s="240">
        <v>432</v>
      </c>
      <c r="F28" s="241"/>
      <c r="G28" s="242"/>
      <c r="H28" s="242"/>
      <c r="I28" s="242"/>
      <c r="J28" s="243"/>
      <c r="K28" s="243"/>
      <c r="L28" s="243"/>
      <c r="M28" s="244"/>
      <c r="N28" s="245" t="s">
        <v>166</v>
      </c>
      <c r="O28" s="246"/>
      <c r="P28" s="158"/>
      <c r="Q28" s="247"/>
    </row>
    <row r="29" spans="1:18" ht="12.75" x14ac:dyDescent="0.2">
      <c r="B29" s="195" t="s">
        <v>141</v>
      </c>
      <c r="C29" s="248">
        <v>5.2</v>
      </c>
      <c r="D29" s="207">
        <f t="shared" ref="D29:D38" si="0">E29/C29</f>
        <v>30</v>
      </c>
      <c r="E29" s="208">
        <v>156</v>
      </c>
      <c r="F29" s="249">
        <v>40269</v>
      </c>
      <c r="G29" s="217">
        <v>0.03</v>
      </c>
      <c r="H29" s="217">
        <v>0.01</v>
      </c>
      <c r="I29" s="217">
        <v>0.01</v>
      </c>
      <c r="J29" s="217"/>
      <c r="K29" s="250"/>
      <c r="L29" s="250"/>
      <c r="M29" s="251"/>
      <c r="N29" s="204" t="s">
        <v>166</v>
      </c>
      <c r="O29" s="246"/>
      <c r="P29" s="158"/>
      <c r="Q29" s="247"/>
    </row>
    <row r="30" spans="1:18" ht="12.75" x14ac:dyDescent="0.2">
      <c r="B30" s="195" t="s">
        <v>142</v>
      </c>
      <c r="C30" s="248">
        <f>AVERAGE(C29,C31)</f>
        <v>5.9833333333333334</v>
      </c>
      <c r="D30" s="207">
        <f t="shared" si="0"/>
        <v>30</v>
      </c>
      <c r="E30" s="208">
        <f>AVERAGE(E29,E31)</f>
        <v>179.5</v>
      </c>
      <c r="F30" s="249">
        <v>40269</v>
      </c>
      <c r="G30" s="217">
        <v>0.03</v>
      </c>
      <c r="H30" s="217">
        <v>0.01</v>
      </c>
      <c r="I30" s="217">
        <v>0.01</v>
      </c>
      <c r="J30" s="217"/>
      <c r="K30" s="250"/>
      <c r="L30" s="250"/>
      <c r="M30" s="251"/>
      <c r="N30" s="204" t="s">
        <v>166</v>
      </c>
      <c r="O30" s="246"/>
      <c r="P30" s="158"/>
      <c r="Q30" s="247"/>
    </row>
    <row r="31" spans="1:18" ht="12.75" x14ac:dyDescent="0.2">
      <c r="B31" s="195" t="s">
        <v>143</v>
      </c>
      <c r="C31" s="248">
        <v>6.7666666666666666</v>
      </c>
      <c r="D31" s="207">
        <f t="shared" si="0"/>
        <v>30</v>
      </c>
      <c r="E31" s="208">
        <v>203</v>
      </c>
      <c r="F31" s="249">
        <v>40269</v>
      </c>
      <c r="G31" s="217">
        <v>0.03</v>
      </c>
      <c r="H31" s="217">
        <v>0.01</v>
      </c>
      <c r="I31" s="217">
        <v>0.01</v>
      </c>
      <c r="J31" s="217"/>
      <c r="K31" s="250"/>
      <c r="L31" s="250"/>
      <c r="M31" s="251"/>
      <c r="N31" s="204" t="s">
        <v>166</v>
      </c>
      <c r="O31" s="246"/>
      <c r="P31" s="158"/>
      <c r="Q31" s="247"/>
    </row>
    <row r="32" spans="1:18" ht="12.75" x14ac:dyDescent="0.2">
      <c r="B32" s="195" t="s">
        <v>144</v>
      </c>
      <c r="C32" s="248">
        <v>3.0333333333333332</v>
      </c>
      <c r="D32" s="207">
        <f t="shared" si="0"/>
        <v>30</v>
      </c>
      <c r="E32" s="208">
        <v>91</v>
      </c>
      <c r="F32" s="249">
        <v>39479</v>
      </c>
      <c r="G32" s="217">
        <v>0.01</v>
      </c>
      <c r="H32" s="217">
        <v>0.01</v>
      </c>
      <c r="I32" s="217">
        <v>0.01</v>
      </c>
      <c r="J32" s="217"/>
      <c r="K32" s="250"/>
      <c r="L32" s="250"/>
      <c r="M32" s="251"/>
      <c r="N32" s="204" t="s">
        <v>166</v>
      </c>
      <c r="O32" s="246"/>
      <c r="P32" s="158"/>
      <c r="Q32" s="247"/>
    </row>
    <row r="33" spans="1:17" ht="12.75" x14ac:dyDescent="0.2">
      <c r="B33" s="195" t="s">
        <v>145</v>
      </c>
      <c r="C33" s="248">
        <v>3.6666666666666665</v>
      </c>
      <c r="D33" s="207">
        <f t="shared" si="0"/>
        <v>30</v>
      </c>
      <c r="E33" s="208">
        <v>110</v>
      </c>
      <c r="F33" s="249">
        <v>39479</v>
      </c>
      <c r="G33" s="217">
        <v>0.03</v>
      </c>
      <c r="H33" s="217">
        <v>0.01</v>
      </c>
      <c r="I33" s="217">
        <v>0.01</v>
      </c>
      <c r="J33" s="217"/>
      <c r="K33" s="250"/>
      <c r="L33" s="250"/>
      <c r="M33" s="251"/>
      <c r="N33" s="204" t="s">
        <v>166</v>
      </c>
      <c r="O33" s="246"/>
      <c r="P33" s="158"/>
      <c r="Q33" s="247"/>
    </row>
    <row r="34" spans="1:17" ht="12.75" x14ac:dyDescent="0.2">
      <c r="B34" s="195" t="s">
        <v>146</v>
      </c>
      <c r="C34" s="248">
        <v>3.8</v>
      </c>
      <c r="D34" s="207">
        <f t="shared" si="0"/>
        <v>30</v>
      </c>
      <c r="E34" s="208">
        <v>114</v>
      </c>
      <c r="F34" s="249"/>
      <c r="G34" s="217">
        <v>1</v>
      </c>
      <c r="H34" s="217">
        <v>1</v>
      </c>
      <c r="I34" s="217">
        <v>0.15</v>
      </c>
      <c r="J34" s="250">
        <v>0.05</v>
      </c>
      <c r="K34" s="250">
        <v>0.05</v>
      </c>
      <c r="L34" s="250">
        <v>0.05</v>
      </c>
      <c r="M34" s="251"/>
      <c r="N34" s="204" t="s">
        <v>166</v>
      </c>
      <c r="O34" s="246"/>
      <c r="P34" s="158"/>
      <c r="Q34" s="247"/>
    </row>
    <row r="35" spans="1:17" ht="12.75" x14ac:dyDescent="0.2">
      <c r="B35" s="195" t="s">
        <v>117</v>
      </c>
      <c r="C35" s="248">
        <f>E35/D35</f>
        <v>18.466666666666665</v>
      </c>
      <c r="D35" s="207">
        <v>30</v>
      </c>
      <c r="E35" s="208">
        <v>554</v>
      </c>
      <c r="F35" s="249">
        <v>41275</v>
      </c>
      <c r="G35" s="217"/>
      <c r="H35" s="217"/>
      <c r="I35" s="217"/>
      <c r="J35" s="250"/>
      <c r="K35" s="250"/>
      <c r="L35" s="250"/>
      <c r="M35" s="251"/>
      <c r="N35" s="204" t="s">
        <v>166</v>
      </c>
      <c r="O35" s="246"/>
      <c r="P35" s="158"/>
      <c r="Q35" s="247"/>
    </row>
    <row r="36" spans="1:17" ht="12.75" x14ac:dyDescent="0.2">
      <c r="B36" s="195" t="s">
        <v>137</v>
      </c>
      <c r="C36" s="248">
        <f>32000/(1+VLOOKUP($B36&amp;"*",Price2013,COLUMN(G:G),0))</f>
        <v>27596.080357647243</v>
      </c>
      <c r="D36" s="207"/>
      <c r="E36" s="208"/>
      <c r="F36" s="249">
        <v>41487</v>
      </c>
      <c r="G36" s="250">
        <v>1</v>
      </c>
      <c r="H36" s="250">
        <v>1</v>
      </c>
      <c r="I36" s="250">
        <v>0.74</v>
      </c>
      <c r="J36" s="250">
        <v>0.1</v>
      </c>
      <c r="K36" s="250">
        <v>0.08</v>
      </c>
      <c r="L36" s="250">
        <v>0.08</v>
      </c>
      <c r="M36" s="251"/>
      <c r="N36" s="158" t="s">
        <v>177</v>
      </c>
      <c r="O36" s="246"/>
      <c r="P36" s="158"/>
      <c r="Q36" s="247"/>
    </row>
    <row r="37" spans="1:17" ht="12.75" x14ac:dyDescent="0.2">
      <c r="B37" s="195" t="s">
        <v>147</v>
      </c>
      <c r="C37" s="248">
        <v>7.5</v>
      </c>
      <c r="D37" s="207">
        <f t="shared" si="0"/>
        <v>30</v>
      </c>
      <c r="E37" s="208">
        <v>225</v>
      </c>
      <c r="F37" s="249"/>
      <c r="G37" s="217"/>
      <c r="H37" s="217"/>
      <c r="I37" s="217"/>
      <c r="J37" s="250"/>
      <c r="K37" s="250"/>
      <c r="L37" s="250"/>
      <c r="M37" s="251"/>
      <c r="N37" s="204" t="s">
        <v>166</v>
      </c>
      <c r="O37" s="246"/>
      <c r="P37" s="158"/>
      <c r="Q37" s="247"/>
    </row>
    <row r="38" spans="1:17" ht="12.75" x14ac:dyDescent="0.2">
      <c r="B38" s="220" t="s">
        <v>148</v>
      </c>
      <c r="C38" s="252">
        <v>9.7333333333333325</v>
      </c>
      <c r="D38" s="253">
        <f t="shared" si="0"/>
        <v>30.000000000000004</v>
      </c>
      <c r="E38" s="254">
        <v>292</v>
      </c>
      <c r="F38" s="255">
        <v>38869</v>
      </c>
      <c r="G38" s="226">
        <v>0.1</v>
      </c>
      <c r="H38" s="226">
        <v>0.1</v>
      </c>
      <c r="I38" s="226">
        <v>0.1</v>
      </c>
      <c r="J38" s="226"/>
      <c r="K38" s="226"/>
      <c r="L38" s="256"/>
      <c r="M38" s="257"/>
      <c r="N38" s="258" t="s">
        <v>166</v>
      </c>
      <c r="O38" s="246"/>
      <c r="P38" s="158"/>
      <c r="Q38" s="247"/>
    </row>
    <row r="39" spans="1:17" ht="12.75" x14ac:dyDescent="0.2">
      <c r="B39" s="197"/>
      <c r="C39" s="208"/>
      <c r="D39" s="207"/>
      <c r="E39" s="208"/>
      <c r="F39" s="259"/>
      <c r="G39" s="250"/>
      <c r="H39" s="250"/>
      <c r="I39" s="250"/>
      <c r="J39" s="250"/>
      <c r="K39" s="250"/>
      <c r="L39" s="250"/>
      <c r="M39" s="251"/>
      <c r="O39" s="246"/>
      <c r="P39" s="158"/>
      <c r="Q39" s="247"/>
    </row>
    <row r="40" spans="1:17" ht="12.75" x14ac:dyDescent="0.2">
      <c r="N40" s="158" t="s">
        <v>178</v>
      </c>
      <c r="O40" s="246"/>
      <c r="P40" s="158"/>
      <c r="Q40" s="247"/>
    </row>
    <row r="41" spans="1:17" ht="12.75" x14ac:dyDescent="0.2">
      <c r="A41" s="236" t="s">
        <v>179</v>
      </c>
      <c r="N41" s="158" t="s">
        <v>178</v>
      </c>
      <c r="O41" s="246"/>
      <c r="P41" s="158"/>
      <c r="Q41" s="247"/>
    </row>
    <row r="42" spans="1:17" ht="12.75" x14ac:dyDescent="0.2">
      <c r="A42" s="236"/>
      <c r="B42" s="145" t="s">
        <v>180</v>
      </c>
      <c r="N42" s="158" t="s">
        <v>181</v>
      </c>
      <c r="O42" s="246"/>
      <c r="P42" s="158"/>
      <c r="Q42" s="247"/>
    </row>
    <row r="43" spans="1:17" s="160" customFormat="1" ht="20.25" customHeight="1" x14ac:dyDescent="0.25">
      <c r="B43" s="166"/>
      <c r="C43" s="308" t="s">
        <v>182</v>
      </c>
      <c r="D43" s="308"/>
      <c r="E43" s="308"/>
      <c r="F43" s="309" t="s">
        <v>159</v>
      </c>
      <c r="G43" s="170"/>
      <c r="H43" s="170"/>
      <c r="I43" s="170"/>
      <c r="J43" s="170"/>
      <c r="K43" s="170"/>
      <c r="L43" s="170"/>
      <c r="M43" s="171"/>
      <c r="N43" s="172"/>
      <c r="O43" s="173"/>
    </row>
    <row r="44" spans="1:17" s="152" customFormat="1" ht="17.25" customHeight="1" x14ac:dyDescent="0.25">
      <c r="A44" s="260"/>
      <c r="B44" s="261"/>
      <c r="C44" s="262">
        <v>41274</v>
      </c>
      <c r="D44" s="263" t="s">
        <v>183</v>
      </c>
      <c r="E44" s="263" t="s">
        <v>184</v>
      </c>
      <c r="F44" s="310"/>
      <c r="G44" s="263">
        <v>2011</v>
      </c>
      <c r="H44" s="264">
        <v>2012</v>
      </c>
      <c r="I44" s="263">
        <v>2013</v>
      </c>
      <c r="J44" s="264">
        <v>2014</v>
      </c>
      <c r="K44" s="263">
        <v>2015</v>
      </c>
      <c r="L44" s="263">
        <v>2016</v>
      </c>
      <c r="M44" s="176" t="s">
        <v>160</v>
      </c>
      <c r="N44" s="179" t="s">
        <v>161</v>
      </c>
      <c r="O44" s="180" t="s">
        <v>162</v>
      </c>
    </row>
    <row r="45" spans="1:17" ht="12.75" x14ac:dyDescent="0.2">
      <c r="A45" s="153" t="s">
        <v>185</v>
      </c>
      <c r="B45" s="195" t="s">
        <v>126</v>
      </c>
      <c r="C45" s="265">
        <f>191.97/(1+VLOOKUP($B45&amp;"*",Price2013,COLUMN(G:G),0))</f>
        <v>163.2801744102189</v>
      </c>
      <c r="D45" s="266"/>
      <c r="E45" s="267"/>
      <c r="F45" s="259">
        <v>41699</v>
      </c>
      <c r="G45" s="250">
        <v>1</v>
      </c>
      <c r="H45" s="250">
        <v>1</v>
      </c>
      <c r="I45" s="250">
        <v>1</v>
      </c>
      <c r="J45" s="250">
        <v>0.23</v>
      </c>
      <c r="K45" s="250">
        <v>0.01</v>
      </c>
      <c r="L45" s="250">
        <v>5.0000000000000001E-3</v>
      </c>
      <c r="M45" s="268">
        <v>182.8212</v>
      </c>
      <c r="N45" s="158" t="s">
        <v>177</v>
      </c>
      <c r="O45" s="204"/>
      <c r="P45" s="158"/>
      <c r="Q45" s="247"/>
    </row>
    <row r="46" spans="1:17" ht="12.75" x14ac:dyDescent="0.2">
      <c r="A46" s="153"/>
      <c r="B46" s="195" t="s">
        <v>104</v>
      </c>
      <c r="C46" s="265">
        <f>114/(1+VLOOKUP($B46&amp;"*",Price2013,COLUMN(G:G),0))</f>
        <v>114</v>
      </c>
      <c r="D46" s="266"/>
      <c r="E46" s="267"/>
      <c r="F46" s="209">
        <v>46023</v>
      </c>
      <c r="G46" s="250"/>
      <c r="H46" s="250"/>
      <c r="I46" s="250">
        <v>1</v>
      </c>
      <c r="J46" s="250">
        <v>1</v>
      </c>
      <c r="K46" s="250">
        <v>1</v>
      </c>
      <c r="L46" s="250">
        <v>1</v>
      </c>
      <c r="M46" s="268"/>
      <c r="N46" s="158" t="s">
        <v>177</v>
      </c>
      <c r="O46" s="204"/>
      <c r="P46" s="158"/>
      <c r="Q46" s="247"/>
    </row>
    <row r="47" spans="1:17" x14ac:dyDescent="0.25">
      <c r="A47" s="153"/>
      <c r="B47" s="195" t="s">
        <v>105</v>
      </c>
      <c r="C47" s="265">
        <f>3287/(1+VLOOKUP($B47&amp;"*",Price2013,COLUMN(G:G),0))</f>
        <v>3287</v>
      </c>
      <c r="D47" s="266"/>
      <c r="E47" s="267"/>
      <c r="F47" s="259">
        <v>44562</v>
      </c>
      <c r="G47" s="250"/>
      <c r="H47" s="250"/>
      <c r="I47" s="250"/>
      <c r="J47" s="250">
        <v>1</v>
      </c>
      <c r="K47" s="250">
        <v>1</v>
      </c>
      <c r="L47" s="250">
        <v>1</v>
      </c>
      <c r="M47" s="268"/>
      <c r="N47" s="158" t="s">
        <v>174</v>
      </c>
      <c r="O47" s="204"/>
      <c r="P47" s="158"/>
      <c r="Q47" s="247"/>
    </row>
    <row r="48" spans="1:17" x14ac:dyDescent="0.25">
      <c r="B48" s="195" t="s">
        <v>127</v>
      </c>
      <c r="C48" s="265">
        <f>90/(1+VLOOKUP($B48&amp;"*",Price2013,COLUMN(G:G),0))</f>
        <v>80.484166692563491</v>
      </c>
      <c r="D48" s="266"/>
      <c r="E48" s="267"/>
      <c r="F48" s="259">
        <v>43525</v>
      </c>
      <c r="G48" s="250">
        <v>1</v>
      </c>
      <c r="H48" s="250">
        <v>1</v>
      </c>
      <c r="I48" s="250">
        <v>1</v>
      </c>
      <c r="J48" s="250">
        <v>1</v>
      </c>
      <c r="K48" s="250">
        <v>1</v>
      </c>
      <c r="L48" s="250">
        <v>1</v>
      </c>
      <c r="M48" s="268">
        <v>86.33</v>
      </c>
      <c r="N48" s="158" t="s">
        <v>177</v>
      </c>
      <c r="O48" s="204"/>
      <c r="P48" s="158"/>
      <c r="Q48" s="247"/>
    </row>
    <row r="49" spans="1:17" x14ac:dyDescent="0.25">
      <c r="B49" s="195" t="s">
        <v>128</v>
      </c>
      <c r="C49" s="265">
        <f>43707.333*(1+12.8%)/(1+VLOOKUP($B49&amp;"*",Price2013,COLUMN(G:G),0))</f>
        <v>38138.679990717108</v>
      </c>
      <c r="D49" s="266"/>
      <c r="E49" s="267"/>
      <c r="F49" s="259">
        <v>43831</v>
      </c>
      <c r="G49" s="250">
        <v>1</v>
      </c>
      <c r="H49" s="250">
        <v>1</v>
      </c>
      <c r="I49" s="250">
        <v>1</v>
      </c>
      <c r="J49" s="250">
        <v>1</v>
      </c>
      <c r="K49" s="250">
        <v>1</v>
      </c>
      <c r="L49" s="250">
        <v>1</v>
      </c>
      <c r="M49" s="268"/>
      <c r="N49" s="158" t="s">
        <v>177</v>
      </c>
      <c r="O49" s="204"/>
      <c r="P49" s="158"/>
      <c r="Q49" s="247"/>
    </row>
    <row r="50" spans="1:17" x14ac:dyDescent="0.25">
      <c r="A50" s="153" t="s">
        <v>185</v>
      </c>
      <c r="B50" s="195" t="s">
        <v>129</v>
      </c>
      <c r="C50" s="265">
        <f>263.4048/(1+VLOOKUP($B50&amp;"*",Price2013,COLUMN(G:G),0))</f>
        <v>259.23250138691554</v>
      </c>
      <c r="D50" s="266"/>
      <c r="E50" s="267"/>
      <c r="F50" s="259">
        <v>43525</v>
      </c>
      <c r="G50" s="250">
        <v>1</v>
      </c>
      <c r="H50" s="250">
        <v>1</v>
      </c>
      <c r="I50" s="250">
        <v>1</v>
      </c>
      <c r="J50" s="250">
        <v>1</v>
      </c>
      <c r="K50" s="250">
        <v>1</v>
      </c>
      <c r="L50" s="250">
        <v>1</v>
      </c>
      <c r="M50" s="268">
        <v>256.95999999999998</v>
      </c>
      <c r="N50" s="158" t="s">
        <v>177</v>
      </c>
      <c r="O50" s="204"/>
      <c r="P50" s="158"/>
      <c r="Q50" s="247"/>
    </row>
    <row r="51" spans="1:17" x14ac:dyDescent="0.25">
      <c r="A51" s="153" t="s">
        <v>185</v>
      </c>
      <c r="B51" s="195" t="s">
        <v>130</v>
      </c>
      <c r="C51" s="265">
        <f>413.11/(1+VLOOKUP($B51&amp;"*",Price2013,COLUMN(G:G),0))</f>
        <v>396.49224736524724</v>
      </c>
      <c r="D51" s="266"/>
      <c r="E51" s="267"/>
      <c r="F51" s="259">
        <v>42095</v>
      </c>
      <c r="G51" s="250">
        <v>1</v>
      </c>
      <c r="H51" s="250">
        <v>1</v>
      </c>
      <c r="I51" s="250">
        <v>1</v>
      </c>
      <c r="J51" s="250">
        <v>1</v>
      </c>
      <c r="K51" s="250">
        <v>0.4</v>
      </c>
      <c r="L51" s="250">
        <v>7.4999999999999997E-2</v>
      </c>
      <c r="M51" s="268">
        <v>368.25</v>
      </c>
      <c r="N51" s="158" t="s">
        <v>177</v>
      </c>
      <c r="O51" s="204"/>
      <c r="P51" s="158"/>
      <c r="Q51" s="247"/>
    </row>
    <row r="52" spans="1:17" x14ac:dyDescent="0.25">
      <c r="A52" s="153" t="s">
        <v>185</v>
      </c>
      <c r="B52" s="195" t="s">
        <v>131</v>
      </c>
      <c r="C52" s="265">
        <f>289.033679347826/(1+VLOOKUP($B52&amp;"*",Price2013,COLUMN(G:G),0))</f>
        <v>283.37161703550584</v>
      </c>
      <c r="D52" s="266"/>
      <c r="E52" s="267"/>
      <c r="F52" s="259"/>
      <c r="G52" s="250">
        <v>1</v>
      </c>
      <c r="H52" s="250">
        <v>1</v>
      </c>
      <c r="I52" s="250">
        <v>1</v>
      </c>
      <c r="J52" s="250">
        <v>1</v>
      </c>
      <c r="K52" s="250">
        <v>0.79</v>
      </c>
      <c r="L52" s="250">
        <v>0.71</v>
      </c>
      <c r="M52" s="268">
        <v>289.23409999999996</v>
      </c>
      <c r="N52" s="158" t="s">
        <v>177</v>
      </c>
      <c r="O52" s="204"/>
      <c r="P52" s="158"/>
      <c r="Q52" s="247"/>
    </row>
    <row r="53" spans="1:17" x14ac:dyDescent="0.25">
      <c r="B53" s="195" t="s">
        <v>132</v>
      </c>
      <c r="C53" s="265">
        <f>(3801)/(1+VLOOKUP($B53&amp;"*",Price2013,COLUMN(G:G),0))</f>
        <v>3304.6426708398544</v>
      </c>
      <c r="D53" s="266"/>
      <c r="E53" s="267"/>
      <c r="F53" s="259" t="s">
        <v>186</v>
      </c>
      <c r="G53" s="250">
        <v>1</v>
      </c>
      <c r="H53" s="250">
        <v>1</v>
      </c>
      <c r="I53" s="250">
        <v>1</v>
      </c>
      <c r="J53" s="250">
        <v>1</v>
      </c>
      <c r="K53" s="250">
        <v>0.9</v>
      </c>
      <c r="L53" s="250">
        <v>0.8</v>
      </c>
      <c r="M53" s="268">
        <v>767</v>
      </c>
      <c r="N53" s="158" t="s">
        <v>187</v>
      </c>
      <c r="O53" s="204"/>
      <c r="P53" s="158"/>
      <c r="Q53" s="247"/>
    </row>
    <row r="54" spans="1:17" x14ac:dyDescent="0.25">
      <c r="B54" s="195" t="s">
        <v>133</v>
      </c>
      <c r="C54" s="265">
        <f>127/(1+VLOOKUP($B54&amp;"*",Price2013,COLUMN(G:G),0))</f>
        <v>109.38845822566751</v>
      </c>
      <c r="D54" s="266"/>
      <c r="E54" s="267"/>
      <c r="F54" s="259">
        <v>42005</v>
      </c>
      <c r="G54" s="250">
        <v>1</v>
      </c>
      <c r="H54" s="250">
        <v>1</v>
      </c>
      <c r="I54" s="250">
        <v>1</v>
      </c>
      <c r="J54" s="250">
        <v>1</v>
      </c>
      <c r="K54" s="250">
        <v>1</v>
      </c>
      <c r="L54" s="250">
        <v>1</v>
      </c>
      <c r="M54" s="268">
        <v>109.32</v>
      </c>
      <c r="N54" s="158" t="s">
        <v>177</v>
      </c>
      <c r="O54" s="204"/>
      <c r="P54" s="158"/>
      <c r="Q54" s="247"/>
    </row>
    <row r="55" spans="1:17" x14ac:dyDescent="0.25">
      <c r="B55" s="195" t="s">
        <v>134</v>
      </c>
      <c r="C55" s="265">
        <f>685/(1+VLOOKUP($B55&amp;"*",Price2013,COLUMN(G:G),0))</f>
        <v>657.51171926672589</v>
      </c>
      <c r="D55" s="266"/>
      <c r="E55" s="267"/>
      <c r="F55" s="259">
        <v>45292</v>
      </c>
      <c r="G55" s="250">
        <v>1</v>
      </c>
      <c r="H55" s="250">
        <v>1</v>
      </c>
      <c r="I55" s="250">
        <v>1</v>
      </c>
      <c r="J55" s="250">
        <v>1</v>
      </c>
      <c r="K55" s="250">
        <v>1</v>
      </c>
      <c r="L55" s="250">
        <v>1</v>
      </c>
      <c r="M55" s="268">
        <v>659.42</v>
      </c>
      <c r="N55" s="158" t="s">
        <v>177</v>
      </c>
      <c r="O55" s="204"/>
      <c r="P55" s="158"/>
      <c r="Q55" s="247"/>
    </row>
    <row r="56" spans="1:17" x14ac:dyDescent="0.25">
      <c r="B56" s="195" t="s">
        <v>135</v>
      </c>
      <c r="C56" s="265">
        <f>34269.48/(1+VLOOKUP($B56&amp;"*",Price2013,COLUMN(G:G),0))</f>
        <v>30562.27592972443</v>
      </c>
      <c r="D56" s="266"/>
      <c r="E56" s="267"/>
      <c r="F56" s="259">
        <v>43770</v>
      </c>
      <c r="G56" s="250">
        <v>1</v>
      </c>
      <c r="H56" s="250">
        <v>1</v>
      </c>
      <c r="I56" s="250">
        <v>1</v>
      </c>
      <c r="J56" s="250">
        <v>1</v>
      </c>
      <c r="K56" s="250">
        <v>1</v>
      </c>
      <c r="L56" s="250">
        <v>1</v>
      </c>
      <c r="M56" s="268"/>
      <c r="N56" s="158" t="s">
        <v>177</v>
      </c>
      <c r="O56" s="204"/>
      <c r="P56" s="158"/>
      <c r="Q56" s="247"/>
    </row>
    <row r="57" spans="1:17" x14ac:dyDescent="0.25">
      <c r="B57" s="195" t="s">
        <v>136</v>
      </c>
      <c r="C57" s="265">
        <f>15100/(1+VLOOKUP($B57&amp;"*",Price2013,COLUMN(G:G),0))</f>
        <v>13286.760089271287</v>
      </c>
      <c r="D57" s="266"/>
      <c r="E57" s="267"/>
      <c r="F57" s="259">
        <v>42005</v>
      </c>
      <c r="G57" s="250">
        <v>1</v>
      </c>
      <c r="H57" s="250">
        <v>1</v>
      </c>
      <c r="I57" s="250">
        <v>1</v>
      </c>
      <c r="J57" s="250">
        <v>1</v>
      </c>
      <c r="K57" s="250">
        <v>1</v>
      </c>
      <c r="L57" s="250">
        <v>1</v>
      </c>
      <c r="M57" s="268">
        <v>2594.85011482351</v>
      </c>
      <c r="N57" s="158" t="s">
        <v>177</v>
      </c>
      <c r="O57" s="204"/>
      <c r="P57" s="158"/>
      <c r="Q57" s="247"/>
    </row>
    <row r="58" spans="1:17" x14ac:dyDescent="0.25">
      <c r="B58" s="195" t="s">
        <v>138</v>
      </c>
      <c r="C58" s="265">
        <f>29065/(1+VLOOKUP($B58&amp;"*",Price2013,COLUMN(G:G),0))</f>
        <v>23401.35319498532</v>
      </c>
      <c r="D58" s="266"/>
      <c r="E58" s="267"/>
      <c r="F58" s="259">
        <v>45292</v>
      </c>
      <c r="G58" s="250">
        <v>1</v>
      </c>
      <c r="H58" s="250">
        <v>1</v>
      </c>
      <c r="I58" s="250">
        <v>1</v>
      </c>
      <c r="J58" s="250">
        <v>1</v>
      </c>
      <c r="K58" s="250">
        <v>1</v>
      </c>
      <c r="L58" s="250">
        <v>1</v>
      </c>
      <c r="M58" s="268">
        <v>5065.14693456635</v>
      </c>
      <c r="N58" s="158" t="s">
        <v>177</v>
      </c>
      <c r="O58" s="204"/>
      <c r="P58" s="158"/>
      <c r="Q58" s="247"/>
    </row>
    <row r="59" spans="1:17" x14ac:dyDescent="0.25">
      <c r="B59" s="220" t="s">
        <v>139</v>
      </c>
      <c r="C59" s="269">
        <f>32853.45/(1+VLOOKUP($B59&amp;"*",Price2013,COLUMN(G:G),0))</f>
        <v>32853.449999999997</v>
      </c>
      <c r="D59" s="270"/>
      <c r="E59" s="271"/>
      <c r="F59" s="272">
        <v>42370</v>
      </c>
      <c r="G59" s="256">
        <v>1</v>
      </c>
      <c r="H59" s="256">
        <v>1</v>
      </c>
      <c r="I59" s="256">
        <v>1</v>
      </c>
      <c r="J59" s="256">
        <v>1</v>
      </c>
      <c r="K59" s="256">
        <v>1</v>
      </c>
      <c r="L59" s="256">
        <v>0.1</v>
      </c>
      <c r="M59" s="273"/>
      <c r="N59" s="229" t="s">
        <v>177</v>
      </c>
      <c r="O59" s="258"/>
      <c r="P59" s="158"/>
      <c r="Q59" s="247"/>
    </row>
    <row r="60" spans="1:17" x14ac:dyDescent="0.25">
      <c r="N60" s="119"/>
      <c r="O60" s="274"/>
    </row>
    <row r="61" spans="1:17" s="277" customFormat="1" x14ac:dyDescent="0.25">
      <c r="A61" s="275"/>
      <c r="B61" s="276"/>
      <c r="F61" s="278"/>
    </row>
  </sheetData>
  <autoFilter ref="B4:N24"/>
  <mergeCells count="2">
    <mergeCell ref="C43:E43"/>
    <mergeCell ref="F43:F44"/>
  </mergeCells>
  <pageMargins left="0" right="0" top="0.75" bottom="1" header="0.25" footer="0.5"/>
  <pageSetup scale="61" fitToHeight="2" orientation="landscape"/>
  <headerFooter alignWithMargins="0">
    <oddHeader>&amp;R&amp;"Arial,Bold"Restricted Confidential - Merck &amp;&amp; Co., Inc.
&amp;"Arial,Regular"Whitehouse Station, NJ USA</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AK62"/>
  <sheetViews>
    <sheetView topLeftCell="A19" zoomScale="90" zoomScaleNormal="90" workbookViewId="0">
      <selection activeCell="A42" sqref="A42:XFD42"/>
    </sheetView>
  </sheetViews>
  <sheetFormatPr defaultRowHeight="13.2" x14ac:dyDescent="0.25"/>
  <cols>
    <col min="1" max="1" width="9.109375" style="62"/>
    <col min="2" max="2" width="32.88671875" style="62" customWidth="1"/>
    <col min="3" max="7" width="11" style="62" customWidth="1"/>
    <col min="8" max="10" width="9.109375" style="62"/>
    <col min="11" max="11" width="16" style="62" customWidth="1"/>
    <col min="12" max="21" width="9.109375" style="62"/>
    <col min="22" max="22" width="19.33203125" style="62" bestFit="1" customWidth="1"/>
    <col min="23" max="257" width="9.109375" style="62"/>
    <col min="258" max="258" width="32.88671875" style="62" customWidth="1"/>
    <col min="259" max="263" width="11" style="62" customWidth="1"/>
    <col min="264" max="266" width="9.109375" style="62"/>
    <col min="267" max="267" width="16" style="62" customWidth="1"/>
    <col min="268" max="277" width="9.109375" style="62"/>
    <col min="278" max="278" width="19.33203125" style="62" bestFit="1" customWidth="1"/>
    <col min="279" max="513" width="9.109375" style="62"/>
    <col min="514" max="514" width="32.88671875" style="62" customWidth="1"/>
    <col min="515" max="519" width="11" style="62" customWidth="1"/>
    <col min="520" max="522" width="9.109375" style="62"/>
    <col min="523" max="523" width="16" style="62" customWidth="1"/>
    <col min="524" max="533" width="9.109375" style="62"/>
    <col min="534" max="534" width="19.33203125" style="62" bestFit="1" customWidth="1"/>
    <col min="535" max="769" width="9.109375" style="62"/>
    <col min="770" max="770" width="32.88671875" style="62" customWidth="1"/>
    <col min="771" max="775" width="11" style="62" customWidth="1"/>
    <col min="776" max="778" width="9.109375" style="62"/>
    <col min="779" max="779" width="16" style="62" customWidth="1"/>
    <col min="780" max="789" width="9.109375" style="62"/>
    <col min="790" max="790" width="19.33203125" style="62" bestFit="1" customWidth="1"/>
    <col min="791" max="1025" width="9.109375" style="62"/>
    <col min="1026" max="1026" width="32.88671875" style="62" customWidth="1"/>
    <col min="1027" max="1031" width="11" style="62" customWidth="1"/>
    <col min="1032" max="1034" width="9.109375" style="62"/>
    <col min="1035" max="1035" width="16" style="62" customWidth="1"/>
    <col min="1036" max="1045" width="9.109375" style="62"/>
    <col min="1046" max="1046" width="19.33203125" style="62" bestFit="1" customWidth="1"/>
    <col min="1047" max="1281" width="9.109375" style="62"/>
    <col min="1282" max="1282" width="32.88671875" style="62" customWidth="1"/>
    <col min="1283" max="1287" width="11" style="62" customWidth="1"/>
    <col min="1288" max="1290" width="9.109375" style="62"/>
    <col min="1291" max="1291" width="16" style="62" customWidth="1"/>
    <col min="1292" max="1301" width="9.109375" style="62"/>
    <col min="1302" max="1302" width="19.33203125" style="62" bestFit="1" customWidth="1"/>
    <col min="1303" max="1537" width="9.109375" style="62"/>
    <col min="1538" max="1538" width="32.88671875" style="62" customWidth="1"/>
    <col min="1539" max="1543" width="11" style="62" customWidth="1"/>
    <col min="1544" max="1546" width="9.109375" style="62"/>
    <col min="1547" max="1547" width="16" style="62" customWidth="1"/>
    <col min="1548" max="1557" width="9.109375" style="62"/>
    <col min="1558" max="1558" width="19.33203125" style="62" bestFit="1" customWidth="1"/>
    <col min="1559" max="1793" width="9.109375" style="62"/>
    <col min="1794" max="1794" width="32.88671875" style="62" customWidth="1"/>
    <col min="1795" max="1799" width="11" style="62" customWidth="1"/>
    <col min="1800" max="1802" width="9.109375" style="62"/>
    <col min="1803" max="1803" width="16" style="62" customWidth="1"/>
    <col min="1804" max="1813" width="9.109375" style="62"/>
    <col min="1814" max="1814" width="19.33203125" style="62" bestFit="1" customWidth="1"/>
    <col min="1815" max="2049" width="9.109375" style="62"/>
    <col min="2050" max="2050" width="32.88671875" style="62" customWidth="1"/>
    <col min="2051" max="2055" width="11" style="62" customWidth="1"/>
    <col min="2056" max="2058" width="9.109375" style="62"/>
    <col min="2059" max="2059" width="16" style="62" customWidth="1"/>
    <col min="2060" max="2069" width="9.109375" style="62"/>
    <col min="2070" max="2070" width="19.33203125" style="62" bestFit="1" customWidth="1"/>
    <col min="2071" max="2305" width="9.109375" style="62"/>
    <col min="2306" max="2306" width="32.88671875" style="62" customWidth="1"/>
    <col min="2307" max="2311" width="11" style="62" customWidth="1"/>
    <col min="2312" max="2314" width="9.109375" style="62"/>
    <col min="2315" max="2315" width="16" style="62" customWidth="1"/>
    <col min="2316" max="2325" width="9.109375" style="62"/>
    <col min="2326" max="2326" width="19.33203125" style="62" bestFit="1" customWidth="1"/>
    <col min="2327" max="2561" width="9.109375" style="62"/>
    <col min="2562" max="2562" width="32.88671875" style="62" customWidth="1"/>
    <col min="2563" max="2567" width="11" style="62" customWidth="1"/>
    <col min="2568" max="2570" width="9.109375" style="62"/>
    <col min="2571" max="2571" width="16" style="62" customWidth="1"/>
    <col min="2572" max="2581" width="9.109375" style="62"/>
    <col min="2582" max="2582" width="19.33203125" style="62" bestFit="1" customWidth="1"/>
    <col min="2583" max="2817" width="9.109375" style="62"/>
    <col min="2818" max="2818" width="32.88671875" style="62" customWidth="1"/>
    <col min="2819" max="2823" width="11" style="62" customWidth="1"/>
    <col min="2824" max="2826" width="9.109375" style="62"/>
    <col min="2827" max="2827" width="16" style="62" customWidth="1"/>
    <col min="2828" max="2837" width="9.109375" style="62"/>
    <col min="2838" max="2838" width="19.33203125" style="62" bestFit="1" customWidth="1"/>
    <col min="2839" max="3073" width="9.109375" style="62"/>
    <col min="3074" max="3074" width="32.88671875" style="62" customWidth="1"/>
    <col min="3075" max="3079" width="11" style="62" customWidth="1"/>
    <col min="3080" max="3082" width="9.109375" style="62"/>
    <col min="3083" max="3083" width="16" style="62" customWidth="1"/>
    <col min="3084" max="3093" width="9.109375" style="62"/>
    <col min="3094" max="3094" width="19.33203125" style="62" bestFit="1" customWidth="1"/>
    <col min="3095" max="3329" width="9.109375" style="62"/>
    <col min="3330" max="3330" width="32.88671875" style="62" customWidth="1"/>
    <col min="3331" max="3335" width="11" style="62" customWidth="1"/>
    <col min="3336" max="3338" width="9.109375" style="62"/>
    <col min="3339" max="3339" width="16" style="62" customWidth="1"/>
    <col min="3340" max="3349" width="9.109375" style="62"/>
    <col min="3350" max="3350" width="19.33203125" style="62" bestFit="1" customWidth="1"/>
    <col min="3351" max="3585" width="9.109375" style="62"/>
    <col min="3586" max="3586" width="32.88671875" style="62" customWidth="1"/>
    <col min="3587" max="3591" width="11" style="62" customWidth="1"/>
    <col min="3592" max="3594" width="9.109375" style="62"/>
    <col min="3595" max="3595" width="16" style="62" customWidth="1"/>
    <col min="3596" max="3605" width="9.109375" style="62"/>
    <col min="3606" max="3606" width="19.33203125" style="62" bestFit="1" customWidth="1"/>
    <col min="3607" max="3841" width="9.109375" style="62"/>
    <col min="3842" max="3842" width="32.88671875" style="62" customWidth="1"/>
    <col min="3843" max="3847" width="11" style="62" customWidth="1"/>
    <col min="3848" max="3850" width="9.109375" style="62"/>
    <col min="3851" max="3851" width="16" style="62" customWidth="1"/>
    <col min="3852" max="3861" width="9.109375" style="62"/>
    <col min="3862" max="3862" width="19.33203125" style="62" bestFit="1" customWidth="1"/>
    <col min="3863" max="4097" width="9.109375" style="62"/>
    <col min="4098" max="4098" width="32.88671875" style="62" customWidth="1"/>
    <col min="4099" max="4103" width="11" style="62" customWidth="1"/>
    <col min="4104" max="4106" width="9.109375" style="62"/>
    <col min="4107" max="4107" width="16" style="62" customWidth="1"/>
    <col min="4108" max="4117" width="9.109375" style="62"/>
    <col min="4118" max="4118" width="19.33203125" style="62" bestFit="1" customWidth="1"/>
    <col min="4119" max="4353" width="9.109375" style="62"/>
    <col min="4354" max="4354" width="32.88671875" style="62" customWidth="1"/>
    <col min="4355" max="4359" width="11" style="62" customWidth="1"/>
    <col min="4360" max="4362" width="9.109375" style="62"/>
    <col min="4363" max="4363" width="16" style="62" customWidth="1"/>
    <col min="4364" max="4373" width="9.109375" style="62"/>
    <col min="4374" max="4374" width="19.33203125" style="62" bestFit="1" customWidth="1"/>
    <col min="4375" max="4609" width="9.109375" style="62"/>
    <col min="4610" max="4610" width="32.88671875" style="62" customWidth="1"/>
    <col min="4611" max="4615" width="11" style="62" customWidth="1"/>
    <col min="4616" max="4618" width="9.109375" style="62"/>
    <col min="4619" max="4619" width="16" style="62" customWidth="1"/>
    <col min="4620" max="4629" width="9.109375" style="62"/>
    <col min="4630" max="4630" width="19.33203125" style="62" bestFit="1" customWidth="1"/>
    <col min="4631" max="4865" width="9.109375" style="62"/>
    <col min="4866" max="4866" width="32.88671875" style="62" customWidth="1"/>
    <col min="4867" max="4871" width="11" style="62" customWidth="1"/>
    <col min="4872" max="4874" width="9.109375" style="62"/>
    <col min="4875" max="4875" width="16" style="62" customWidth="1"/>
    <col min="4876" max="4885" width="9.109375" style="62"/>
    <col min="4886" max="4886" width="19.33203125" style="62" bestFit="1" customWidth="1"/>
    <col min="4887" max="5121" width="9.109375" style="62"/>
    <col min="5122" max="5122" width="32.88671875" style="62" customWidth="1"/>
    <col min="5123" max="5127" width="11" style="62" customWidth="1"/>
    <col min="5128" max="5130" width="9.109375" style="62"/>
    <col min="5131" max="5131" width="16" style="62" customWidth="1"/>
    <col min="5132" max="5141" width="9.109375" style="62"/>
    <col min="5142" max="5142" width="19.33203125" style="62" bestFit="1" customWidth="1"/>
    <col min="5143" max="5377" width="9.109375" style="62"/>
    <col min="5378" max="5378" width="32.88671875" style="62" customWidth="1"/>
    <col min="5379" max="5383" width="11" style="62" customWidth="1"/>
    <col min="5384" max="5386" width="9.109375" style="62"/>
    <col min="5387" max="5387" width="16" style="62" customWidth="1"/>
    <col min="5388" max="5397" width="9.109375" style="62"/>
    <col min="5398" max="5398" width="19.33203125" style="62" bestFit="1" customWidth="1"/>
    <col min="5399" max="5633" width="9.109375" style="62"/>
    <col min="5634" max="5634" width="32.88671875" style="62" customWidth="1"/>
    <col min="5635" max="5639" width="11" style="62" customWidth="1"/>
    <col min="5640" max="5642" width="9.109375" style="62"/>
    <col min="5643" max="5643" width="16" style="62" customWidth="1"/>
    <col min="5644" max="5653" width="9.109375" style="62"/>
    <col min="5654" max="5654" width="19.33203125" style="62" bestFit="1" customWidth="1"/>
    <col min="5655" max="5889" width="9.109375" style="62"/>
    <col min="5890" max="5890" width="32.88671875" style="62" customWidth="1"/>
    <col min="5891" max="5895" width="11" style="62" customWidth="1"/>
    <col min="5896" max="5898" width="9.109375" style="62"/>
    <col min="5899" max="5899" width="16" style="62" customWidth="1"/>
    <col min="5900" max="5909" width="9.109375" style="62"/>
    <col min="5910" max="5910" width="19.33203125" style="62" bestFit="1" customWidth="1"/>
    <col min="5911" max="6145" width="9.109375" style="62"/>
    <col min="6146" max="6146" width="32.88671875" style="62" customWidth="1"/>
    <col min="6147" max="6151" width="11" style="62" customWidth="1"/>
    <col min="6152" max="6154" width="9.109375" style="62"/>
    <col min="6155" max="6155" width="16" style="62" customWidth="1"/>
    <col min="6156" max="6165" width="9.109375" style="62"/>
    <col min="6166" max="6166" width="19.33203125" style="62" bestFit="1" customWidth="1"/>
    <col min="6167" max="6401" width="9.109375" style="62"/>
    <col min="6402" max="6402" width="32.88671875" style="62" customWidth="1"/>
    <col min="6403" max="6407" width="11" style="62" customWidth="1"/>
    <col min="6408" max="6410" width="9.109375" style="62"/>
    <col min="6411" max="6411" width="16" style="62" customWidth="1"/>
    <col min="6412" max="6421" width="9.109375" style="62"/>
    <col min="6422" max="6422" width="19.33203125" style="62" bestFit="1" customWidth="1"/>
    <col min="6423" max="6657" width="9.109375" style="62"/>
    <col min="6658" max="6658" width="32.88671875" style="62" customWidth="1"/>
    <col min="6659" max="6663" width="11" style="62" customWidth="1"/>
    <col min="6664" max="6666" width="9.109375" style="62"/>
    <col min="6667" max="6667" width="16" style="62" customWidth="1"/>
    <col min="6668" max="6677" width="9.109375" style="62"/>
    <col min="6678" max="6678" width="19.33203125" style="62" bestFit="1" customWidth="1"/>
    <col min="6679" max="6913" width="9.109375" style="62"/>
    <col min="6914" max="6914" width="32.88671875" style="62" customWidth="1"/>
    <col min="6915" max="6919" width="11" style="62" customWidth="1"/>
    <col min="6920" max="6922" width="9.109375" style="62"/>
    <col min="6923" max="6923" width="16" style="62" customWidth="1"/>
    <col min="6924" max="6933" width="9.109375" style="62"/>
    <col min="6934" max="6934" width="19.33203125" style="62" bestFit="1" customWidth="1"/>
    <col min="6935" max="7169" width="9.109375" style="62"/>
    <col min="7170" max="7170" width="32.88671875" style="62" customWidth="1"/>
    <col min="7171" max="7175" width="11" style="62" customWidth="1"/>
    <col min="7176" max="7178" width="9.109375" style="62"/>
    <col min="7179" max="7179" width="16" style="62" customWidth="1"/>
    <col min="7180" max="7189" width="9.109375" style="62"/>
    <col min="7190" max="7190" width="19.33203125" style="62" bestFit="1" customWidth="1"/>
    <col min="7191" max="7425" width="9.109375" style="62"/>
    <col min="7426" max="7426" width="32.88671875" style="62" customWidth="1"/>
    <col min="7427" max="7431" width="11" style="62" customWidth="1"/>
    <col min="7432" max="7434" width="9.109375" style="62"/>
    <col min="7435" max="7435" width="16" style="62" customWidth="1"/>
    <col min="7436" max="7445" width="9.109375" style="62"/>
    <col min="7446" max="7446" width="19.33203125" style="62" bestFit="1" customWidth="1"/>
    <col min="7447" max="7681" width="9.109375" style="62"/>
    <col min="7682" max="7682" width="32.88671875" style="62" customWidth="1"/>
    <col min="7683" max="7687" width="11" style="62" customWidth="1"/>
    <col min="7688" max="7690" width="9.109375" style="62"/>
    <col min="7691" max="7691" width="16" style="62" customWidth="1"/>
    <col min="7692" max="7701" width="9.109375" style="62"/>
    <col min="7702" max="7702" width="19.33203125" style="62" bestFit="1" customWidth="1"/>
    <col min="7703" max="7937" width="9.109375" style="62"/>
    <col min="7938" max="7938" width="32.88671875" style="62" customWidth="1"/>
    <col min="7939" max="7943" width="11" style="62" customWidth="1"/>
    <col min="7944" max="7946" width="9.109375" style="62"/>
    <col min="7947" max="7947" width="16" style="62" customWidth="1"/>
    <col min="7948" max="7957" width="9.109375" style="62"/>
    <col min="7958" max="7958" width="19.33203125" style="62" bestFit="1" customWidth="1"/>
    <col min="7959" max="8193" width="9.109375" style="62"/>
    <col min="8194" max="8194" width="32.88671875" style="62" customWidth="1"/>
    <col min="8195" max="8199" width="11" style="62" customWidth="1"/>
    <col min="8200" max="8202" width="9.109375" style="62"/>
    <col min="8203" max="8203" width="16" style="62" customWidth="1"/>
    <col min="8204" max="8213" width="9.109375" style="62"/>
    <col min="8214" max="8214" width="19.33203125" style="62" bestFit="1" customWidth="1"/>
    <col min="8215" max="8449" width="9.109375" style="62"/>
    <col min="8450" max="8450" width="32.88671875" style="62" customWidth="1"/>
    <col min="8451" max="8455" width="11" style="62" customWidth="1"/>
    <col min="8456" max="8458" width="9.109375" style="62"/>
    <col min="8459" max="8459" width="16" style="62" customWidth="1"/>
    <col min="8460" max="8469" width="9.109375" style="62"/>
    <col min="8470" max="8470" width="19.33203125" style="62" bestFit="1" customWidth="1"/>
    <col min="8471" max="8705" width="9.109375" style="62"/>
    <col min="8706" max="8706" width="32.88671875" style="62" customWidth="1"/>
    <col min="8707" max="8711" width="11" style="62" customWidth="1"/>
    <col min="8712" max="8714" width="9.109375" style="62"/>
    <col min="8715" max="8715" width="16" style="62" customWidth="1"/>
    <col min="8716" max="8725" width="9.109375" style="62"/>
    <col min="8726" max="8726" width="19.33203125" style="62" bestFit="1" customWidth="1"/>
    <col min="8727" max="8961" width="9.109375" style="62"/>
    <col min="8962" max="8962" width="32.88671875" style="62" customWidth="1"/>
    <col min="8963" max="8967" width="11" style="62" customWidth="1"/>
    <col min="8968" max="8970" width="9.109375" style="62"/>
    <col min="8971" max="8971" width="16" style="62" customWidth="1"/>
    <col min="8972" max="8981" width="9.109375" style="62"/>
    <col min="8982" max="8982" width="19.33203125" style="62" bestFit="1" customWidth="1"/>
    <col min="8983" max="9217" width="9.109375" style="62"/>
    <col min="9218" max="9218" width="32.88671875" style="62" customWidth="1"/>
    <col min="9219" max="9223" width="11" style="62" customWidth="1"/>
    <col min="9224" max="9226" width="9.109375" style="62"/>
    <col min="9227" max="9227" width="16" style="62" customWidth="1"/>
    <col min="9228" max="9237" width="9.109375" style="62"/>
    <col min="9238" max="9238" width="19.33203125" style="62" bestFit="1" customWidth="1"/>
    <col min="9239" max="9473" width="9.109375" style="62"/>
    <col min="9474" max="9474" width="32.88671875" style="62" customWidth="1"/>
    <col min="9475" max="9479" width="11" style="62" customWidth="1"/>
    <col min="9480" max="9482" width="9.109375" style="62"/>
    <col min="9483" max="9483" width="16" style="62" customWidth="1"/>
    <col min="9484" max="9493" width="9.109375" style="62"/>
    <col min="9494" max="9494" width="19.33203125" style="62" bestFit="1" customWidth="1"/>
    <col min="9495" max="9729" width="9.109375" style="62"/>
    <col min="9730" max="9730" width="32.88671875" style="62" customWidth="1"/>
    <col min="9731" max="9735" width="11" style="62" customWidth="1"/>
    <col min="9736" max="9738" width="9.109375" style="62"/>
    <col min="9739" max="9739" width="16" style="62" customWidth="1"/>
    <col min="9740" max="9749" width="9.109375" style="62"/>
    <col min="9750" max="9750" width="19.33203125" style="62" bestFit="1" customWidth="1"/>
    <col min="9751" max="9985" width="9.109375" style="62"/>
    <col min="9986" max="9986" width="32.88671875" style="62" customWidth="1"/>
    <col min="9987" max="9991" width="11" style="62" customWidth="1"/>
    <col min="9992" max="9994" width="9.109375" style="62"/>
    <col min="9995" max="9995" width="16" style="62" customWidth="1"/>
    <col min="9996" max="10005" width="9.109375" style="62"/>
    <col min="10006" max="10006" width="19.33203125" style="62" bestFit="1" customWidth="1"/>
    <col min="10007" max="10241" width="9.109375" style="62"/>
    <col min="10242" max="10242" width="32.88671875" style="62" customWidth="1"/>
    <col min="10243" max="10247" width="11" style="62" customWidth="1"/>
    <col min="10248" max="10250" width="9.109375" style="62"/>
    <col min="10251" max="10251" width="16" style="62" customWidth="1"/>
    <col min="10252" max="10261" width="9.109375" style="62"/>
    <col min="10262" max="10262" width="19.33203125" style="62" bestFit="1" customWidth="1"/>
    <col min="10263" max="10497" width="9.109375" style="62"/>
    <col min="10498" max="10498" width="32.88671875" style="62" customWidth="1"/>
    <col min="10499" max="10503" width="11" style="62" customWidth="1"/>
    <col min="10504" max="10506" width="9.109375" style="62"/>
    <col min="10507" max="10507" width="16" style="62" customWidth="1"/>
    <col min="10508" max="10517" width="9.109375" style="62"/>
    <col min="10518" max="10518" width="19.33203125" style="62" bestFit="1" customWidth="1"/>
    <col min="10519" max="10753" width="9.109375" style="62"/>
    <col min="10754" max="10754" width="32.88671875" style="62" customWidth="1"/>
    <col min="10755" max="10759" width="11" style="62" customWidth="1"/>
    <col min="10760" max="10762" width="9.109375" style="62"/>
    <col min="10763" max="10763" width="16" style="62" customWidth="1"/>
    <col min="10764" max="10773" width="9.109375" style="62"/>
    <col min="10774" max="10774" width="19.33203125" style="62" bestFit="1" customWidth="1"/>
    <col min="10775" max="11009" width="9.109375" style="62"/>
    <col min="11010" max="11010" width="32.88671875" style="62" customWidth="1"/>
    <col min="11011" max="11015" width="11" style="62" customWidth="1"/>
    <col min="11016" max="11018" width="9.109375" style="62"/>
    <col min="11019" max="11019" width="16" style="62" customWidth="1"/>
    <col min="11020" max="11029" width="9.109375" style="62"/>
    <col min="11030" max="11030" width="19.33203125" style="62" bestFit="1" customWidth="1"/>
    <col min="11031" max="11265" width="9.109375" style="62"/>
    <col min="11266" max="11266" width="32.88671875" style="62" customWidth="1"/>
    <col min="11267" max="11271" width="11" style="62" customWidth="1"/>
    <col min="11272" max="11274" width="9.109375" style="62"/>
    <col min="11275" max="11275" width="16" style="62" customWidth="1"/>
    <col min="11276" max="11285" width="9.109375" style="62"/>
    <col min="11286" max="11286" width="19.33203125" style="62" bestFit="1" customWidth="1"/>
    <col min="11287" max="11521" width="9.109375" style="62"/>
    <col min="11522" max="11522" width="32.88671875" style="62" customWidth="1"/>
    <col min="11523" max="11527" width="11" style="62" customWidth="1"/>
    <col min="11528" max="11530" width="9.109375" style="62"/>
    <col min="11531" max="11531" width="16" style="62" customWidth="1"/>
    <col min="11532" max="11541" width="9.109375" style="62"/>
    <col min="11542" max="11542" width="19.33203125" style="62" bestFit="1" customWidth="1"/>
    <col min="11543" max="11777" width="9.109375" style="62"/>
    <col min="11778" max="11778" width="32.88671875" style="62" customWidth="1"/>
    <col min="11779" max="11783" width="11" style="62" customWidth="1"/>
    <col min="11784" max="11786" width="9.109375" style="62"/>
    <col min="11787" max="11787" width="16" style="62" customWidth="1"/>
    <col min="11788" max="11797" width="9.109375" style="62"/>
    <col min="11798" max="11798" width="19.33203125" style="62" bestFit="1" customWidth="1"/>
    <col min="11799" max="12033" width="9.109375" style="62"/>
    <col min="12034" max="12034" width="32.88671875" style="62" customWidth="1"/>
    <col min="12035" max="12039" width="11" style="62" customWidth="1"/>
    <col min="12040" max="12042" width="9.109375" style="62"/>
    <col min="12043" max="12043" width="16" style="62" customWidth="1"/>
    <col min="12044" max="12053" width="9.109375" style="62"/>
    <col min="12054" max="12054" width="19.33203125" style="62" bestFit="1" customWidth="1"/>
    <col min="12055" max="12289" width="9.109375" style="62"/>
    <col min="12290" max="12290" width="32.88671875" style="62" customWidth="1"/>
    <col min="12291" max="12295" width="11" style="62" customWidth="1"/>
    <col min="12296" max="12298" width="9.109375" style="62"/>
    <col min="12299" max="12299" width="16" style="62" customWidth="1"/>
    <col min="12300" max="12309" width="9.109375" style="62"/>
    <col min="12310" max="12310" width="19.33203125" style="62" bestFit="1" customWidth="1"/>
    <col min="12311" max="12545" width="9.109375" style="62"/>
    <col min="12546" max="12546" width="32.88671875" style="62" customWidth="1"/>
    <col min="12547" max="12551" width="11" style="62" customWidth="1"/>
    <col min="12552" max="12554" width="9.109375" style="62"/>
    <col min="12555" max="12555" width="16" style="62" customWidth="1"/>
    <col min="12556" max="12565" width="9.109375" style="62"/>
    <col min="12566" max="12566" width="19.33203125" style="62" bestFit="1" customWidth="1"/>
    <col min="12567" max="12801" width="9.109375" style="62"/>
    <col min="12802" max="12802" width="32.88671875" style="62" customWidth="1"/>
    <col min="12803" max="12807" width="11" style="62" customWidth="1"/>
    <col min="12808" max="12810" width="9.109375" style="62"/>
    <col min="12811" max="12811" width="16" style="62" customWidth="1"/>
    <col min="12812" max="12821" width="9.109375" style="62"/>
    <col min="12822" max="12822" width="19.33203125" style="62" bestFit="1" customWidth="1"/>
    <col min="12823" max="13057" width="9.109375" style="62"/>
    <col min="13058" max="13058" width="32.88671875" style="62" customWidth="1"/>
    <col min="13059" max="13063" width="11" style="62" customWidth="1"/>
    <col min="13064" max="13066" width="9.109375" style="62"/>
    <col min="13067" max="13067" width="16" style="62" customWidth="1"/>
    <col min="13068" max="13077" width="9.109375" style="62"/>
    <col min="13078" max="13078" width="19.33203125" style="62" bestFit="1" customWidth="1"/>
    <col min="13079" max="13313" width="9.109375" style="62"/>
    <col min="13314" max="13314" width="32.88671875" style="62" customWidth="1"/>
    <col min="13315" max="13319" width="11" style="62" customWidth="1"/>
    <col min="13320" max="13322" width="9.109375" style="62"/>
    <col min="13323" max="13323" width="16" style="62" customWidth="1"/>
    <col min="13324" max="13333" width="9.109375" style="62"/>
    <col min="13334" max="13334" width="19.33203125" style="62" bestFit="1" customWidth="1"/>
    <col min="13335" max="13569" width="9.109375" style="62"/>
    <col min="13570" max="13570" width="32.88671875" style="62" customWidth="1"/>
    <col min="13571" max="13575" width="11" style="62" customWidth="1"/>
    <col min="13576" max="13578" width="9.109375" style="62"/>
    <col min="13579" max="13579" width="16" style="62" customWidth="1"/>
    <col min="13580" max="13589" width="9.109375" style="62"/>
    <col min="13590" max="13590" width="19.33203125" style="62" bestFit="1" customWidth="1"/>
    <col min="13591" max="13825" width="9.109375" style="62"/>
    <col min="13826" max="13826" width="32.88671875" style="62" customWidth="1"/>
    <col min="13827" max="13831" width="11" style="62" customWidth="1"/>
    <col min="13832" max="13834" width="9.109375" style="62"/>
    <col min="13835" max="13835" width="16" style="62" customWidth="1"/>
    <col min="13836" max="13845" width="9.109375" style="62"/>
    <col min="13846" max="13846" width="19.33203125" style="62" bestFit="1" customWidth="1"/>
    <col min="13847" max="14081" width="9.109375" style="62"/>
    <col min="14082" max="14082" width="32.88671875" style="62" customWidth="1"/>
    <col min="14083" max="14087" width="11" style="62" customWidth="1"/>
    <col min="14088" max="14090" width="9.109375" style="62"/>
    <col min="14091" max="14091" width="16" style="62" customWidth="1"/>
    <col min="14092" max="14101" width="9.109375" style="62"/>
    <col min="14102" max="14102" width="19.33203125" style="62" bestFit="1" customWidth="1"/>
    <col min="14103" max="14337" width="9.109375" style="62"/>
    <col min="14338" max="14338" width="32.88671875" style="62" customWidth="1"/>
    <col min="14339" max="14343" width="11" style="62" customWidth="1"/>
    <col min="14344" max="14346" width="9.109375" style="62"/>
    <col min="14347" max="14347" width="16" style="62" customWidth="1"/>
    <col min="14348" max="14357" width="9.109375" style="62"/>
    <col min="14358" max="14358" width="19.33203125" style="62" bestFit="1" customWidth="1"/>
    <col min="14359" max="14593" width="9.109375" style="62"/>
    <col min="14594" max="14594" width="32.88671875" style="62" customWidth="1"/>
    <col min="14595" max="14599" width="11" style="62" customWidth="1"/>
    <col min="14600" max="14602" width="9.109375" style="62"/>
    <col min="14603" max="14603" width="16" style="62" customWidth="1"/>
    <col min="14604" max="14613" width="9.109375" style="62"/>
    <col min="14614" max="14614" width="19.33203125" style="62" bestFit="1" customWidth="1"/>
    <col min="14615" max="14849" width="9.109375" style="62"/>
    <col min="14850" max="14850" width="32.88671875" style="62" customWidth="1"/>
    <col min="14851" max="14855" width="11" style="62" customWidth="1"/>
    <col min="14856" max="14858" width="9.109375" style="62"/>
    <col min="14859" max="14859" width="16" style="62" customWidth="1"/>
    <col min="14860" max="14869" width="9.109375" style="62"/>
    <col min="14870" max="14870" width="19.33203125" style="62" bestFit="1" customWidth="1"/>
    <col min="14871" max="15105" width="9.109375" style="62"/>
    <col min="15106" max="15106" width="32.88671875" style="62" customWidth="1"/>
    <col min="15107" max="15111" width="11" style="62" customWidth="1"/>
    <col min="15112" max="15114" width="9.109375" style="62"/>
    <col min="15115" max="15115" width="16" style="62" customWidth="1"/>
    <col min="15116" max="15125" width="9.109375" style="62"/>
    <col min="15126" max="15126" width="19.33203125" style="62" bestFit="1" customWidth="1"/>
    <col min="15127" max="15361" width="9.109375" style="62"/>
    <col min="15362" max="15362" width="32.88671875" style="62" customWidth="1"/>
    <col min="15363" max="15367" width="11" style="62" customWidth="1"/>
    <col min="15368" max="15370" width="9.109375" style="62"/>
    <col min="15371" max="15371" width="16" style="62" customWidth="1"/>
    <col min="15372" max="15381" width="9.109375" style="62"/>
    <col min="15382" max="15382" width="19.33203125" style="62" bestFit="1" customWidth="1"/>
    <col min="15383" max="15617" width="9.109375" style="62"/>
    <col min="15618" max="15618" width="32.88671875" style="62" customWidth="1"/>
    <col min="15619" max="15623" width="11" style="62" customWidth="1"/>
    <col min="15624" max="15626" width="9.109375" style="62"/>
    <col min="15627" max="15627" width="16" style="62" customWidth="1"/>
    <col min="15628" max="15637" width="9.109375" style="62"/>
    <col min="15638" max="15638" width="19.33203125" style="62" bestFit="1" customWidth="1"/>
    <col min="15639" max="15873" width="9.109375" style="62"/>
    <col min="15874" max="15874" width="32.88671875" style="62" customWidth="1"/>
    <col min="15875" max="15879" width="11" style="62" customWidth="1"/>
    <col min="15880" max="15882" width="9.109375" style="62"/>
    <col min="15883" max="15883" width="16" style="62" customWidth="1"/>
    <col min="15884" max="15893" width="9.109375" style="62"/>
    <col min="15894" max="15894" width="19.33203125" style="62" bestFit="1" customWidth="1"/>
    <col min="15895" max="16129" width="9.109375" style="62"/>
    <col min="16130" max="16130" width="32.88671875" style="62" customWidth="1"/>
    <col min="16131" max="16135" width="11" style="62" customWidth="1"/>
    <col min="16136" max="16138" width="9.109375" style="62"/>
    <col min="16139" max="16139" width="16" style="62" customWidth="1"/>
    <col min="16140" max="16149" width="9.109375" style="62"/>
    <col min="16150" max="16150" width="19.33203125" style="62" bestFit="1" customWidth="1"/>
    <col min="16151" max="16384" width="9.109375" style="62"/>
  </cols>
  <sheetData>
    <row r="1" spans="1:37" ht="14.25" x14ac:dyDescent="0.3">
      <c r="A1" s="61" t="s">
        <v>94</v>
      </c>
      <c r="J1" s="61" t="s">
        <v>95</v>
      </c>
      <c r="K1" s="63"/>
      <c r="L1" s="63"/>
      <c r="U1" s="61" t="s">
        <v>96</v>
      </c>
      <c r="V1" s="64"/>
    </row>
    <row r="2" spans="1:37" ht="14.25" x14ac:dyDescent="0.3">
      <c r="A2" s="65" t="s">
        <v>97</v>
      </c>
      <c r="C2" s="66" t="s">
        <v>98</v>
      </c>
      <c r="D2" s="67"/>
      <c r="E2" s="68"/>
      <c r="F2" s="68"/>
      <c r="G2" s="67"/>
      <c r="H2" s="69">
        <v>0</v>
      </c>
      <c r="J2" s="63" t="s">
        <v>99</v>
      </c>
      <c r="L2" s="70"/>
      <c r="M2" s="70"/>
      <c r="N2" s="70"/>
      <c r="U2" s="63" t="s">
        <v>99</v>
      </c>
      <c r="V2" s="64"/>
      <c r="W2" s="71"/>
      <c r="X2" s="71"/>
      <c r="Y2" s="71"/>
      <c r="Z2" s="71"/>
    </row>
    <row r="3" spans="1:37" ht="15" thickBot="1" x14ac:dyDescent="0.35">
      <c r="A3" s="72" t="s">
        <v>100</v>
      </c>
      <c r="C3" s="73"/>
      <c r="D3" s="74"/>
      <c r="E3" s="74"/>
      <c r="F3" s="71"/>
      <c r="J3" s="72" t="s">
        <v>101</v>
      </c>
      <c r="L3" s="75"/>
      <c r="M3" s="76"/>
      <c r="N3" s="70"/>
      <c r="U3" s="72" t="s">
        <v>102</v>
      </c>
      <c r="V3" s="64"/>
      <c r="W3" s="73"/>
      <c r="X3" s="74"/>
      <c r="Y3" s="74"/>
      <c r="Z3" s="74"/>
    </row>
    <row r="4" spans="1:37" ht="15.75" thickBot="1" x14ac:dyDescent="0.35">
      <c r="B4" s="77"/>
      <c r="C4" s="78">
        <v>2012</v>
      </c>
      <c r="D4" s="79">
        <f>C4+1</f>
        <v>2013</v>
      </c>
      <c r="E4" s="79">
        <f>D4+1</f>
        <v>2014</v>
      </c>
      <c r="F4" s="79">
        <f>E4+1</f>
        <v>2015</v>
      </c>
      <c r="G4" s="79">
        <f>F4+1</f>
        <v>2016</v>
      </c>
      <c r="H4" s="79">
        <f>G4+1</f>
        <v>2017</v>
      </c>
      <c r="J4" s="70"/>
      <c r="K4" s="80"/>
      <c r="L4" s="78">
        <v>2012</v>
      </c>
      <c r="M4" s="79">
        <f>L4+1</f>
        <v>2013</v>
      </c>
      <c r="N4" s="79">
        <f>M4+1</f>
        <v>2014</v>
      </c>
      <c r="O4" s="79">
        <f>N4+1</f>
        <v>2015</v>
      </c>
      <c r="P4" s="79">
        <f>O4+1</f>
        <v>2016</v>
      </c>
      <c r="Q4" s="81">
        <f>P4+1</f>
        <v>2017</v>
      </c>
      <c r="U4" s="70"/>
      <c r="V4" s="77"/>
      <c r="W4" s="78">
        <v>2012</v>
      </c>
      <c r="X4" s="79">
        <f>W4+1</f>
        <v>2013</v>
      </c>
      <c r="Y4" s="79">
        <f>X4+1</f>
        <v>2014</v>
      </c>
      <c r="Z4" s="79">
        <f>Y4+1</f>
        <v>2015</v>
      </c>
      <c r="AA4" s="79">
        <f>Z4+1</f>
        <v>2016</v>
      </c>
      <c r="AB4" s="81">
        <f>AA4+1</f>
        <v>2017</v>
      </c>
    </row>
    <row r="5" spans="1:37" ht="14.25" x14ac:dyDescent="0.3">
      <c r="B5" s="82" t="s">
        <v>103</v>
      </c>
      <c r="C5" s="83">
        <f>IF($H$2=1,VLOOKUP($B5,'[38]Rebate Discount Rates'!$A$5:$I$50,COLUMN(D:D),FALSE),VLOOKUP($B5,'[39]Rebate Discount Rates'!$A$5:$I$50,COLUMN(D:D),FALSE))</f>
        <v>0</v>
      </c>
      <c r="D5" s="83">
        <f>IF($H$2=1,VLOOKUP($B5,'[38]Rebate Discount Rates'!$A$5:$I$50,COLUMN(E:E),FALSE),VLOOKUP($B5,'[39]Rebate Discount Rates'!$A$5:$I$50,COLUMN(E:E),FALSE))</f>
        <v>0.21517208865284818</v>
      </c>
      <c r="E5" s="83">
        <f>IF($H$2=1,VLOOKUP($B5,'[38]Rebate Discount Rates'!$A$5:$I$50,COLUMN(F:F),FALSE),VLOOKUP($B5,'[39]Rebate Discount Rates'!$A$5:$I$50,COLUMN(F:F),FALSE))</f>
        <v>0.45174862311486319</v>
      </c>
      <c r="F5" s="83">
        <f>IF($H$2=1,VLOOKUP($B5,'[38]Rebate Discount Rates'!$A$5:$I$50,COLUMN(G:G),FALSE),VLOOKUP($B5,'[39]Rebate Discount Rates'!$A$5:$I$50,COLUMN(G:G),FALSE))</f>
        <v>0.44706159581317678</v>
      </c>
      <c r="G5" s="83">
        <f>IF($H$2=1,VLOOKUP($B5,'[38]Rebate Discount Rates'!$A$5:$I$50,COLUMN(H:H),FALSE),VLOOKUP($B5,'[39]Rebate Discount Rates'!$A$5:$I$50,COLUMN(H:H),FALSE))</f>
        <v>0.44662698939066625</v>
      </c>
      <c r="H5" s="84">
        <f>IF($H$2=1,VLOOKUP($B5,'[38]Rebate Discount Rates'!$A$5:$I$50,COLUMN(I:I),FALSE),VLOOKUP($B5,'[39]Rebate Discount Rates'!$A$5:$I$50,COLUMN(I:I),FALSE))</f>
        <v>0.44662698939066625</v>
      </c>
      <c r="I5" s="85"/>
      <c r="J5" s="86"/>
      <c r="K5" s="87" t="s">
        <v>103</v>
      </c>
      <c r="L5" s="88" t="e">
        <f>VLOOKUP($K5,[1]Inflation!$AE$10:$AT$55,COLUMN(K:K),FALSE)</f>
        <v>#DIV/0!</v>
      </c>
      <c r="M5" s="89">
        <f>VLOOKUP($K5,[1]Inflation!$AE$10:$AT$55,COLUMN(L:L),FALSE)</f>
        <v>7.7777777777777793E-2</v>
      </c>
      <c r="N5" s="89">
        <f>VLOOKUP($K5,[1]Inflation!$AE$10:$AT$55,COLUMN(M:M),FALSE)</f>
        <v>6.058270235257826E-2</v>
      </c>
      <c r="O5" s="89">
        <f>VLOOKUP($K5,[1]Inflation!$AE$10:$AT$55,COLUMN(N:N),FALSE)</f>
        <v>3.9691612051008497E-2</v>
      </c>
      <c r="P5" s="89">
        <f>VLOOKUP($K5,[1]Inflation!$AE$10:$AT$55,COLUMN(O:O),FALSE)</f>
        <v>3.7444917029253288E-2</v>
      </c>
      <c r="Q5" s="90">
        <f>VLOOKUP($K5,[1]Inflation!$AE$10:$AT$55,COLUMN(P:P),FALSE)</f>
        <v>3.5325393423823861E-2</v>
      </c>
      <c r="U5" s="86"/>
      <c r="V5" s="91" t="s">
        <v>103</v>
      </c>
      <c r="W5" s="92" t="e">
        <f>VLOOKUP($K5,[1]Inflation!$AE$10:$AZ$55,COLUMN(Q:Q),FALSE)</f>
        <v>#DIV/0!</v>
      </c>
      <c r="X5" s="89">
        <f>VLOOKUP($K5,[1]Inflation!$AE$10:$AZ$55,COLUMN(R:R),FALSE)</f>
        <v>3.0200142371282528E-2</v>
      </c>
      <c r="Y5" s="89">
        <f>VLOOKUP($K5,[1]Inflation!$AE$10:$AZ$55,COLUMN(S:S),FALSE)</f>
        <v>3.0000000000000002E-2</v>
      </c>
      <c r="Z5" s="89">
        <f>VLOOKUP($K5,[1]Inflation!$AE$10:$AZ$55,COLUMN(T:T),FALSE)</f>
        <v>3.0000000000000009E-2</v>
      </c>
      <c r="AA5" s="93">
        <f>VLOOKUP($K5,[1]Inflation!$AE$10:$AZ$55,COLUMN(U:U),FALSE)</f>
        <v>3.3812658395136211E-2</v>
      </c>
      <c r="AB5" s="94">
        <f>VLOOKUP($K5,[1]Inflation!$AE$10:$AZ$55,COLUMN(V:V),FALSE)</f>
        <v>2.8832929174161765E-2</v>
      </c>
      <c r="AC5" s="95"/>
      <c r="AD5" s="95"/>
      <c r="AE5" s="95"/>
      <c r="AF5" s="95"/>
      <c r="AG5" s="95"/>
      <c r="AH5" s="95"/>
      <c r="AI5" s="95"/>
      <c r="AJ5" s="95"/>
      <c r="AK5" s="95"/>
    </row>
    <row r="6" spans="1:37" ht="14.25" x14ac:dyDescent="0.3">
      <c r="B6" s="96" t="s">
        <v>104</v>
      </c>
      <c r="C6" s="97">
        <f>IF($H$2=1,VLOOKUP($B6,'[38]Rebate Discount Rates'!$A$5:$I$50,COLUMN(D:D),FALSE),VLOOKUP($B6,'[39]Rebate Discount Rates'!$A$5:$I$50,COLUMN(D:D),FALSE))</f>
        <v>0</v>
      </c>
      <c r="D6" s="97">
        <f>IF($H$2=1,VLOOKUP($B6,'[38]Rebate Discount Rates'!$A$5:$I$50,COLUMN(E:E),FALSE),VLOOKUP($B6,'[39]Rebate Discount Rates'!$A$5:$I$50,COLUMN(E:E),FALSE))</f>
        <v>0.12490225731085311</v>
      </c>
      <c r="E6" s="97">
        <f>IF($H$2=1,VLOOKUP($B6,'[38]Rebate Discount Rates'!$A$5:$I$50,COLUMN(F:F),FALSE),VLOOKUP($B6,'[39]Rebate Discount Rates'!$A$5:$I$50,COLUMN(F:F),FALSE))</f>
        <v>7.1500000000000077E-2</v>
      </c>
      <c r="F6" s="97">
        <f>IF($H$2=1,VLOOKUP($B6,'[38]Rebate Discount Rates'!$A$5:$I$50,COLUMN(G:G),FALSE),VLOOKUP($B6,'[39]Rebate Discount Rates'!$A$5:$I$50,COLUMN(G:G),FALSE))</f>
        <v>7.150000000000005E-2</v>
      </c>
      <c r="G6" s="97">
        <f>IF($H$2=1,VLOOKUP($B6,'[38]Rebate Discount Rates'!$A$5:$I$50,COLUMN(H:H),FALSE),VLOOKUP($B6,'[39]Rebate Discount Rates'!$A$5:$I$50,COLUMN(H:H),FALSE))</f>
        <v>7.1500000000000064E-2</v>
      </c>
      <c r="H6" s="98">
        <f>IF($H$2=1,VLOOKUP($B6,'[38]Rebate Discount Rates'!$A$5:$I$50,COLUMN(I:I),FALSE),VLOOKUP($B6,'[39]Rebate Discount Rates'!$A$5:$I$50,COLUMN(I:I),FALSE))</f>
        <v>7.1500000000000064E-2</v>
      </c>
      <c r="I6" s="85"/>
      <c r="J6" s="86"/>
      <c r="K6" s="99" t="s">
        <v>104</v>
      </c>
      <c r="L6" s="100" t="e">
        <f>VLOOKUP($K6,[1]Inflation!$AE$10:$AT$55,COLUMN(K:K),FALSE)</f>
        <v>#DIV/0!</v>
      </c>
      <c r="M6" s="101">
        <f>VLOOKUP($K6,[1]Inflation!$AE$10:$AT$55,COLUMN(L:L),FALSE)</f>
        <v>0.02</v>
      </c>
      <c r="N6" s="101">
        <f>VLOOKUP($K6,[1]Inflation!$AE$10:$AT$55,COLUMN(M:M),FALSE)</f>
        <v>2.0000000000000004E-2</v>
      </c>
      <c r="O6" s="101">
        <f>VLOOKUP($K6,[1]Inflation!$AE$10:$AT$55,COLUMN(N:N),FALSE)</f>
        <v>1.8885741265344664E-2</v>
      </c>
      <c r="P6" s="101">
        <f>VLOOKUP($K6,[1]Inflation!$AE$10:$AT$55,COLUMN(O:O),FALSE)</f>
        <v>1.7184477948448289E-2</v>
      </c>
      <c r="Q6" s="102">
        <f>VLOOKUP($K6,[1]Inflation!$AE$10:$AT$55,COLUMN(P:P),FALSE)</f>
        <v>1.5636467650999349E-2</v>
      </c>
      <c r="U6" s="86"/>
      <c r="V6" s="103" t="s">
        <v>104</v>
      </c>
      <c r="W6" s="104" t="e">
        <f>VLOOKUP($K6,[1]Inflation!$AE$10:$AZ$55,COLUMN(Q:Q),FALSE)</f>
        <v>#DIV/0!</v>
      </c>
      <c r="X6" s="101">
        <f>VLOOKUP($K6,[1]Inflation!$AE$10:$AZ$55,COLUMN(R:R),FALSE)</f>
        <v>0</v>
      </c>
      <c r="Y6" s="101">
        <f>VLOOKUP($K6,[1]Inflation!$AE$10:$AZ$55,COLUMN(S:S),FALSE)</f>
        <v>0</v>
      </c>
      <c r="Z6" s="101">
        <f>VLOOKUP($K6,[1]Inflation!$AE$10:$AZ$55,COLUMN(T:T),FALSE)</f>
        <v>0</v>
      </c>
      <c r="AA6" s="105">
        <f>VLOOKUP($K6,[1]Inflation!$AE$10:$AZ$55,COLUMN(U:U),FALSE)</f>
        <v>0</v>
      </c>
      <c r="AB6" s="106">
        <f>VLOOKUP($K6,[1]Inflation!$AE$10:$AZ$55,COLUMN(V:V),FALSE)</f>
        <v>0</v>
      </c>
      <c r="AC6" s="95"/>
      <c r="AD6" s="95"/>
      <c r="AE6" s="95"/>
      <c r="AF6" s="95"/>
      <c r="AG6" s="95"/>
      <c r="AH6" s="95"/>
      <c r="AI6" s="95"/>
    </row>
    <row r="7" spans="1:37" ht="14.25" x14ac:dyDescent="0.3">
      <c r="B7" s="96" t="s">
        <v>105</v>
      </c>
      <c r="C7" s="97">
        <f>IF($H$2=1,VLOOKUP($B7,'[38]Rebate Discount Rates'!$A$5:$I$50,COLUMN(D:D),FALSE),VLOOKUP($B7,'[39]Rebate Discount Rates'!$A$5:$I$50,COLUMN(D:D),FALSE))</f>
        <v>0</v>
      </c>
      <c r="D7" s="97">
        <f>IF($H$2=1,VLOOKUP($B7,'[38]Rebate Discount Rates'!$A$5:$I$50,COLUMN(E:E),FALSE),VLOOKUP($B7,'[39]Rebate Discount Rates'!$A$5:$I$50,COLUMN(E:E),FALSE))</f>
        <v>0</v>
      </c>
      <c r="E7" s="97">
        <f>IF($H$2=1,VLOOKUP($B7,'[38]Rebate Discount Rates'!$A$5:$I$50,COLUMN(F:F),FALSE),VLOOKUP($B7,'[39]Rebate Discount Rates'!$A$5:$I$50,COLUMN(F:F),FALSE))</f>
        <v>0.42</v>
      </c>
      <c r="F7" s="97">
        <f>IF($H$2=1,VLOOKUP($B7,'[38]Rebate Discount Rates'!$A$5:$I$50,COLUMN(G:G),FALSE),VLOOKUP($B7,'[39]Rebate Discount Rates'!$A$5:$I$50,COLUMN(G:G),FALSE))</f>
        <v>0.42299573558667103</v>
      </c>
      <c r="G7" s="97">
        <f>IF($H$2=1,VLOOKUP($B7,'[38]Rebate Discount Rates'!$A$5:$I$50,COLUMN(H:H),FALSE),VLOOKUP($B7,'[39]Rebate Discount Rates'!$A$5:$I$50,COLUMN(H:H),FALSE))</f>
        <v>0.42600285961892609</v>
      </c>
      <c r="H7" s="98">
        <f>IF($H$2=1,VLOOKUP($B7,'[38]Rebate Discount Rates'!$A$5:$I$50,COLUMN(I:I),FALSE),VLOOKUP($B7,'[39]Rebate Discount Rates'!$A$5:$I$50,COLUMN(I:I),FALSE))</f>
        <v>0.42600285961892609</v>
      </c>
      <c r="I7" s="85"/>
      <c r="J7" s="86"/>
      <c r="K7" s="99" t="s">
        <v>105</v>
      </c>
      <c r="L7" s="100" t="e">
        <f>VLOOKUP($K7,[1]Inflation!$AE$10:$AT$55,COLUMN(K:K),FALSE)</f>
        <v>#DIV/0!</v>
      </c>
      <c r="M7" s="101" t="e">
        <f>VLOOKUP($K7,[1]Inflation!$AE$10:$AT$55,COLUMN(L:L),FALSE)</f>
        <v>#DIV/0!</v>
      </c>
      <c r="N7" s="101">
        <f>VLOOKUP($K7,[1]Inflation!$AE$10:$AT$55,COLUMN(M:M),FALSE)</f>
        <v>5.1499999999999997E-2</v>
      </c>
      <c r="O7" s="101">
        <f>VLOOKUP($K7,[1]Inflation!$AE$10:$AT$55,COLUMN(N:N),FALSE)</f>
        <v>5.1500000000000004E-2</v>
      </c>
      <c r="P7" s="101">
        <f>VLOOKUP($K7,[1]Inflation!$AE$10:$AT$55,COLUMN(O:O),FALSE)</f>
        <v>4.8584905660377355E-2</v>
      </c>
      <c r="Q7" s="102">
        <f>VLOOKUP($K7,[1]Inflation!$AE$10:$AT$55,COLUMN(P:P),FALSE)</f>
        <v>4.5834816660733357E-2</v>
      </c>
      <c r="U7" s="86"/>
      <c r="V7" s="103" t="s">
        <v>105</v>
      </c>
      <c r="W7" s="104" t="e">
        <f>VLOOKUP($K7,[1]Inflation!$AE$10:$AZ$55,COLUMN(Q:Q),FALSE)</f>
        <v>#DIV/0!</v>
      </c>
      <c r="X7" s="101" t="e">
        <f>VLOOKUP($K7,[1]Inflation!$AE$10:$AZ$55,COLUMN(R:R),FALSE)</f>
        <v>#DIV/0!</v>
      </c>
      <c r="Y7" s="101">
        <f>VLOOKUP($K7,[1]Inflation!$AE$10:$AZ$55,COLUMN(S:S),FALSE)</f>
        <v>0</v>
      </c>
      <c r="Z7" s="101">
        <f>VLOOKUP($K7,[1]Inflation!$AE$10:$AZ$55,COLUMN(T:T),FALSE)</f>
        <v>0</v>
      </c>
      <c r="AA7" s="105">
        <f>VLOOKUP($K7,[1]Inflation!$AE$10:$AZ$55,COLUMN(U:U),FALSE)</f>
        <v>0</v>
      </c>
      <c r="AB7" s="106">
        <f>VLOOKUP($K7,[1]Inflation!$AE$10:$AZ$55,COLUMN(V:V),FALSE)</f>
        <v>0</v>
      </c>
      <c r="AC7" s="95"/>
      <c r="AD7" s="95"/>
      <c r="AE7" s="95"/>
      <c r="AF7" s="95"/>
      <c r="AG7" s="95"/>
      <c r="AH7" s="95"/>
      <c r="AI7" s="95"/>
    </row>
    <row r="8" spans="1:37" ht="14.25" x14ac:dyDescent="0.3">
      <c r="B8" s="96" t="s">
        <v>106</v>
      </c>
      <c r="C8" s="97">
        <f>IF($H$2=1,VLOOKUP($B8,'[38]Rebate Discount Rates'!$A$5:$I$50,COLUMN(D:D),FALSE),VLOOKUP($B8,'[39]Rebate Discount Rates'!$A$5:$I$50,COLUMN(D:D),FALSE))</f>
        <v>0</v>
      </c>
      <c r="D8" s="97">
        <f>IF($H$2=1,VLOOKUP($B8,'[38]Rebate Discount Rates'!$A$5:$I$50,COLUMN(E:E),FALSE),VLOOKUP($B8,'[39]Rebate Discount Rates'!$A$5:$I$50,COLUMN(E:E),FALSE))</f>
        <v>0</v>
      </c>
      <c r="E8" s="97">
        <f>IF($H$2=1,VLOOKUP($B8,'[38]Rebate Discount Rates'!$A$5:$I$50,COLUMN(F:F),FALSE),VLOOKUP($B8,'[39]Rebate Discount Rates'!$A$5:$I$50,COLUMN(F:F),FALSE))</f>
        <v>0.15000000000000002</v>
      </c>
      <c r="F8" s="97">
        <f>IF($H$2=1,VLOOKUP($B8,'[38]Rebate Discount Rates'!$A$5:$I$50,COLUMN(G:G),FALSE),VLOOKUP($B8,'[39]Rebate Discount Rates'!$A$5:$I$50,COLUMN(G:G),FALSE))</f>
        <v>0.3</v>
      </c>
      <c r="G8" s="97">
        <f>IF($H$2=1,VLOOKUP($B8,'[38]Rebate Discount Rates'!$A$5:$I$50,COLUMN(H:H),FALSE),VLOOKUP($B8,'[39]Rebate Discount Rates'!$A$5:$I$50,COLUMN(H:H),FALSE))</f>
        <v>0.30000000000000016</v>
      </c>
      <c r="H8" s="98">
        <f>IF($H$2=1,VLOOKUP($B8,'[38]Rebate Discount Rates'!$A$5:$I$50,COLUMN(I:I),FALSE),VLOOKUP($B8,'[39]Rebate Discount Rates'!$A$5:$I$50,COLUMN(I:I),FALSE))</f>
        <v>0.30000000000000016</v>
      </c>
      <c r="I8" s="85"/>
      <c r="J8" s="86"/>
      <c r="K8" s="99" t="s">
        <v>106</v>
      </c>
      <c r="L8" s="100" t="e">
        <f>VLOOKUP($K8,[1]Inflation!$AE$10:$AT$55,COLUMN(K:K),FALSE)</f>
        <v>#DIV/0!</v>
      </c>
      <c r="M8" s="101" t="e">
        <f>VLOOKUP($K8,[1]Inflation!$AE$10:$AT$55,COLUMN(L:L),FALSE)</f>
        <v>#DIV/0!</v>
      </c>
      <c r="N8" s="101">
        <f>VLOOKUP($K8,[1]Inflation!$AE$10:$AT$55,COLUMN(M:M),FALSE)</f>
        <v>0.13000000000000003</v>
      </c>
      <c r="O8" s="101">
        <f>VLOOKUP($K8,[1]Inflation!$AE$10:$AT$55,COLUMN(N:N),FALSE)</f>
        <v>0.12264150943396229</v>
      </c>
      <c r="P8" s="101">
        <f>VLOOKUP($K8,[1]Inflation!$AE$10:$AT$55,COLUMN(O:O),FALSE)</f>
        <v>0.11569953720185119</v>
      </c>
      <c r="Q8" s="102">
        <f>VLOOKUP($K8,[1]Inflation!$AE$10:$AT$55,COLUMN(P:P),FALSE)</f>
        <v>0.10915050679419924</v>
      </c>
      <c r="U8" s="86"/>
      <c r="V8" s="103" t="s">
        <v>106</v>
      </c>
      <c r="W8" s="104" t="e">
        <f>VLOOKUP($K8,[1]Inflation!$AE$10:$AZ$55,COLUMN(Q:Q),FALSE)</f>
        <v>#DIV/0!</v>
      </c>
      <c r="X8" s="101" t="e">
        <f>VLOOKUP($K8,[1]Inflation!$AE$10:$AZ$55,COLUMN(R:R),FALSE)</f>
        <v>#DIV/0!</v>
      </c>
      <c r="Y8" s="101">
        <f>VLOOKUP($K8,[1]Inflation!$AE$10:$AZ$55,COLUMN(S:S),FALSE)</f>
        <v>0.27499999999999997</v>
      </c>
      <c r="Z8" s="101">
        <f>VLOOKUP($K8,[1]Inflation!$AE$10:$AZ$55,COLUMN(T:T),FALSE)</f>
        <v>0.27500000000000008</v>
      </c>
      <c r="AA8" s="105">
        <f>VLOOKUP($K8,[1]Inflation!$AE$10:$AZ$55,COLUMN(U:U),FALSE)</f>
        <v>0.27500000000000002</v>
      </c>
      <c r="AB8" s="106">
        <f>VLOOKUP($K8,[1]Inflation!$AE$10:$AZ$55,COLUMN(V:V),FALSE)</f>
        <v>0.27500000000000008</v>
      </c>
      <c r="AC8" s="95"/>
      <c r="AD8" s="95"/>
      <c r="AE8" s="95"/>
      <c r="AF8" s="95"/>
      <c r="AG8" s="95"/>
      <c r="AH8" s="95"/>
      <c r="AI8" s="95"/>
    </row>
    <row r="9" spans="1:37" ht="14.25" x14ac:dyDescent="0.3">
      <c r="B9" s="96" t="s">
        <v>107</v>
      </c>
      <c r="C9" s="97">
        <f>IF($H$2=1,VLOOKUP($B9,'[38]Rebate Discount Rates'!$A$5:$I$50,COLUMN(D:D),FALSE),VLOOKUP($B9,'[39]Rebate Discount Rates'!$A$5:$I$50,COLUMN(D:D),FALSE))</f>
        <v>0</v>
      </c>
      <c r="D9" s="97">
        <f>IF($H$2=1,VLOOKUP($B9,'[38]Rebate Discount Rates'!$A$5:$I$50,COLUMN(E:E),FALSE),VLOOKUP($B9,'[39]Rebate Discount Rates'!$A$5:$I$50,COLUMN(E:E),FALSE))</f>
        <v>0</v>
      </c>
      <c r="E9" s="97">
        <f>IF($H$2=1,VLOOKUP($B9,'[38]Rebate Discount Rates'!$A$5:$I$50,COLUMN(F:F),FALSE),VLOOKUP($B9,'[39]Rebate Discount Rates'!$A$5:$I$50,COLUMN(F:F),FALSE))</f>
        <v>0.11415611256260993</v>
      </c>
      <c r="F9" s="97">
        <f>IF($H$2=1,VLOOKUP($B9,'[38]Rebate Discount Rates'!$A$5:$I$50,COLUMN(G:G),FALSE),VLOOKUP($B9,'[39]Rebate Discount Rates'!$A$5:$I$50,COLUMN(G:G),FALSE))</f>
        <v>0.15510218299778558</v>
      </c>
      <c r="G9" s="97">
        <f>IF($H$2=1,VLOOKUP($B9,'[38]Rebate Discount Rates'!$A$5:$I$50,COLUMN(H:H),FALSE),VLOOKUP($B9,'[39]Rebate Discount Rates'!$A$5:$I$50,COLUMN(H:H),FALSE))</f>
        <v>0.22147683435521309</v>
      </c>
      <c r="H9" s="98">
        <f>IF($H$2=1,VLOOKUP($B9,'[38]Rebate Discount Rates'!$A$5:$I$50,COLUMN(I:I),FALSE),VLOOKUP($B9,'[39]Rebate Discount Rates'!$A$5:$I$50,COLUMN(I:I),FALSE))</f>
        <v>0.22147683435521309</v>
      </c>
      <c r="I9" s="85"/>
      <c r="J9" s="86"/>
      <c r="K9" s="99" t="s">
        <v>107</v>
      </c>
      <c r="L9" s="100" t="e">
        <f>VLOOKUP($K9,[1]Inflation!$AE$10:$AT$55,COLUMN(K:K),FALSE)</f>
        <v>#DIV/0!</v>
      </c>
      <c r="M9" s="101" t="e">
        <f>VLOOKUP($K9,[1]Inflation!$AE$10:$AT$55,COLUMN(L:L),FALSE)</f>
        <v>#DIV/0!</v>
      </c>
      <c r="N9" s="101">
        <f>VLOOKUP($K9,[1]Inflation!$AE$10:$AT$55,COLUMN(M:M),FALSE)</f>
        <v>7.3999999999999996E-2</v>
      </c>
      <c r="O9" s="101">
        <f>VLOOKUP($K9,[1]Inflation!$AE$10:$AT$55,COLUMN(N:N),FALSE)</f>
        <v>7.047619047619047E-2</v>
      </c>
      <c r="P9" s="101">
        <f>VLOOKUP($K9,[1]Inflation!$AE$10:$AT$55,COLUMN(O:O),FALSE)</f>
        <v>6.7120181405895693E-2</v>
      </c>
      <c r="Q9" s="102">
        <f>VLOOKUP($K9,[1]Inflation!$AE$10:$AT$55,COLUMN(P:P),FALSE)</f>
        <v>6.3320925854618598E-2</v>
      </c>
      <c r="U9" s="86"/>
      <c r="V9" s="103" t="s">
        <v>107</v>
      </c>
      <c r="W9" s="104" t="e">
        <f>VLOOKUP($K9,[1]Inflation!$AE$10:$AZ$55,COLUMN(Q:Q),FALSE)</f>
        <v>#DIV/0!</v>
      </c>
      <c r="X9" s="101" t="e">
        <f>VLOOKUP($K9,[1]Inflation!$AE$10:$AZ$55,COLUMN(R:R),FALSE)</f>
        <v>#DIV/0!</v>
      </c>
      <c r="Y9" s="101">
        <f>VLOOKUP($K9,[1]Inflation!$AE$10:$AZ$55,COLUMN(S:S),FALSE)</f>
        <v>6.5000000000000016E-2</v>
      </c>
      <c r="Z9" s="101">
        <f>VLOOKUP($K9,[1]Inflation!$AE$10:$AZ$55,COLUMN(T:T),FALSE)</f>
        <v>6.5000000000000002E-2</v>
      </c>
      <c r="AA9" s="105">
        <f>VLOOKUP($K9,[1]Inflation!$AE$10:$AZ$55,COLUMN(U:U),FALSE)</f>
        <v>6.5000000000000016E-2</v>
      </c>
      <c r="AB9" s="106">
        <f>VLOOKUP($K9,[1]Inflation!$AE$10:$AZ$55,COLUMN(V:V),FALSE)</f>
        <v>6.3716824255216964E-2</v>
      </c>
      <c r="AC9" s="95"/>
      <c r="AD9" s="95"/>
      <c r="AE9" s="95"/>
      <c r="AF9" s="95"/>
      <c r="AG9" s="95"/>
      <c r="AH9" s="95"/>
      <c r="AI9" s="95"/>
    </row>
    <row r="10" spans="1:37" ht="14.25" x14ac:dyDescent="0.3">
      <c r="B10" s="107" t="s">
        <v>108</v>
      </c>
      <c r="C10" s="97">
        <f>IF($H$2=1,VLOOKUP($B10,'[38]Rebate Discount Rates'!$A$5:$I$50,COLUMN(D:D),FALSE),VLOOKUP($B10,'[39]Rebate Discount Rates'!$A$5:$I$50,COLUMN(D:D),FALSE))</f>
        <v>0</v>
      </c>
      <c r="D10" s="97">
        <f>IF($H$2=1,VLOOKUP($B10,'[38]Rebate Discount Rates'!$A$5:$I$50,COLUMN(E:E),FALSE),VLOOKUP($B10,'[39]Rebate Discount Rates'!$A$5:$I$50,COLUMN(E:E),FALSE))</f>
        <v>0</v>
      </c>
      <c r="E10" s="97">
        <f>IF($H$2=1,VLOOKUP($B10,'[38]Rebate Discount Rates'!$A$5:$I$50,COLUMN(F:F),FALSE),VLOOKUP($B10,'[39]Rebate Discount Rates'!$A$5:$I$50,COLUMN(F:F),FALSE))</f>
        <v>0.17089999999999997</v>
      </c>
      <c r="F10" s="97">
        <f>IF($H$2=1,VLOOKUP($B10,'[38]Rebate Discount Rates'!$A$5:$I$50,COLUMN(G:G),FALSE),VLOOKUP($B10,'[39]Rebate Discount Rates'!$A$5:$I$50,COLUMN(G:G),FALSE))</f>
        <v>0.22850000000000001</v>
      </c>
      <c r="G10" s="97">
        <f>IF($H$2=1,VLOOKUP($B10,'[38]Rebate Discount Rates'!$A$5:$I$50,COLUMN(H:H),FALSE),VLOOKUP($B10,'[39]Rebate Discount Rates'!$A$5:$I$50,COLUMN(H:H),FALSE))</f>
        <v>0.24330000000000004</v>
      </c>
      <c r="H10" s="98">
        <f>IF($H$2=1,VLOOKUP($B10,'[38]Rebate Discount Rates'!$A$5:$I$50,COLUMN(I:I),FALSE),VLOOKUP($B10,'[39]Rebate Discount Rates'!$A$5:$I$50,COLUMN(I:I),FALSE))</f>
        <v>0.24330000000000004</v>
      </c>
      <c r="I10" s="108"/>
      <c r="J10" s="86"/>
      <c r="K10" s="99" t="s">
        <v>108</v>
      </c>
      <c r="L10" s="109" t="e">
        <f>VLOOKUP($K10,[1]Inflation!$AE$10:$AT$55,COLUMN(K:K),FALSE)</f>
        <v>#DIV/0!</v>
      </c>
      <c r="M10" s="110" t="e">
        <f>VLOOKUP($K10,[1]Inflation!$AE$10:$AT$55,COLUMN(L:L),FALSE)</f>
        <v>#DIV/0!</v>
      </c>
      <c r="N10" s="110">
        <f>VLOOKUP($K10,[1]Inflation!$AE$10:$AT$55,COLUMN(M:M),FALSE)</f>
        <v>3.500000000000001E-2</v>
      </c>
      <c r="O10" s="110">
        <f>VLOOKUP($K10,[1]Inflation!$AE$10:$AT$55,COLUMN(N:N),FALSE)</f>
        <v>3.2710280373831772E-2</v>
      </c>
      <c r="P10" s="110">
        <f>VLOOKUP($K10,[1]Inflation!$AE$10:$AT$55,COLUMN(O:O),FALSE)</f>
        <v>3.0570355489562415E-2</v>
      </c>
      <c r="Q10" s="111">
        <f>VLOOKUP($K10,[1]Inflation!$AE$10:$AT$55,COLUMN(P:P),FALSE)</f>
        <v>2.8570425691179822E-2</v>
      </c>
      <c r="V10" s="103" t="s">
        <v>108</v>
      </c>
      <c r="W10" s="112" t="e">
        <f>VLOOKUP($K10,[1]Inflation!$AE$10:$AZ$55,COLUMN(Q:Q),FALSE)</f>
        <v>#DIV/0!</v>
      </c>
      <c r="X10" s="110" t="e">
        <f>VLOOKUP($K10,[1]Inflation!$AE$10:$AZ$55,COLUMN(R:R),FALSE)</f>
        <v>#DIV/0!</v>
      </c>
      <c r="Y10" s="110">
        <f>VLOOKUP($K10,[1]Inflation!$AE$10:$AZ$55,COLUMN(S:S),FALSE)</f>
        <v>0</v>
      </c>
      <c r="Z10" s="110">
        <f>VLOOKUP($K10,[1]Inflation!$AE$10:$AZ$55,COLUMN(T:T),FALSE)</f>
        <v>0</v>
      </c>
      <c r="AA10" s="110">
        <f>VLOOKUP($K10,[1]Inflation!$AE$10:$AZ$55,COLUMN(U:U),FALSE)</f>
        <v>0</v>
      </c>
      <c r="AB10" s="111">
        <f>VLOOKUP($K10,[1]Inflation!$AE$10:$AZ$55,COLUMN(V:V),FALSE)</f>
        <v>0</v>
      </c>
      <c r="AC10" s="85"/>
      <c r="AD10" s="95"/>
      <c r="AE10" s="95"/>
      <c r="AF10" s="95"/>
      <c r="AG10" s="95"/>
      <c r="AH10" s="95"/>
      <c r="AI10" s="95"/>
    </row>
    <row r="11" spans="1:37" ht="14.25" x14ac:dyDescent="0.3">
      <c r="B11" s="107" t="s">
        <v>109</v>
      </c>
      <c r="C11" s="97">
        <f>IF($H$2=1,VLOOKUP($B11,'[38]Rebate Discount Rates'!$A$5:$I$50,COLUMN(D:D),FALSE),VLOOKUP($B11,'[39]Rebate Discount Rates'!$A$5:$I$50,COLUMN(D:D),FALSE))</f>
        <v>0.3319976690558834</v>
      </c>
      <c r="D11" s="97">
        <f>IF($H$2=1,VLOOKUP($B11,'[38]Rebate Discount Rates'!$A$5:$I$50,COLUMN(E:E),FALSE),VLOOKUP($B11,'[39]Rebate Discount Rates'!$A$5:$I$50,COLUMN(E:E),FALSE))</f>
        <v>0.38115749396475052</v>
      </c>
      <c r="E11" s="97">
        <f>IF($H$2=1,VLOOKUP($B11,'[38]Rebate Discount Rates'!$A$5:$I$50,COLUMN(F:F),FALSE),VLOOKUP($B11,'[39]Rebate Discount Rates'!$A$5:$I$50,COLUMN(F:F),FALSE))</f>
        <v>0.38115749396475052</v>
      </c>
      <c r="F11" s="97">
        <f>IF($H$2=1,VLOOKUP($B11,'[38]Rebate Discount Rates'!$A$5:$I$50,COLUMN(G:G),FALSE),VLOOKUP($B11,'[39]Rebate Discount Rates'!$A$5:$I$50,COLUMN(G:G),FALSE))</f>
        <v>0.38115749396475052</v>
      </c>
      <c r="G11" s="97">
        <f>IF($H$2=1,VLOOKUP($B11,'[38]Rebate Discount Rates'!$A$5:$I$50,COLUMN(H:H),FALSE),VLOOKUP($B11,'[39]Rebate Discount Rates'!$A$5:$I$50,COLUMN(H:H),FALSE))</f>
        <v>0.38115749396475052</v>
      </c>
      <c r="H11" s="98">
        <f>IF($H$2=1,VLOOKUP($B11,'[38]Rebate Discount Rates'!$A$5:$I$50,COLUMN(I:I),FALSE),VLOOKUP($B11,'[39]Rebate Discount Rates'!$A$5:$I$50,COLUMN(I:I),FALSE))</f>
        <v>0.38115749396475052</v>
      </c>
      <c r="I11" s="85"/>
      <c r="J11" s="113"/>
      <c r="K11" s="99" t="s">
        <v>109</v>
      </c>
      <c r="L11" s="109">
        <f>VLOOKUP($K11,[1]Inflation!$AE$10:$AT$55,COLUMN(K:K),FALSE)</f>
        <v>5.7419753946191344E-2</v>
      </c>
      <c r="M11" s="110">
        <f>VLOOKUP($K11,[1]Inflation!$AE$10:$AT$55,COLUMN(L:L),FALSE)</f>
        <v>6.3362802604407895E-2</v>
      </c>
      <c r="N11" s="110">
        <f>VLOOKUP($K11,[1]Inflation!$AE$10:$AT$55,COLUMN(M:M),FALSE)</f>
        <v>5.8987868862874764E-2</v>
      </c>
      <c r="O11" s="110">
        <f>VLOOKUP($K11,[1]Inflation!$AE$10:$AT$55,COLUMN(N:N),FALSE)</f>
        <v>5.4605624414297518E-2</v>
      </c>
      <c r="P11" s="110">
        <f>VLOOKUP($K11,[1]Inflation!$AE$10:$AT$55,COLUMN(O:O),FALSE)</f>
        <v>5.105231603845771E-2</v>
      </c>
      <c r="Q11" s="111">
        <f>VLOOKUP($K11,[1]Inflation!$AE$10:$AT$55,COLUMN(P:P),FALSE)</f>
        <v>4.8164390440810834E-2</v>
      </c>
      <c r="U11" s="86"/>
      <c r="V11" s="103" t="s">
        <v>109</v>
      </c>
      <c r="W11" s="112">
        <f>VLOOKUP($K11,[1]Inflation!$AE$10:$AZ$55,COLUMN(Q:Q),FALSE)</f>
        <v>0</v>
      </c>
      <c r="X11" s="110">
        <f>VLOOKUP($K11,[1]Inflation!$AE$10:$AZ$55,COLUMN(R:R),FALSE)</f>
        <v>0</v>
      </c>
      <c r="Y11" s="110">
        <f>VLOOKUP($K11,[1]Inflation!$AE$10:$AZ$55,COLUMN(S:S),FALSE)</f>
        <v>0</v>
      </c>
      <c r="Z11" s="110">
        <f>VLOOKUP($K11,[1]Inflation!$AE$10:$AZ$55,COLUMN(T:T),FALSE)</f>
        <v>0</v>
      </c>
      <c r="AA11" s="110">
        <f>VLOOKUP($K11,[1]Inflation!$AE$10:$AZ$55,COLUMN(U:U),FALSE)</f>
        <v>0</v>
      </c>
      <c r="AB11" s="111">
        <f>VLOOKUP($K11,[1]Inflation!$AE$10:$AZ$55,COLUMN(V:V),FALSE)</f>
        <v>0</v>
      </c>
      <c r="AC11" s="114"/>
      <c r="AD11" s="95"/>
      <c r="AE11" s="95"/>
      <c r="AF11" s="95"/>
      <c r="AG11" s="95"/>
      <c r="AH11" s="95"/>
      <c r="AI11" s="95"/>
    </row>
    <row r="12" spans="1:37" ht="14.25" x14ac:dyDescent="0.3">
      <c r="B12" s="107" t="s">
        <v>110</v>
      </c>
      <c r="C12" s="97">
        <f>IF($H$2=1,VLOOKUP($B12,'[38]Rebate Discount Rates'!$A$5:$I$50,COLUMN(D:D),FALSE),VLOOKUP($B12,'[39]Rebate Discount Rates'!$A$5:$I$50,COLUMN(D:D),FALSE))</f>
        <v>0.31605611477530116</v>
      </c>
      <c r="D12" s="97">
        <f>IF($H$2=1,VLOOKUP($B12,'[38]Rebate Discount Rates'!$A$5:$I$50,COLUMN(E:E),FALSE),VLOOKUP($B12,'[39]Rebate Discount Rates'!$A$5:$I$50,COLUMN(E:E),FALSE))</f>
        <v>0.35381679033688695</v>
      </c>
      <c r="E12" s="97">
        <f>IF($H$2=1,VLOOKUP($B12,'[38]Rebate Discount Rates'!$A$5:$I$50,COLUMN(F:F),FALSE),VLOOKUP($B12,'[39]Rebate Discount Rates'!$A$5:$I$50,COLUMN(F:F),FALSE))</f>
        <v>0.35381679033688695</v>
      </c>
      <c r="F12" s="97">
        <f>IF($H$2=1,VLOOKUP($B12,'[38]Rebate Discount Rates'!$A$5:$I$50,COLUMN(G:G),FALSE),VLOOKUP($B12,'[39]Rebate Discount Rates'!$A$5:$I$50,COLUMN(G:G),FALSE))</f>
        <v>0.35381679033688695</v>
      </c>
      <c r="G12" s="97">
        <f>IF($H$2=1,VLOOKUP($B12,'[38]Rebate Discount Rates'!$A$5:$I$50,COLUMN(H:H),FALSE),VLOOKUP($B12,'[39]Rebate Discount Rates'!$A$5:$I$50,COLUMN(H:H),FALSE))</f>
        <v>0.35381679033688695</v>
      </c>
      <c r="H12" s="98">
        <f>IF($H$2=1,VLOOKUP($B12,'[38]Rebate Discount Rates'!$A$5:$I$50,COLUMN(I:I),FALSE),VLOOKUP($B12,'[39]Rebate Discount Rates'!$A$5:$I$50,COLUMN(I:I),FALSE))</f>
        <v>0.35381679033688695</v>
      </c>
      <c r="I12" s="85"/>
      <c r="J12" s="113"/>
      <c r="K12" s="99" t="s">
        <v>110</v>
      </c>
      <c r="L12" s="109">
        <f>VLOOKUP($K12,[1]Inflation!$AE$10:$AT$55,COLUMN(K:K),FALSE)</f>
        <v>3.9510389329083698E-2</v>
      </c>
      <c r="M12" s="110">
        <f>VLOOKUP($K12,[1]Inflation!$AE$10:$AT$55,COLUMN(L:L),FALSE)</f>
        <v>2.6175800418891823E-2</v>
      </c>
      <c r="N12" s="110">
        <f>VLOOKUP($K12,[1]Inflation!$AE$10:$AT$55,COLUMN(M:M),FALSE)</f>
        <v>2.6268218085984753E-2</v>
      </c>
      <c r="O12" s="110">
        <f>VLOOKUP($K12,[1]Inflation!$AE$10:$AT$55,COLUMN(N:N),FALSE)</f>
        <v>2.5700973559314787E-2</v>
      </c>
      <c r="P12" s="110">
        <f>VLOOKUP($K12,[1]Inflation!$AE$10:$AT$55,COLUMN(O:O),FALSE)</f>
        <v>2.5605561486222922E-2</v>
      </c>
      <c r="Q12" s="111">
        <f>VLOOKUP($K12,[1]Inflation!$AE$10:$AT$55,COLUMN(P:P),FALSE)</f>
        <v>2.4965420855793685E-2</v>
      </c>
      <c r="S12" s="115"/>
      <c r="U12" s="113"/>
      <c r="V12" s="103" t="s">
        <v>110</v>
      </c>
      <c r="W12" s="116">
        <f>VLOOKUP($K12,[1]Inflation!$AE$10:$AZ$55,COLUMN(Q:Q),FALSE)</f>
        <v>6.3047052548324156E-2</v>
      </c>
      <c r="X12" s="110">
        <f>VLOOKUP($K12,[1]Inflation!$AE$10:$AZ$55,COLUMN(R:R),FALSE)</f>
        <v>7.1486824735296342E-2</v>
      </c>
      <c r="Y12" s="110">
        <f>VLOOKUP($K12,[1]Inflation!$AE$10:$AZ$55,COLUMN(S:S),FALSE)</f>
        <v>7.3698425145069399E-2</v>
      </c>
      <c r="Z12" s="110">
        <f>VLOOKUP($K12,[1]Inflation!$AE$10:$AZ$55,COLUMN(T:T),FALSE)</f>
        <v>7.4163573127944124E-2</v>
      </c>
      <c r="AA12" s="110">
        <f>VLOOKUP($K12,[1]Inflation!$AE$10:$AZ$55,COLUMN(U:U),FALSE)</f>
        <v>7.1366049826560307E-2</v>
      </c>
      <c r="AB12" s="111">
        <f>VLOOKUP($K12,[1]Inflation!$AE$10:$AZ$55,COLUMN(V:V),FALSE)</f>
        <v>7.1708929624764078E-2</v>
      </c>
      <c r="AC12" s="95"/>
      <c r="AD12" s="95"/>
      <c r="AE12" s="95"/>
      <c r="AF12" s="95"/>
      <c r="AG12" s="95"/>
      <c r="AH12" s="95"/>
      <c r="AI12" s="95"/>
    </row>
    <row r="13" spans="1:37" ht="14.25" x14ac:dyDescent="0.3">
      <c r="B13" s="107" t="s">
        <v>111</v>
      </c>
      <c r="C13" s="97">
        <f>IF($H$2=1,VLOOKUP($B13,'[38]Rebate Discount Rates'!$A$5:$I$50,COLUMN(D:D),FALSE),VLOOKUP($B13,'[39]Rebate Discount Rates'!$A$5:$I$50,COLUMN(D:D),FALSE))</f>
        <v>0.30836819023716033</v>
      </c>
      <c r="D13" s="97">
        <f>IF($H$2=1,VLOOKUP($B13,'[38]Rebate Discount Rates'!$A$5:$I$50,COLUMN(E:E),FALSE),VLOOKUP($B13,'[39]Rebate Discount Rates'!$A$5:$I$50,COLUMN(E:E),FALSE))</f>
        <v>0.34429980894603834</v>
      </c>
      <c r="E13" s="97">
        <f>IF($H$2=1,VLOOKUP($B13,'[38]Rebate Discount Rates'!$A$5:$I$50,COLUMN(F:F),FALSE),VLOOKUP($B13,'[39]Rebate Discount Rates'!$A$5:$I$50,COLUMN(F:F),FALSE))</f>
        <v>0.34429980894603834</v>
      </c>
      <c r="F13" s="97">
        <f>IF($H$2=1,VLOOKUP($B13,'[38]Rebate Discount Rates'!$A$5:$I$50,COLUMN(G:G),FALSE),VLOOKUP($B13,'[39]Rebate Discount Rates'!$A$5:$I$50,COLUMN(G:G),FALSE))</f>
        <v>0.34429980894603834</v>
      </c>
      <c r="G13" s="97">
        <f>IF($H$2=1,VLOOKUP($B13,'[38]Rebate Discount Rates'!$A$5:$I$50,COLUMN(H:H),FALSE),VLOOKUP($B13,'[39]Rebate Discount Rates'!$A$5:$I$50,COLUMN(H:H),FALSE))</f>
        <v>0.34429980894603834</v>
      </c>
      <c r="H13" s="98">
        <f>IF($H$2=1,VLOOKUP($B13,'[38]Rebate Discount Rates'!$A$5:$I$50,COLUMN(I:I),FALSE),VLOOKUP($B13,'[39]Rebate Discount Rates'!$A$5:$I$50,COLUMN(I:I),FALSE))</f>
        <v>0.34429980894603834</v>
      </c>
      <c r="I13" s="85"/>
      <c r="J13" s="113"/>
      <c r="K13" s="117" t="s">
        <v>111</v>
      </c>
      <c r="L13" s="109">
        <f>VLOOKUP($K13,[1]Inflation!$AE$10:$AT$55,COLUMN(K:K),FALSE)</f>
        <v>6.2251544973314143E-2</v>
      </c>
      <c r="M13" s="110">
        <f>VLOOKUP($K13,[1]Inflation!$AE$10:$AT$55,COLUMN(L:L),FALSE)</f>
        <v>5.6505915867874325E-2</v>
      </c>
      <c r="N13" s="110">
        <f>VLOOKUP($K13,[1]Inflation!$AE$10:$AT$55,COLUMN(M:M),FALSE)</f>
        <v>5.2320291173794366E-2</v>
      </c>
      <c r="O13" s="110">
        <f>VLOOKUP($K13,[1]Inflation!$AE$10:$AT$55,COLUMN(N:N),FALSE)</f>
        <v>4.8444714049809573E-2</v>
      </c>
      <c r="P13" s="110">
        <f>VLOOKUP($K13,[1]Inflation!$AE$10:$AT$55,COLUMN(O:O),FALSE)</f>
        <v>4.570256042434867E-2</v>
      </c>
      <c r="Q13" s="111">
        <f>VLOOKUP($K13,[1]Inflation!$AE$10:$AT$55,COLUMN(P:P),FALSE)</f>
        <v>4.3115623041838358E-2</v>
      </c>
      <c r="U13" s="113"/>
      <c r="V13" s="103" t="s">
        <v>111</v>
      </c>
      <c r="W13" s="112">
        <f>VLOOKUP($K13,[1]Inflation!$AE$10:$AZ$55,COLUMN(Q:Q),FALSE)</f>
        <v>1.3592550190146557E-2</v>
      </c>
      <c r="X13" s="110">
        <f>VLOOKUP($K13,[1]Inflation!$AE$10:$AZ$55,COLUMN(R:R),FALSE)</f>
        <v>4.9790531114807801E-3</v>
      </c>
      <c r="Y13" s="110">
        <f>VLOOKUP($K13,[1]Inflation!$AE$10:$AZ$55,COLUMN(S:S),FALSE)</f>
        <v>5.1327297647359629E-3</v>
      </c>
      <c r="Z13" s="110">
        <f>VLOOKUP($K13,[1]Inflation!$AE$10:$AZ$55,COLUMN(T:T),FALSE)</f>
        <v>5.0588151969292701E-3</v>
      </c>
      <c r="AA13" s="110">
        <f>VLOOKUP($K13,[1]Inflation!$AE$10:$AZ$55,COLUMN(U:U),FALSE)</f>
        <v>4.9960047746660848E-3</v>
      </c>
      <c r="AB13" s="111">
        <f>VLOOKUP($K13,[1]Inflation!$AE$10:$AZ$55,COLUMN(V:V),FALSE)</f>
        <v>4.9504562206795152E-3</v>
      </c>
      <c r="AC13" s="95"/>
      <c r="AD13" s="95"/>
      <c r="AE13" s="95"/>
      <c r="AF13" s="95"/>
      <c r="AG13" s="95"/>
      <c r="AH13" s="95"/>
      <c r="AI13" s="95"/>
    </row>
    <row r="14" spans="1:37" ht="14.25" x14ac:dyDescent="0.3">
      <c r="B14" s="107" t="s">
        <v>112</v>
      </c>
      <c r="C14" s="97">
        <f>IF($H$2=1,VLOOKUP($B14,'[38]Rebate Discount Rates'!$A$5:$I$50,COLUMN(D:D),FALSE),VLOOKUP($B14,'[39]Rebate Discount Rates'!$A$5:$I$50,COLUMN(D:D),FALSE))</f>
        <v>0.21063158951322938</v>
      </c>
      <c r="D14" s="97">
        <f>IF($H$2=1,VLOOKUP($B14,'[38]Rebate Discount Rates'!$A$5:$I$50,COLUMN(E:E),FALSE),VLOOKUP($B14,'[39]Rebate Discount Rates'!$A$5:$I$50,COLUMN(E:E),FALSE))</f>
        <v>0.23350523456149036</v>
      </c>
      <c r="E14" s="97">
        <f>IF($H$2=1,VLOOKUP($B14,'[38]Rebate Discount Rates'!$A$5:$I$50,COLUMN(F:F),FALSE),VLOOKUP($B14,'[39]Rebate Discount Rates'!$A$5:$I$50,COLUMN(F:F),FALSE))</f>
        <v>0.23350523456149036</v>
      </c>
      <c r="F14" s="97">
        <f>IF($H$2=1,VLOOKUP($B14,'[38]Rebate Discount Rates'!$A$5:$I$50,COLUMN(G:G),FALSE),VLOOKUP($B14,'[39]Rebate Discount Rates'!$A$5:$I$50,COLUMN(G:G),FALSE))</f>
        <v>0.23350523456149036</v>
      </c>
      <c r="G14" s="97">
        <f>IF($H$2=1,VLOOKUP($B14,'[38]Rebate Discount Rates'!$A$5:$I$50,COLUMN(H:H),FALSE),VLOOKUP($B14,'[39]Rebate Discount Rates'!$A$5:$I$50,COLUMN(H:H),FALSE))</f>
        <v>0.23350523456149036</v>
      </c>
      <c r="H14" s="98">
        <f>IF($H$2=1,VLOOKUP($B14,'[38]Rebate Discount Rates'!$A$5:$I$50,COLUMN(I:I),FALSE),VLOOKUP($B14,'[39]Rebate Discount Rates'!$A$5:$I$50,COLUMN(I:I),FALSE))</f>
        <v>0.23350523456149036</v>
      </c>
      <c r="I14" s="85"/>
      <c r="J14" s="70"/>
      <c r="K14" s="99" t="s">
        <v>112</v>
      </c>
      <c r="L14" s="109">
        <f>VLOOKUP($K14,[1]Inflation!$AE$10:$AT$55,COLUMN(K:K),FALSE)</f>
        <v>3.9306708506754821E-2</v>
      </c>
      <c r="M14" s="110">
        <f>VLOOKUP($K14,[1]Inflation!$AE$10:$AT$55,COLUMN(L:L),FALSE)</f>
        <v>3.8970830649623332E-2</v>
      </c>
      <c r="N14" s="110">
        <f>VLOOKUP($K14,[1]Inflation!$AE$10:$AT$55,COLUMN(M:M),FALSE)</f>
        <v>3.7124652458063484E-2</v>
      </c>
      <c r="O14" s="110">
        <f>VLOOKUP($K14,[1]Inflation!$AE$10:$AT$55,COLUMN(N:N),FALSE)</f>
        <v>3.5367961645969753E-2</v>
      </c>
      <c r="P14" s="110">
        <f>VLOOKUP($K14,[1]Inflation!$AE$10:$AT$55,COLUMN(O:O),FALSE)</f>
        <v>3.3684784916839204E-2</v>
      </c>
      <c r="Q14" s="111">
        <f>VLOOKUP($K14,[1]Inflation!$AE$10:$AT$55,COLUMN(P:P),FALSE)</f>
        <v>3.2075324816154827E-2</v>
      </c>
      <c r="S14" s="115"/>
      <c r="U14" s="113"/>
      <c r="V14" s="103" t="s">
        <v>112</v>
      </c>
      <c r="W14" s="112">
        <f>VLOOKUP($K14,[1]Inflation!$AE$10:$AZ$55,COLUMN(Q:Q),FALSE)</f>
        <v>0</v>
      </c>
      <c r="X14" s="110">
        <f>VLOOKUP($K14,[1]Inflation!$AE$10:$AZ$55,COLUMN(R:R),FALSE)</f>
        <v>0</v>
      </c>
      <c r="Y14" s="110">
        <f>VLOOKUP($K14,[1]Inflation!$AE$10:$AZ$55,COLUMN(S:S),FALSE)</f>
        <v>0</v>
      </c>
      <c r="Z14" s="110">
        <f>VLOOKUP($K14,[1]Inflation!$AE$10:$AZ$55,COLUMN(T:T),FALSE)</f>
        <v>0</v>
      </c>
      <c r="AA14" s="110">
        <f>VLOOKUP($K14,[1]Inflation!$AE$10:$AZ$55,COLUMN(U:U),FALSE)</f>
        <v>0</v>
      </c>
      <c r="AB14" s="111">
        <f>VLOOKUP($K14,[1]Inflation!$AE$10:$AZ$55,COLUMN(V:V),FALSE)</f>
        <v>0</v>
      </c>
      <c r="AC14" s="95"/>
      <c r="AD14" s="95"/>
      <c r="AE14" s="95"/>
      <c r="AF14" s="95"/>
      <c r="AG14" s="95"/>
      <c r="AH14" s="95"/>
      <c r="AI14" s="95"/>
    </row>
    <row r="15" spans="1:37" ht="14.25" x14ac:dyDescent="0.3">
      <c r="B15" s="107" t="s">
        <v>113</v>
      </c>
      <c r="C15" s="97">
        <f>IF($H$2=1,VLOOKUP($B15,'[38]Rebate Discount Rates'!$A$5:$I$50,COLUMN(D:D),FALSE),VLOOKUP($B15,'[39]Rebate Discount Rates'!$A$5:$I$50,COLUMN(D:D),FALSE))</f>
        <v>0.24649166492548125</v>
      </c>
      <c r="D15" s="97">
        <f>IF($H$2=1,VLOOKUP($B15,'[38]Rebate Discount Rates'!$A$5:$I$50,COLUMN(E:E),FALSE),VLOOKUP($B15,'[39]Rebate Discount Rates'!$A$5:$I$50,COLUMN(E:E),FALSE))</f>
        <v>0.31854910029843347</v>
      </c>
      <c r="E15" s="97">
        <f>IF($H$2=1,VLOOKUP($B15,'[38]Rebate Discount Rates'!$A$5:$I$50,COLUMN(F:F),FALSE),VLOOKUP($B15,'[39]Rebate Discount Rates'!$A$5:$I$50,COLUMN(F:F),FALSE))</f>
        <v>0.31854910029843347</v>
      </c>
      <c r="F15" s="97">
        <f>IF($H$2=1,VLOOKUP($B15,'[38]Rebate Discount Rates'!$A$5:$I$50,COLUMN(G:G),FALSE),VLOOKUP($B15,'[39]Rebate Discount Rates'!$A$5:$I$50,COLUMN(G:G),FALSE))</f>
        <v>0.31854910029843347</v>
      </c>
      <c r="G15" s="97">
        <f>IF($H$2=1,VLOOKUP($B15,'[38]Rebate Discount Rates'!$A$5:$I$50,COLUMN(H:H),FALSE),VLOOKUP($B15,'[39]Rebate Discount Rates'!$A$5:$I$50,COLUMN(H:H),FALSE))</f>
        <v>0.31854910029843347</v>
      </c>
      <c r="H15" s="98">
        <f>IF($H$2=1,VLOOKUP($B15,'[38]Rebate Discount Rates'!$A$5:$I$50,COLUMN(I:I),FALSE),VLOOKUP($B15,'[39]Rebate Discount Rates'!$A$5:$I$50,COLUMN(I:I),FALSE))</f>
        <v>0.31854910029843347</v>
      </c>
      <c r="I15" s="85"/>
      <c r="J15" s="86"/>
      <c r="K15" s="99" t="s">
        <v>113</v>
      </c>
      <c r="L15" s="109">
        <f>VLOOKUP($K15,[1]Inflation!$AE$10:$AT$55,COLUMN(K:K),FALSE)</f>
        <v>5.5343854728136105E-2</v>
      </c>
      <c r="M15" s="110">
        <f>VLOOKUP($K15,[1]Inflation!$AE$10:$AT$55,COLUMN(L:L),FALSE)</f>
        <v>5.4823657099960656E-2</v>
      </c>
      <c r="N15" s="110">
        <f>VLOOKUP($K15,[1]Inflation!$AE$10:$AT$55,COLUMN(M:M),FALSE)</f>
        <v>5.6317394280754281E-2</v>
      </c>
      <c r="O15" s="110">
        <f>VLOOKUP($K15,[1]Inflation!$AE$10:$AT$55,COLUMN(N:N),FALSE)</f>
        <v>5.7239999941357755E-2</v>
      </c>
      <c r="P15" s="110">
        <f>VLOOKUP($K15,[1]Inflation!$AE$10:$AT$55,COLUMN(O:O),FALSE)</f>
        <v>5.7644184089938259E-2</v>
      </c>
      <c r="Q15" s="111">
        <f>VLOOKUP($K15,[1]Inflation!$AE$10:$AT$55,COLUMN(P:P),FALSE)</f>
        <v>5.6015664535822879E-2</v>
      </c>
      <c r="U15" s="70"/>
      <c r="V15" s="103" t="s">
        <v>113</v>
      </c>
      <c r="W15" s="112">
        <f>VLOOKUP($K15,[1]Inflation!$AE$10:$AZ$55,COLUMN(Q:Q),FALSE)</f>
        <v>4.5279901213422513E-2</v>
      </c>
      <c r="X15" s="110">
        <f>VLOOKUP($K15,[1]Inflation!$AE$10:$AZ$55,COLUMN(R:R),FALSE)</f>
        <v>4.6594266794684806E-2</v>
      </c>
      <c r="Y15" s="110">
        <f>VLOOKUP($K15,[1]Inflation!$AE$10:$AZ$55,COLUMN(S:S),FALSE)</f>
        <v>4.6081946144423944E-2</v>
      </c>
      <c r="Z15" s="110">
        <f>VLOOKUP($K15,[1]Inflation!$AE$10:$AZ$55,COLUMN(T:T),FALSE)</f>
        <v>4.5517743075895976E-2</v>
      </c>
      <c r="AA15" s="110">
        <f>VLOOKUP($K15,[1]Inflation!$AE$10:$AZ$55,COLUMN(U:U),FALSE)</f>
        <v>4.504135290713774E-2</v>
      </c>
      <c r="AB15" s="111">
        <f>VLOOKUP($K15,[1]Inflation!$AE$10:$AZ$55,COLUMN(V:V),FALSE)</f>
        <v>4.591937603093918E-2</v>
      </c>
      <c r="AC15" s="95"/>
      <c r="AD15" s="95"/>
      <c r="AE15" s="95"/>
      <c r="AF15" s="95"/>
      <c r="AG15" s="95"/>
      <c r="AH15" s="95"/>
      <c r="AI15" s="95"/>
    </row>
    <row r="16" spans="1:37" ht="14.25" x14ac:dyDescent="0.3">
      <c r="B16" s="107" t="s">
        <v>114</v>
      </c>
      <c r="C16" s="97">
        <f>IF($H$2=1,VLOOKUP($B16,'[38]Rebate Discount Rates'!$A$5:$I$50,COLUMN(D:D),FALSE),VLOOKUP($B16,'[39]Rebate Discount Rates'!$A$5:$I$50,COLUMN(D:D),FALSE))</f>
        <v>0.25509362434682659</v>
      </c>
      <c r="D16" s="97">
        <f>IF($H$2=1,VLOOKUP($B16,'[38]Rebate Discount Rates'!$A$5:$I$50,COLUMN(E:E),FALSE),VLOOKUP($B16,'[39]Rebate Discount Rates'!$A$5:$I$50,COLUMN(E:E),FALSE))</f>
        <v>0.31760159179046071</v>
      </c>
      <c r="E16" s="97">
        <f>IF($H$2=1,VLOOKUP($B16,'[38]Rebate Discount Rates'!$A$5:$I$50,COLUMN(F:F),FALSE),VLOOKUP($B16,'[39]Rebate Discount Rates'!$A$5:$I$50,COLUMN(F:F),FALSE))</f>
        <v>0.31760159179046071</v>
      </c>
      <c r="F16" s="97">
        <f>IF($H$2=1,VLOOKUP($B16,'[38]Rebate Discount Rates'!$A$5:$I$50,COLUMN(G:G),FALSE),VLOOKUP($B16,'[39]Rebate Discount Rates'!$A$5:$I$50,COLUMN(G:G),FALSE))</f>
        <v>0.31760159179046071</v>
      </c>
      <c r="G16" s="97">
        <f>IF($H$2=1,VLOOKUP($B16,'[38]Rebate Discount Rates'!$A$5:$I$50,COLUMN(H:H),FALSE),VLOOKUP($B16,'[39]Rebate Discount Rates'!$A$5:$I$50,COLUMN(H:H),FALSE))</f>
        <v>0.31760159179046071</v>
      </c>
      <c r="H16" s="98">
        <f>IF($H$2=1,VLOOKUP($B16,'[38]Rebate Discount Rates'!$A$5:$I$50,COLUMN(I:I),FALSE),VLOOKUP($B16,'[39]Rebate Discount Rates'!$A$5:$I$50,COLUMN(I:I),FALSE))</f>
        <v>0.31760159179046071</v>
      </c>
      <c r="I16" s="85"/>
      <c r="J16" s="86"/>
      <c r="K16" s="99" t="s">
        <v>114</v>
      </c>
      <c r="L16" s="109">
        <f>VLOOKUP($K16,[1]Inflation!$AE$10:$AT$55,COLUMN(K:K),FALSE)</f>
        <v>1.3683246333539911E-2</v>
      </c>
      <c r="M16" s="110">
        <f>VLOOKUP($K16,[1]Inflation!$AE$10:$AT$55,COLUMN(L:L),FALSE)</f>
        <v>1.113666852322228E-2</v>
      </c>
      <c r="N16" s="110">
        <f>VLOOKUP($K16,[1]Inflation!$AE$10:$AT$55,COLUMN(M:M),FALSE)</f>
        <v>1.0378484602295786E-2</v>
      </c>
      <c r="O16" s="110">
        <f>VLOOKUP($K16,[1]Inflation!$AE$10:$AT$55,COLUMN(N:N),FALSE)</f>
        <v>9.6380660269882942E-3</v>
      </c>
      <c r="P16" s="110">
        <f>VLOOKUP($K16,[1]Inflation!$AE$10:$AT$55,COLUMN(O:O),FALSE)</f>
        <v>9.1474288529015766E-3</v>
      </c>
      <c r="Q16" s="111">
        <f>VLOOKUP($K16,[1]Inflation!$AE$10:$AT$55,COLUMN(P:P),FALSE)</f>
        <v>8.6602439261123532E-3</v>
      </c>
      <c r="U16" s="86"/>
      <c r="V16" s="103" t="s">
        <v>114</v>
      </c>
      <c r="W16" s="112">
        <f>VLOOKUP($K16,[1]Inflation!$AE$10:$AZ$55,COLUMN(Q:Q),FALSE)</f>
        <v>3.3891201408808622E-2</v>
      </c>
      <c r="X16" s="110">
        <f>VLOOKUP($K16,[1]Inflation!$AE$10:$AZ$55,COLUMN(R:R),FALSE)</f>
        <v>3.6677889242707519E-2</v>
      </c>
      <c r="Y16" s="110">
        <f>VLOOKUP($K16,[1]Inflation!$AE$10:$AZ$55,COLUMN(S:S),FALSE)</f>
        <v>3.5694421366515267E-2</v>
      </c>
      <c r="Z16" s="110">
        <f>VLOOKUP($K16,[1]Inflation!$AE$10:$AZ$55,COLUMN(T:T),FALSE)</f>
        <v>3.5214240056626885E-2</v>
      </c>
      <c r="AA16" s="110">
        <f>VLOOKUP($K16,[1]Inflation!$AE$10:$AZ$55,COLUMN(U:U),FALSE)</f>
        <v>3.482789195133823E-2</v>
      </c>
      <c r="AB16" s="111">
        <f>VLOOKUP($K16,[1]Inflation!$AE$10:$AZ$55,COLUMN(V:V),FALSE)</f>
        <v>3.579139063823214E-2</v>
      </c>
      <c r="AC16" s="95"/>
      <c r="AD16" s="95"/>
      <c r="AE16" s="95"/>
      <c r="AF16" s="95"/>
      <c r="AG16" s="95"/>
      <c r="AH16" s="95"/>
      <c r="AI16" s="95"/>
    </row>
    <row r="17" spans="1:35" ht="14.25" x14ac:dyDescent="0.3">
      <c r="B17" s="107" t="s">
        <v>115</v>
      </c>
      <c r="C17" s="97">
        <f>IF($H$2=1,VLOOKUP($B17,'[38]Rebate Discount Rates'!$A$5:$I$50,COLUMN(D:D),FALSE),VLOOKUP($B17,'[39]Rebate Discount Rates'!$A$5:$I$50,COLUMN(D:D),FALSE))</f>
        <v>0.2545365898499366</v>
      </c>
      <c r="D17" s="97">
        <f>IF($H$2=1,VLOOKUP($B17,'[38]Rebate Discount Rates'!$A$5:$I$50,COLUMN(E:E),FALSE),VLOOKUP($B17,'[39]Rebate Discount Rates'!$A$5:$I$50,COLUMN(E:E),FALSE))</f>
        <v>0.3159710456200317</v>
      </c>
      <c r="E17" s="97">
        <f>IF($H$2=1,VLOOKUP($B17,'[38]Rebate Discount Rates'!$A$5:$I$50,COLUMN(F:F),FALSE),VLOOKUP($B17,'[39]Rebate Discount Rates'!$A$5:$I$50,COLUMN(F:F),FALSE))</f>
        <v>0.3159710456200317</v>
      </c>
      <c r="F17" s="97">
        <f>IF($H$2=1,VLOOKUP($B17,'[38]Rebate Discount Rates'!$A$5:$I$50,COLUMN(G:G),FALSE),VLOOKUP($B17,'[39]Rebate Discount Rates'!$A$5:$I$50,COLUMN(G:G),FALSE))</f>
        <v>0.3159710456200317</v>
      </c>
      <c r="G17" s="97">
        <f>IF($H$2=1,VLOOKUP($B17,'[38]Rebate Discount Rates'!$A$5:$I$50,COLUMN(H:H),FALSE),VLOOKUP($B17,'[39]Rebate Discount Rates'!$A$5:$I$50,COLUMN(H:H),FALSE))</f>
        <v>0.3159710456200317</v>
      </c>
      <c r="H17" s="98">
        <f>IF($H$2=1,VLOOKUP($B17,'[38]Rebate Discount Rates'!$A$5:$I$50,COLUMN(I:I),FALSE),VLOOKUP($B17,'[39]Rebate Discount Rates'!$A$5:$I$50,COLUMN(I:I),FALSE))</f>
        <v>0.3159710456200317</v>
      </c>
      <c r="I17" s="85"/>
      <c r="J17" s="86"/>
      <c r="K17" s="99" t="s">
        <v>115</v>
      </c>
      <c r="L17" s="109">
        <f>VLOOKUP($K17,[1]Inflation!$AE$10:$AT$55,COLUMN(K:K),FALSE)</f>
        <v>2.557329445582163E-2</v>
      </c>
      <c r="M17" s="110">
        <f>VLOOKUP($K17,[1]Inflation!$AE$10:$AT$55,COLUMN(L:L),FALSE)</f>
        <v>2.3966261816663302E-2</v>
      </c>
      <c r="N17" s="110">
        <f>VLOOKUP($K17,[1]Inflation!$AE$10:$AT$55,COLUMN(M:M),FALSE)</f>
        <v>2.4028382047685877E-2</v>
      </c>
      <c r="O17" s="110">
        <f>VLOOKUP($K17,[1]Inflation!$AE$10:$AT$55,COLUMN(N:N),FALSE)</f>
        <v>2.3840119316865593E-2</v>
      </c>
      <c r="P17" s="110">
        <f>VLOOKUP($K17,[1]Inflation!$AE$10:$AT$55,COLUMN(O:O),FALSE)</f>
        <v>2.3600794961645768E-2</v>
      </c>
      <c r="Q17" s="111">
        <f>VLOOKUP($K17,[1]Inflation!$AE$10:$AT$55,COLUMN(P:P),FALSE)</f>
        <v>2.2420769124692822E-2</v>
      </c>
      <c r="U17" s="86"/>
      <c r="V17" s="103" t="s">
        <v>115</v>
      </c>
      <c r="W17" s="112">
        <f>VLOOKUP($K17,[1]Inflation!$AE$10:$AZ$55,COLUMN(Q:Q),FALSE)</f>
        <v>3.7228533995061174E-2</v>
      </c>
      <c r="X17" s="110">
        <f>VLOOKUP($K17,[1]Inflation!$AE$10:$AZ$55,COLUMN(R:R),FALSE)</f>
        <v>3.9466248774966406E-2</v>
      </c>
      <c r="Y17" s="110">
        <f>VLOOKUP($K17,[1]Inflation!$AE$10:$AZ$55,COLUMN(S:S),FALSE)</f>
        <v>3.865610290333938E-2</v>
      </c>
      <c r="Z17" s="110">
        <f>VLOOKUP($K17,[1]Inflation!$AE$10:$AZ$55,COLUMN(T:T),FALSE)</f>
        <v>3.8165570392224415E-2</v>
      </c>
      <c r="AA17" s="110">
        <f>VLOOKUP($K17,[1]Inflation!$AE$10:$AZ$55,COLUMN(U:U),FALSE)</f>
        <v>3.7750762636840185E-2</v>
      </c>
      <c r="AB17" s="111">
        <f>VLOOKUP($K17,[1]Inflation!$AE$10:$AZ$55,COLUMN(V:V),FALSE)</f>
        <v>3.8598086212723003E-2</v>
      </c>
      <c r="AC17" s="95"/>
      <c r="AD17" s="95"/>
      <c r="AE17" s="95"/>
      <c r="AF17" s="95"/>
      <c r="AG17" s="95"/>
      <c r="AH17" s="95"/>
      <c r="AI17" s="95"/>
    </row>
    <row r="18" spans="1:35" ht="14.25" x14ac:dyDescent="0.3">
      <c r="B18" s="107" t="s">
        <v>116</v>
      </c>
      <c r="C18" s="97">
        <f>IF($H$2=1,VLOOKUP($B18,'[38]Rebate Discount Rates'!$A$5:$I$50,COLUMN(D:D),FALSE),VLOOKUP($B18,'[39]Rebate Discount Rates'!$A$5:$I$50,COLUMN(D:D),FALSE))</f>
        <v>0.15755106425896767</v>
      </c>
      <c r="D18" s="97">
        <f>IF($H$2=1,VLOOKUP($B18,'[38]Rebate Discount Rates'!$A$5:$I$50,COLUMN(E:E),FALSE),VLOOKUP($B18,'[39]Rebate Discount Rates'!$A$5:$I$50,COLUMN(E:E),FALSE))</f>
        <v>0.20355206896991743</v>
      </c>
      <c r="E18" s="97">
        <f>IF($H$2=1,VLOOKUP($B18,'[38]Rebate Discount Rates'!$A$5:$I$50,COLUMN(F:F),FALSE),VLOOKUP($B18,'[39]Rebate Discount Rates'!$A$5:$I$50,COLUMN(F:F),FALSE))</f>
        <v>0.20355206896991743</v>
      </c>
      <c r="F18" s="97">
        <f>IF($H$2=1,VLOOKUP($B18,'[38]Rebate Discount Rates'!$A$5:$I$50,COLUMN(G:G),FALSE),VLOOKUP($B18,'[39]Rebate Discount Rates'!$A$5:$I$50,COLUMN(G:G),FALSE))</f>
        <v>0.20355206896991743</v>
      </c>
      <c r="G18" s="97">
        <f>IF($H$2=1,VLOOKUP($B18,'[38]Rebate Discount Rates'!$A$5:$I$50,COLUMN(H:H),FALSE),VLOOKUP($B18,'[39]Rebate Discount Rates'!$A$5:$I$50,COLUMN(H:H),FALSE))</f>
        <v>0.20355206896991743</v>
      </c>
      <c r="H18" s="98">
        <f>IF($H$2=1,VLOOKUP($B18,'[38]Rebate Discount Rates'!$A$5:$I$50,COLUMN(I:I),FALSE),VLOOKUP($B18,'[39]Rebate Discount Rates'!$A$5:$I$50,COLUMN(I:I),FALSE))</f>
        <v>0.20355206896991743</v>
      </c>
      <c r="I18" s="85"/>
      <c r="J18" s="86"/>
      <c r="K18" s="99" t="s">
        <v>116</v>
      </c>
      <c r="L18" s="109">
        <f>VLOOKUP($K18,[1]Inflation!$AE$10:$AT$55,COLUMN(K:K),FALSE)</f>
        <v>-7.890649163336462E-2</v>
      </c>
      <c r="M18" s="110">
        <f>VLOOKUP($K18,[1]Inflation!$AE$10:$AT$55,COLUMN(L:L),FALSE)</f>
        <v>3.6396724063789437E-2</v>
      </c>
      <c r="N18" s="110">
        <f>VLOOKUP($K18,[1]Inflation!$AE$10:$AT$55,COLUMN(M:M),FALSE)</f>
        <v>3.3700670643345809E-2</v>
      </c>
      <c r="O18" s="110">
        <f>VLOOKUP($K18,[1]Inflation!$AE$10:$AT$55,COLUMN(N:N),FALSE)</f>
        <v>3.1204324669764628E-2</v>
      </c>
      <c r="P18" s="110">
        <f>VLOOKUP($K18,[1]Inflation!$AE$10:$AT$55,COLUMN(O:O),FALSE)</f>
        <v>2.9438042141287389E-2</v>
      </c>
      <c r="Q18" s="111">
        <f>VLOOKUP($K18,[1]Inflation!$AE$10:$AT$55,COLUMN(P:P),FALSE)</f>
        <v>2.777173786913905E-2</v>
      </c>
      <c r="U18" s="86"/>
      <c r="V18" s="103" t="s">
        <v>116</v>
      </c>
      <c r="W18" s="112">
        <f>VLOOKUP($K18,[1]Inflation!$AE$10:$AZ$55,COLUMN(Q:Q),FALSE)</f>
        <v>-6.1892234794580871E-2</v>
      </c>
      <c r="X18" s="110">
        <f>VLOOKUP($K18,[1]Inflation!$AE$10:$AZ$55,COLUMN(R:R),FALSE)</f>
        <v>2.4920628040320029E-2</v>
      </c>
      <c r="Y18" s="110">
        <f>VLOOKUP($K18,[1]Inflation!$AE$10:$AZ$55,COLUMN(S:S),FALSE)</f>
        <v>2.4917470182301941E-2</v>
      </c>
      <c r="Z18" s="110">
        <f>VLOOKUP($K18,[1]Inflation!$AE$10:$AZ$55,COLUMN(T:T),FALSE)</f>
        <v>2.4298690153291627E-2</v>
      </c>
      <c r="AA18" s="110">
        <f>VLOOKUP($K18,[1]Inflation!$AE$10:$AZ$55,COLUMN(U:U),FALSE)</f>
        <v>2.3587833747375535E-2</v>
      </c>
      <c r="AB18" s="111">
        <f>VLOOKUP($K18,[1]Inflation!$AE$10:$AZ$55,COLUMN(V:V),FALSE)</f>
        <v>1.2937080994465623E-2</v>
      </c>
      <c r="AC18" s="95"/>
      <c r="AD18" s="95"/>
      <c r="AE18" s="95"/>
      <c r="AF18" s="95"/>
      <c r="AG18" s="95"/>
      <c r="AH18" s="95"/>
      <c r="AI18" s="95"/>
    </row>
    <row r="19" spans="1:35" ht="14.25" x14ac:dyDescent="0.3">
      <c r="B19" s="107" t="s">
        <v>117</v>
      </c>
      <c r="C19" s="97">
        <f>IF($H$2=1,VLOOKUP($B19,'[38]Rebate Discount Rates'!$A$5:$I$50,COLUMN(D:D),FALSE),VLOOKUP($B19,'[39]Rebate Discount Rates'!$A$5:$I$50,COLUMN(D:D),FALSE))</f>
        <v>0</v>
      </c>
      <c r="D19" s="97">
        <f>IF($H$2=1,VLOOKUP($B19,'[38]Rebate Discount Rates'!$A$5:$I$50,COLUMN(E:E),FALSE),VLOOKUP($B19,'[39]Rebate Discount Rates'!$A$5:$I$50,COLUMN(E:E),FALSE))</f>
        <v>0</v>
      </c>
      <c r="E19" s="97">
        <f>IF($H$2=1,VLOOKUP($B19,'[38]Rebate Discount Rates'!$A$5:$I$50,COLUMN(F:F),FALSE),VLOOKUP($B19,'[39]Rebate Discount Rates'!$A$5:$I$50,COLUMN(F:F),FALSE))</f>
        <v>0</v>
      </c>
      <c r="F19" s="97">
        <f>IF($H$2=1,VLOOKUP($B19,'[38]Rebate Discount Rates'!$A$5:$I$50,COLUMN(G:G),FALSE),VLOOKUP($B19,'[39]Rebate Discount Rates'!$A$5:$I$50,COLUMN(G:G),FALSE))</f>
        <v>0</v>
      </c>
      <c r="G19" s="97">
        <f>IF($H$2=1,VLOOKUP($B19,'[38]Rebate Discount Rates'!$A$5:$I$50,COLUMN(H:H),FALSE),VLOOKUP($B19,'[39]Rebate Discount Rates'!$A$5:$I$50,COLUMN(H:H),FALSE))</f>
        <v>0</v>
      </c>
      <c r="H19" s="98">
        <f>IF($H$2=1,VLOOKUP($B19,'[38]Rebate Discount Rates'!$A$5:$I$50,COLUMN(I:I),FALSE),VLOOKUP($B19,'[39]Rebate Discount Rates'!$A$5:$I$50,COLUMN(I:I),FALSE))</f>
        <v>0</v>
      </c>
      <c r="I19" s="118"/>
      <c r="J19" s="86"/>
      <c r="K19" s="99" t="s">
        <v>117</v>
      </c>
      <c r="L19" s="109">
        <f>VLOOKUP($K19,[1]Inflation!$AE$10:$AT$55,COLUMN(K:K),FALSE)</f>
        <v>1.4836217181921291E-2</v>
      </c>
      <c r="M19" s="110">
        <f>VLOOKUP($K19,[1]Inflation!$AE$10:$AT$55,COLUMN(L:L),FALSE)</f>
        <v>1.4667460045429497E-2</v>
      </c>
      <c r="N19" s="110">
        <f>VLOOKUP($K19,[1]Inflation!$AE$10:$AT$55,COLUMN(M:M),FALSE)</f>
        <v>1.3750783644222352E-2</v>
      </c>
      <c r="O19" s="110">
        <f>VLOOKUP($K19,[1]Inflation!$AE$10:$AT$55,COLUMN(N:N),FALSE)</f>
        <v>1.3095747235766784E-2</v>
      </c>
      <c r="P19" s="110">
        <f>VLOOKUP($K19,[1]Inflation!$AE$10:$AT$55,COLUMN(O:O),FALSE)</f>
        <v>1.2470747392172634E-2</v>
      </c>
      <c r="Q19" s="111">
        <f>VLOOKUP($K19,[1]Inflation!$AE$10:$AT$55,COLUMN(P:P),FALSE)</f>
        <v>1.2422807369357421E-2</v>
      </c>
      <c r="U19" s="86"/>
      <c r="V19" s="103" t="s">
        <v>117</v>
      </c>
      <c r="W19" s="112">
        <f>VLOOKUP($K19,[1]Inflation!$AE$10:$AZ$55,COLUMN(Q:Q),FALSE)</f>
        <v>7.1330113113255104E-3</v>
      </c>
      <c r="X19" s="110">
        <f>VLOOKUP($K19,[1]Inflation!$AE$10:$AZ$55,COLUMN(R:R),FALSE)</f>
        <v>9.7279998589358124E-3</v>
      </c>
      <c r="Y19" s="110">
        <f>VLOOKUP($K19,[1]Inflation!$AE$10:$AZ$55,COLUMN(S:S),FALSE)</f>
        <v>8.679527846948561E-3</v>
      </c>
      <c r="Z19" s="110">
        <f>VLOOKUP($K19,[1]Inflation!$AE$10:$AZ$55,COLUMN(T:T),FALSE)</f>
        <v>8.6795278469485627E-3</v>
      </c>
      <c r="AA19" s="110">
        <f>VLOOKUP($K19,[1]Inflation!$AE$10:$AZ$55,COLUMN(U:U),FALSE)</f>
        <v>8.6795278469485645E-3</v>
      </c>
      <c r="AB19" s="111">
        <f>VLOOKUP($K19,[1]Inflation!$AE$10:$AZ$55,COLUMN(V:V),FALSE)</f>
        <v>8.7170836327552619E-3</v>
      </c>
      <c r="AC19" s="95"/>
      <c r="AD19" s="95"/>
      <c r="AE19" s="95"/>
      <c r="AF19" s="95"/>
      <c r="AG19" s="95"/>
      <c r="AH19" s="95"/>
      <c r="AI19" s="95"/>
    </row>
    <row r="20" spans="1:35" ht="14.25" x14ac:dyDescent="0.3">
      <c r="B20" s="107" t="s">
        <v>118</v>
      </c>
      <c r="C20" s="97">
        <f>IF($H$2=1,VLOOKUP($B20,'[38]Rebate Discount Rates'!$A$5:$I$50,COLUMN(D:D),FALSE),VLOOKUP($B20,'[39]Rebate Discount Rates'!$A$5:$I$50,COLUMN(D:D),FALSE))</f>
        <v>0.46465974230105372</v>
      </c>
      <c r="D20" s="97">
        <f>IF($H$2=1,VLOOKUP($B20,'[38]Rebate Discount Rates'!$A$5:$I$50,COLUMN(E:E),FALSE),VLOOKUP($B20,'[39]Rebate Discount Rates'!$A$5:$I$50,COLUMN(E:E),FALSE))</f>
        <v>0.47670513795055014</v>
      </c>
      <c r="E20" s="97">
        <f>IF($H$2=1,VLOOKUP($B20,'[38]Rebate Discount Rates'!$A$5:$I$50,COLUMN(F:F),FALSE),VLOOKUP($B20,'[39]Rebate Discount Rates'!$A$5:$I$50,COLUMN(F:F),FALSE))</f>
        <v>0.47670513795055014</v>
      </c>
      <c r="F20" s="97">
        <f>IF($H$2=1,VLOOKUP($B20,'[38]Rebate Discount Rates'!$A$5:$I$50,COLUMN(G:G),FALSE),VLOOKUP($B20,'[39]Rebate Discount Rates'!$A$5:$I$50,COLUMN(G:G),FALSE))</f>
        <v>0.47670513795055014</v>
      </c>
      <c r="G20" s="97">
        <f>IF($H$2=1,VLOOKUP($B20,'[38]Rebate Discount Rates'!$A$5:$I$50,COLUMN(H:H),FALSE),VLOOKUP($B20,'[39]Rebate Discount Rates'!$A$5:$I$50,COLUMN(H:H),FALSE))</f>
        <v>0.47670513795055014</v>
      </c>
      <c r="H20" s="98">
        <f>IF($H$2=1,VLOOKUP($B20,'[38]Rebate Discount Rates'!$A$5:$I$50,COLUMN(I:I),FALSE),VLOOKUP($B20,'[39]Rebate Discount Rates'!$A$5:$I$50,COLUMN(I:I),FALSE))</f>
        <v>0.47670513795055014</v>
      </c>
      <c r="I20" s="85"/>
      <c r="J20" s="86"/>
      <c r="K20" s="99" t="s">
        <v>118</v>
      </c>
      <c r="L20" s="109">
        <f>VLOOKUP($K20,[1]Inflation!$AE$10:$AT$55,COLUMN(K:K),FALSE)</f>
        <v>1.239372200961363E-2</v>
      </c>
      <c r="M20" s="110">
        <f>VLOOKUP($K20,[1]Inflation!$AE$10:$AT$55,COLUMN(L:L),FALSE)</f>
        <v>1.2191601619428822E-2</v>
      </c>
      <c r="N20" s="110">
        <f>VLOOKUP($K20,[1]Inflation!$AE$10:$AT$55,COLUMN(M:M),FALSE)</f>
        <v>1.1393041390927668E-2</v>
      </c>
      <c r="O20" s="110">
        <f>VLOOKUP($K20,[1]Inflation!$AE$10:$AT$55,COLUMN(N:N),FALSE)</f>
        <v>1.0550223667645431E-2</v>
      </c>
      <c r="P20" s="110">
        <f>VLOOKUP($K20,[1]Inflation!$AE$10:$AT$55,COLUMN(O:O),FALSE)</f>
        <v>9.9228805762862395E-3</v>
      </c>
      <c r="Q20" s="111">
        <f>VLOOKUP($K20,[1]Inflation!$AE$10:$AT$55,COLUMN(P:P),FALSE)</f>
        <v>9.3600446165862852E-3</v>
      </c>
      <c r="U20" s="86"/>
      <c r="V20" s="103" t="s">
        <v>118</v>
      </c>
      <c r="W20" s="112">
        <f>VLOOKUP($K20,[1]Inflation!$AE$10:$AZ$55,COLUMN(Q:Q),FALSE)</f>
        <v>0</v>
      </c>
      <c r="X20" s="110">
        <f>VLOOKUP($K20,[1]Inflation!$AE$10:$AZ$55,COLUMN(R:R),FALSE)</f>
        <v>0</v>
      </c>
      <c r="Y20" s="110">
        <f>VLOOKUP($K20,[1]Inflation!$AE$10:$AZ$55,COLUMN(S:S),FALSE)</f>
        <v>0</v>
      </c>
      <c r="Z20" s="110">
        <f>VLOOKUP($K20,[1]Inflation!$AE$10:$AZ$55,COLUMN(T:T),FALSE)</f>
        <v>0</v>
      </c>
      <c r="AA20" s="110">
        <f>VLOOKUP($K20,[1]Inflation!$AE$10:$AZ$55,COLUMN(U:U),FALSE)</f>
        <v>0</v>
      </c>
      <c r="AB20" s="111">
        <f>VLOOKUP($K20,[1]Inflation!$AE$10:$AZ$55,COLUMN(V:V),FALSE)</f>
        <v>0</v>
      </c>
      <c r="AC20" s="95"/>
      <c r="AD20" s="95"/>
      <c r="AE20" s="95"/>
      <c r="AF20" s="95"/>
      <c r="AG20" s="95"/>
      <c r="AH20" s="95"/>
      <c r="AI20" s="95"/>
    </row>
    <row r="21" spans="1:35" ht="14.25" x14ac:dyDescent="0.3">
      <c r="B21" s="107" t="s">
        <v>119</v>
      </c>
      <c r="C21" s="97">
        <f>IF($H$2=1,VLOOKUP($B21,'[38]Rebate Discount Rates'!$A$5:$I$50,COLUMN(D:D),FALSE),VLOOKUP($B21,'[39]Rebate Discount Rates'!$A$5:$I$50,COLUMN(D:D),FALSE))</f>
        <v>0.27579561930917168</v>
      </c>
      <c r="D21" s="97">
        <f>IF($H$2=1,VLOOKUP($B21,'[38]Rebate Discount Rates'!$A$5:$I$50,COLUMN(E:E),FALSE),VLOOKUP($B21,'[39]Rebate Discount Rates'!$A$5:$I$50,COLUMN(E:E),FALSE))</f>
        <v>0.28122593892723452</v>
      </c>
      <c r="E21" s="97">
        <f>IF($H$2=1,VLOOKUP($B21,'[38]Rebate Discount Rates'!$A$5:$I$50,COLUMN(F:F),FALSE),VLOOKUP($B21,'[39]Rebate Discount Rates'!$A$5:$I$50,COLUMN(F:F),FALSE))</f>
        <v>0.28122593892723452</v>
      </c>
      <c r="F21" s="97">
        <f>IF($H$2=1,VLOOKUP($B21,'[38]Rebate Discount Rates'!$A$5:$I$50,COLUMN(G:G),FALSE),VLOOKUP($B21,'[39]Rebate Discount Rates'!$A$5:$I$50,COLUMN(G:G),FALSE))</f>
        <v>0.28122593892723452</v>
      </c>
      <c r="G21" s="97">
        <f>IF($H$2=1,VLOOKUP($B21,'[38]Rebate Discount Rates'!$A$5:$I$50,COLUMN(H:H),FALSE),VLOOKUP($B21,'[39]Rebate Discount Rates'!$A$5:$I$50,COLUMN(H:H),FALSE))</f>
        <v>0.28122593892723452</v>
      </c>
      <c r="H21" s="98">
        <f>IF($H$2=1,VLOOKUP($B21,'[38]Rebate Discount Rates'!$A$5:$I$50,COLUMN(I:I),FALSE),VLOOKUP($B21,'[39]Rebate Discount Rates'!$A$5:$I$50,COLUMN(I:I),FALSE))</f>
        <v>0.28122593892723452</v>
      </c>
      <c r="I21" s="85"/>
      <c r="J21" s="86"/>
      <c r="K21" s="99" t="s">
        <v>119</v>
      </c>
      <c r="L21" s="109">
        <f>VLOOKUP($K21,[1]Inflation!$AE$10:$AT$55,COLUMN(K:K),FALSE)</f>
        <v>2.6842414019289083E-2</v>
      </c>
      <c r="M21" s="110">
        <f>VLOOKUP($K21,[1]Inflation!$AE$10:$AT$55,COLUMN(L:L),FALSE)</f>
        <v>2.6857143136279994E-2</v>
      </c>
      <c r="N21" s="110">
        <f>VLOOKUP($K21,[1]Inflation!$AE$10:$AT$55,COLUMN(M:M),FALSE)</f>
        <v>2.4867724867724875E-2</v>
      </c>
      <c r="O21" s="110">
        <f>VLOOKUP($K21,[1]Inflation!$AE$10:$AT$55,COLUMN(N:N),FALSE)</f>
        <v>2.3025671173819318E-2</v>
      </c>
      <c r="P21" s="110">
        <f>VLOOKUP($K21,[1]Inflation!$AE$10:$AT$55,COLUMN(O:O),FALSE)</f>
        <v>2.1722331296055955E-2</v>
      </c>
      <c r="Q21" s="111">
        <f>VLOOKUP($K21,[1]Inflation!$AE$10:$AT$55,COLUMN(P:P),FALSE)</f>
        <v>2.0492765373637683E-2</v>
      </c>
      <c r="U21" s="86"/>
      <c r="V21" s="103" t="s">
        <v>119</v>
      </c>
      <c r="W21" s="112">
        <f>VLOOKUP($K21,[1]Inflation!$AE$10:$AZ$55,COLUMN(Q:Q),FALSE)</f>
        <v>0</v>
      </c>
      <c r="X21" s="110">
        <f>VLOOKUP($K21,[1]Inflation!$AE$10:$AZ$55,COLUMN(R:R),FALSE)</f>
        <v>0</v>
      </c>
      <c r="Y21" s="110">
        <f>VLOOKUP($K21,[1]Inflation!$AE$10:$AZ$55,COLUMN(S:S),FALSE)</f>
        <v>0</v>
      </c>
      <c r="Z21" s="110">
        <f>VLOOKUP($K21,[1]Inflation!$AE$10:$AZ$55,COLUMN(T:T),FALSE)</f>
        <v>0</v>
      </c>
      <c r="AA21" s="110">
        <f>VLOOKUP($K21,[1]Inflation!$AE$10:$AZ$55,COLUMN(U:U),FALSE)</f>
        <v>0</v>
      </c>
      <c r="AB21" s="111">
        <f>VLOOKUP($K21,[1]Inflation!$AE$10:$AZ$55,COLUMN(V:V),FALSE)</f>
        <v>0</v>
      </c>
      <c r="AC21" s="95"/>
      <c r="AD21" s="95"/>
      <c r="AE21" s="95"/>
      <c r="AF21" s="95"/>
      <c r="AG21" s="95"/>
      <c r="AH21" s="95"/>
      <c r="AI21" s="95"/>
    </row>
    <row r="22" spans="1:35" ht="14.25" x14ac:dyDescent="0.3">
      <c r="B22" s="107" t="s">
        <v>120</v>
      </c>
      <c r="C22" s="97">
        <f>IF($H$2=1,VLOOKUP($B22,'[38]Rebate Discount Rates'!$A$5:$I$50,COLUMN(D:D),FALSE),VLOOKUP($B22,'[39]Rebate Discount Rates'!$A$5:$I$50,COLUMN(D:D),FALSE))</f>
        <v>0.47842123913205598</v>
      </c>
      <c r="D22" s="97">
        <f>IF($H$2=1,VLOOKUP($B22,'[38]Rebate Discount Rates'!$A$5:$I$50,COLUMN(E:E),FALSE),VLOOKUP($B22,'[39]Rebate Discount Rates'!$A$5:$I$50,COLUMN(E:E),FALSE))</f>
        <v>0.52352169235061907</v>
      </c>
      <c r="E22" s="97">
        <f>IF($H$2=1,VLOOKUP($B22,'[38]Rebate Discount Rates'!$A$5:$I$50,COLUMN(F:F),FALSE),VLOOKUP($B22,'[39]Rebate Discount Rates'!$A$5:$I$50,COLUMN(F:F),FALSE))</f>
        <v>0.52352169235061907</v>
      </c>
      <c r="F22" s="97">
        <f>IF($H$2=1,VLOOKUP($B22,'[38]Rebate Discount Rates'!$A$5:$I$50,COLUMN(G:G),FALSE),VLOOKUP($B22,'[39]Rebate Discount Rates'!$A$5:$I$50,COLUMN(G:G),FALSE))</f>
        <v>0.52352169235061907</v>
      </c>
      <c r="G22" s="97">
        <f>IF($H$2=1,VLOOKUP($B22,'[38]Rebate Discount Rates'!$A$5:$I$50,COLUMN(H:H),FALSE),VLOOKUP($B22,'[39]Rebate Discount Rates'!$A$5:$I$50,COLUMN(H:H),FALSE))</f>
        <v>0.52352169235061907</v>
      </c>
      <c r="H22" s="98">
        <f>IF($H$2=1,VLOOKUP($B22,'[38]Rebate Discount Rates'!$A$5:$I$50,COLUMN(I:I),FALSE),VLOOKUP($B22,'[39]Rebate Discount Rates'!$A$5:$I$50,COLUMN(I:I),FALSE))</f>
        <v>0.52352169235061907</v>
      </c>
      <c r="I22" s="85"/>
      <c r="J22" s="86"/>
      <c r="K22" s="99" t="s">
        <v>120</v>
      </c>
      <c r="L22" s="109">
        <f>VLOOKUP($K22,[1]Inflation!$AE$10:$AT$55,COLUMN(K:K),FALSE)</f>
        <v>8.5559629893565664E-2</v>
      </c>
      <c r="M22" s="110">
        <f>VLOOKUP($K22,[1]Inflation!$AE$10:$AT$55,COLUMN(L:L),FALSE)</f>
        <v>7.8070973061636934E-2</v>
      </c>
      <c r="N22" s="110">
        <f>VLOOKUP($K22,[1]Inflation!$AE$10:$AT$55,COLUMN(M:M),FALSE)</f>
        <v>7.2287938529976767E-2</v>
      </c>
      <c r="O22" s="110">
        <f>VLOOKUP($K22,[1]Inflation!$AE$10:$AT$55,COLUMN(N:N),FALSE)</f>
        <v>6.6933276416645163E-2</v>
      </c>
      <c r="P22" s="110">
        <f>VLOOKUP($K22,[1]Inflation!$AE$10:$AT$55,COLUMN(O:O),FALSE)</f>
        <v>6.3144600393061454E-2</v>
      </c>
      <c r="Q22" s="111">
        <f>VLOOKUP($K22,[1]Inflation!$AE$10:$AT$55,COLUMN(P:P),FALSE)</f>
        <v>5.9570377729303264E-2</v>
      </c>
      <c r="U22" s="86"/>
      <c r="V22" s="103" t="s">
        <v>120</v>
      </c>
      <c r="W22" s="112">
        <f>VLOOKUP($K22,[1]Inflation!$AE$10:$AZ$55,COLUMN(Q:Q),FALSE)</f>
        <v>6.3979908305628677E-2</v>
      </c>
      <c r="X22" s="110">
        <f>VLOOKUP($K22,[1]Inflation!$AE$10:$AZ$55,COLUMN(R:R),FALSE)</f>
        <v>7.662816644401349E-2</v>
      </c>
      <c r="Y22" s="110">
        <f>VLOOKUP($K22,[1]Inflation!$AE$10:$AZ$55,COLUMN(S:S),FALSE)</f>
        <v>7.5697442555980085E-2</v>
      </c>
      <c r="Z22" s="110">
        <f>VLOOKUP($K22,[1]Inflation!$AE$10:$AZ$55,COLUMN(T:T),FALSE)</f>
        <v>7.5270931265828053E-2</v>
      </c>
      <c r="AA22" s="110">
        <f>VLOOKUP($K22,[1]Inflation!$AE$10:$AZ$55,COLUMN(U:U),FALSE)</f>
        <v>7.4764615063110246E-2</v>
      </c>
      <c r="AB22" s="111">
        <f>VLOOKUP($K22,[1]Inflation!$AE$10:$AZ$55,COLUMN(V:V),FALSE)</f>
        <v>7.4172285802371243E-2</v>
      </c>
      <c r="AC22" s="95"/>
      <c r="AD22" s="95"/>
      <c r="AE22" s="95"/>
      <c r="AF22" s="95"/>
      <c r="AG22" s="95"/>
      <c r="AH22" s="95"/>
      <c r="AI22" s="95"/>
    </row>
    <row r="23" spans="1:35" ht="14.25" x14ac:dyDescent="0.3">
      <c r="B23" s="107" t="s">
        <v>121</v>
      </c>
      <c r="C23" s="97">
        <f>IF($H$2=1,VLOOKUP($B23,'[38]Rebate Discount Rates'!$A$5:$I$50,COLUMN(D:D),FALSE),VLOOKUP($B23,'[39]Rebate Discount Rates'!$A$5:$I$50,COLUMN(D:D),FALSE))</f>
        <v>0.30949583930232777</v>
      </c>
      <c r="D23" s="97">
        <f>IF($H$2=1,VLOOKUP($B23,'[38]Rebate Discount Rates'!$A$5:$I$50,COLUMN(E:E),FALSE),VLOOKUP($B23,'[39]Rebate Discount Rates'!$A$5:$I$50,COLUMN(E:E),FALSE))</f>
        <v>0.34960028010183586</v>
      </c>
      <c r="E23" s="97">
        <f>IF($H$2=1,VLOOKUP($B23,'[38]Rebate Discount Rates'!$A$5:$I$50,COLUMN(F:F),FALSE),VLOOKUP($B23,'[39]Rebate Discount Rates'!$A$5:$I$50,COLUMN(F:F),FALSE))</f>
        <v>0.34960028010183586</v>
      </c>
      <c r="F23" s="97">
        <f>IF($H$2=1,VLOOKUP($B23,'[38]Rebate Discount Rates'!$A$5:$I$50,COLUMN(G:G),FALSE),VLOOKUP($B23,'[39]Rebate Discount Rates'!$A$5:$I$50,COLUMN(G:G),FALSE))</f>
        <v>0.34960028010183586</v>
      </c>
      <c r="G23" s="97">
        <f>IF($H$2=1,VLOOKUP($B23,'[38]Rebate Discount Rates'!$A$5:$I$50,COLUMN(H:H),FALSE),VLOOKUP($B23,'[39]Rebate Discount Rates'!$A$5:$I$50,COLUMN(H:H),FALSE))</f>
        <v>0.34960028010183586</v>
      </c>
      <c r="H23" s="98">
        <f>IF($H$2=1,VLOOKUP($B23,'[38]Rebate Discount Rates'!$A$5:$I$50,COLUMN(I:I),FALSE),VLOOKUP($B23,'[39]Rebate Discount Rates'!$A$5:$I$50,COLUMN(I:I),FALSE))</f>
        <v>0.34960028010183586</v>
      </c>
      <c r="I23" s="85"/>
      <c r="J23" s="86"/>
      <c r="K23" s="99" t="s">
        <v>121</v>
      </c>
      <c r="L23" s="109">
        <f>VLOOKUP($K23,[1]Inflation!$AE$10:$AT$55,COLUMN(K:K),FALSE)</f>
        <v>2.9537339753950828E-2</v>
      </c>
      <c r="M23" s="110">
        <f>VLOOKUP($K23,[1]Inflation!$AE$10:$AT$55,COLUMN(L:L),FALSE)</f>
        <v>2.7871696173153548E-2</v>
      </c>
      <c r="N23" s="110">
        <f>VLOOKUP($K23,[1]Inflation!$AE$10:$AT$55,COLUMN(M:M),FALSE)</f>
        <v>2.645402639741232E-2</v>
      </c>
      <c r="O23" s="110">
        <f>VLOOKUP($K23,[1]Inflation!$AE$10:$AT$55,COLUMN(N:N),FALSE)</f>
        <v>2.4496734466319045E-2</v>
      </c>
      <c r="P23" s="110">
        <f>VLOOKUP($K23,[1]Inflation!$AE$10:$AT$55,COLUMN(O:O),FALSE)</f>
        <v>2.2914463621069883E-2</v>
      </c>
      <c r="Q23" s="111">
        <f>VLOOKUP($K23,[1]Inflation!$AE$10:$AT$55,COLUMN(P:P),FALSE)</f>
        <v>2.1621637695589231E-2</v>
      </c>
      <c r="U23" s="86"/>
      <c r="V23" s="103" t="s">
        <v>121</v>
      </c>
      <c r="W23" s="112">
        <f>VLOOKUP($K23,[1]Inflation!$AE$10:$AZ$55,COLUMN(Q:Q),FALSE)</f>
        <v>7.9379486826694823E-2</v>
      </c>
      <c r="X23" s="110">
        <f>VLOOKUP($K23,[1]Inflation!$AE$10:$AZ$55,COLUMN(R:R),FALSE)</f>
        <v>8.5955483731892268E-2</v>
      </c>
      <c r="Y23" s="110">
        <f>VLOOKUP($K23,[1]Inflation!$AE$10:$AZ$55,COLUMN(S:S),FALSE)</f>
        <v>8.6268144418970197E-2</v>
      </c>
      <c r="Z23" s="110">
        <f>VLOOKUP($K23,[1]Inflation!$AE$10:$AZ$55,COLUMN(T:T),FALSE)</f>
        <v>8.3254696676006656E-2</v>
      </c>
      <c r="AA23" s="110">
        <f>VLOOKUP($K23,[1]Inflation!$AE$10:$AZ$55,COLUMN(U:U),FALSE)</f>
        <v>8.1376470118794758E-2</v>
      </c>
      <c r="AB23" s="111">
        <f>VLOOKUP($K23,[1]Inflation!$AE$10:$AZ$55,COLUMN(V:V),FALSE)</f>
        <v>8.1575888818621364E-2</v>
      </c>
      <c r="AC23" s="95"/>
      <c r="AD23" s="95"/>
      <c r="AE23" s="95"/>
      <c r="AF23" s="95"/>
      <c r="AG23" s="95"/>
      <c r="AH23" s="95"/>
      <c r="AI23" s="95"/>
    </row>
    <row r="24" spans="1:35" ht="14.25" x14ac:dyDescent="0.3">
      <c r="B24" s="107" t="s">
        <v>122</v>
      </c>
      <c r="C24" s="97">
        <f>IF($H$2=1,VLOOKUP($B24,'[38]Rebate Discount Rates'!$A$5:$I$50,COLUMN(D:D),FALSE),VLOOKUP($B24,'[39]Rebate Discount Rates'!$A$5:$I$50,COLUMN(D:D),FALSE))</f>
        <v>0.24285367779532596</v>
      </c>
      <c r="D24" s="97">
        <f>IF($H$2=1,VLOOKUP($B24,'[38]Rebate Discount Rates'!$A$5:$I$50,COLUMN(E:E),FALSE),VLOOKUP($B24,'[39]Rebate Discount Rates'!$A$5:$I$50,COLUMN(E:E),FALSE))</f>
        <v>0.29642726470348169</v>
      </c>
      <c r="E24" s="97">
        <f>IF($H$2=1,VLOOKUP($B24,'[38]Rebate Discount Rates'!$A$5:$I$50,COLUMN(F:F),FALSE),VLOOKUP($B24,'[39]Rebate Discount Rates'!$A$5:$I$50,COLUMN(F:F),FALSE))</f>
        <v>0.29642726470348169</v>
      </c>
      <c r="F24" s="97">
        <f>IF($H$2=1,VLOOKUP($B24,'[38]Rebate Discount Rates'!$A$5:$I$50,COLUMN(G:G),FALSE),VLOOKUP($B24,'[39]Rebate Discount Rates'!$A$5:$I$50,COLUMN(G:G),FALSE))</f>
        <v>0.29642726470348169</v>
      </c>
      <c r="G24" s="97">
        <f>IF($H$2=1,VLOOKUP($B24,'[38]Rebate Discount Rates'!$A$5:$I$50,COLUMN(H:H),FALSE),VLOOKUP($B24,'[39]Rebate Discount Rates'!$A$5:$I$50,COLUMN(H:H),FALSE))</f>
        <v>0.29642726470348169</v>
      </c>
      <c r="H24" s="98">
        <f>IF($H$2=1,VLOOKUP($B24,'[38]Rebate Discount Rates'!$A$5:$I$50,COLUMN(I:I),FALSE),VLOOKUP($B24,'[39]Rebate Discount Rates'!$A$5:$I$50,COLUMN(I:I),FALSE))</f>
        <v>0.29642726470348169</v>
      </c>
      <c r="I24" s="118"/>
      <c r="K24" s="99" t="s">
        <v>122</v>
      </c>
      <c r="L24" s="109">
        <f>VLOOKUP($K24,[1]Inflation!$AE$10:$AT$55,COLUMN(K:K),FALSE)</f>
        <v>3.0498044432569787E-2</v>
      </c>
      <c r="M24" s="110">
        <f>VLOOKUP($K24,[1]Inflation!$AE$10:$AT$55,COLUMN(L:L),FALSE)</f>
        <v>3.0174392110693511E-2</v>
      </c>
      <c r="N24" s="110">
        <f>VLOOKUP($K24,[1]Inflation!$AE$10:$AT$55,COLUMN(M:M),FALSE)</f>
        <v>2.7283407378589447E-2</v>
      </c>
      <c r="O24" s="110">
        <f>VLOOKUP($K24,[1]Inflation!$AE$10:$AT$55,COLUMN(N:N),FALSE)</f>
        <v>2.5917622724459279E-2</v>
      </c>
      <c r="P24" s="110">
        <f>VLOOKUP($K24,[1]Inflation!$AE$10:$AT$55,COLUMN(O:O),FALSE)</f>
        <v>2.568578115307469E-2</v>
      </c>
      <c r="Q24" s="111">
        <f>VLOOKUP($K24,[1]Inflation!$AE$10:$AT$55,COLUMN(P:P),FALSE)</f>
        <v>3.7442317185182247E-2</v>
      </c>
      <c r="U24" s="86"/>
      <c r="V24" s="103" t="s">
        <v>122</v>
      </c>
      <c r="W24" s="112">
        <f>VLOOKUP($K24,[1]Inflation!$AE$10:$AZ$55,COLUMN(Q:Q),FALSE)</f>
        <v>0</v>
      </c>
      <c r="X24" s="110">
        <f>VLOOKUP($K24,[1]Inflation!$AE$10:$AZ$55,COLUMN(R:R),FALSE)</f>
        <v>0</v>
      </c>
      <c r="Y24" s="110">
        <f>VLOOKUP($K24,[1]Inflation!$AE$10:$AZ$55,COLUMN(S:S),FALSE)</f>
        <v>0</v>
      </c>
      <c r="Z24" s="110">
        <f>VLOOKUP($K24,[1]Inflation!$AE$10:$AZ$55,COLUMN(T:T),FALSE)</f>
        <v>0</v>
      </c>
      <c r="AA24" s="110">
        <f>VLOOKUP($K24,[1]Inflation!$AE$10:$AZ$55,COLUMN(U:U),FALSE)</f>
        <v>0</v>
      </c>
      <c r="AB24" s="111">
        <f>VLOOKUP($K24,[1]Inflation!$AE$10:$AZ$55,COLUMN(V:V),FALSE)</f>
        <v>0</v>
      </c>
      <c r="AC24" s="95"/>
      <c r="AD24" s="95"/>
      <c r="AE24" s="95"/>
      <c r="AF24" s="95"/>
      <c r="AG24" s="95"/>
      <c r="AH24" s="95"/>
      <c r="AI24" s="95"/>
    </row>
    <row r="25" spans="1:35" ht="14.25" x14ac:dyDescent="0.3">
      <c r="B25" s="107" t="s">
        <v>123</v>
      </c>
      <c r="C25" s="97">
        <f>IF($H$2=1,VLOOKUP($B25,'[38]Rebate Discount Rates'!$A$5:$I$50,COLUMN(D:D),FALSE),VLOOKUP($B25,'[39]Rebate Discount Rates'!$A$5:$I$50,COLUMN(D:D),FALSE))</f>
        <v>0.22678491115676547</v>
      </c>
      <c r="D25" s="97">
        <f>IF($H$2=1,VLOOKUP($B25,'[38]Rebate Discount Rates'!$A$5:$I$50,COLUMN(E:E),FALSE),VLOOKUP($B25,'[39]Rebate Discount Rates'!$A$5:$I$50,COLUMN(E:E),FALSE))</f>
        <v>0.24276271510850733</v>
      </c>
      <c r="E25" s="97">
        <f>IF($H$2=1,VLOOKUP($B25,'[38]Rebate Discount Rates'!$A$5:$I$50,COLUMN(F:F),FALSE),VLOOKUP($B25,'[39]Rebate Discount Rates'!$A$5:$I$50,COLUMN(F:F),FALSE))</f>
        <v>0.24276271510850733</v>
      </c>
      <c r="F25" s="97">
        <f>IF($H$2=1,VLOOKUP($B25,'[38]Rebate Discount Rates'!$A$5:$I$50,COLUMN(G:G),FALSE),VLOOKUP($B25,'[39]Rebate Discount Rates'!$A$5:$I$50,COLUMN(G:G),FALSE))</f>
        <v>0.24276271510850733</v>
      </c>
      <c r="G25" s="97">
        <f>IF($H$2=1,VLOOKUP($B25,'[38]Rebate Discount Rates'!$A$5:$I$50,COLUMN(H:H),FALSE),VLOOKUP($B25,'[39]Rebate Discount Rates'!$A$5:$I$50,COLUMN(H:H),FALSE))</f>
        <v>0.24276271510850733</v>
      </c>
      <c r="H25" s="98">
        <f>IF($H$2=1,VLOOKUP($B25,'[38]Rebate Discount Rates'!$A$5:$I$50,COLUMN(I:I),FALSE),VLOOKUP($B25,'[39]Rebate Discount Rates'!$A$5:$I$50,COLUMN(I:I),FALSE))</f>
        <v>0.24276271510850733</v>
      </c>
      <c r="I25" s="85"/>
      <c r="K25" s="99" t="s">
        <v>123</v>
      </c>
      <c r="L25" s="109">
        <f>VLOOKUP($K25,[1]Inflation!$AE$10:$AT$55,COLUMN(K:K),FALSE)</f>
        <v>9.7269742338920058E-3</v>
      </c>
      <c r="M25" s="110">
        <f>VLOOKUP($K25,[1]Inflation!$AE$10:$AT$55,COLUMN(L:L),FALSE)</f>
        <v>9.9363408769294909E-3</v>
      </c>
      <c r="N25" s="110">
        <f>VLOOKUP($K25,[1]Inflation!$AE$10:$AT$55,COLUMN(M:M),FALSE)</f>
        <v>8.956873505599058E-3</v>
      </c>
      <c r="O25" s="110">
        <f>VLOOKUP($K25,[1]Inflation!$AE$10:$AT$55,COLUMN(N:N),FALSE)</f>
        <v>8.2685765694909454E-3</v>
      </c>
      <c r="P25" s="110">
        <f>VLOOKUP($K25,[1]Inflation!$AE$10:$AT$55,COLUMN(O:O),FALSE)</f>
        <v>7.8104627397785828E-3</v>
      </c>
      <c r="Q25" s="111">
        <f>VLOOKUP($K25,[1]Inflation!$AE$10:$AT$55,COLUMN(P:P),FALSE)</f>
        <v>2.5354444941713607E-2</v>
      </c>
      <c r="V25" s="103" t="s">
        <v>123</v>
      </c>
      <c r="W25" s="112">
        <f>VLOOKUP($K25,[1]Inflation!$AE$10:$AZ$55,COLUMN(Q:Q),FALSE)</f>
        <v>0</v>
      </c>
      <c r="X25" s="110">
        <f>VLOOKUP($K25,[1]Inflation!$AE$10:$AZ$55,COLUMN(R:R),FALSE)</f>
        <v>0</v>
      </c>
      <c r="Y25" s="110">
        <f>VLOOKUP($K25,[1]Inflation!$AE$10:$AZ$55,COLUMN(S:S),FALSE)</f>
        <v>0</v>
      </c>
      <c r="Z25" s="110">
        <f>VLOOKUP($K25,[1]Inflation!$AE$10:$AZ$55,COLUMN(T:T),FALSE)</f>
        <v>0</v>
      </c>
      <c r="AA25" s="110">
        <f>VLOOKUP($K25,[1]Inflation!$AE$10:$AZ$55,COLUMN(U:U),FALSE)</f>
        <v>0</v>
      </c>
      <c r="AB25" s="111">
        <f>VLOOKUP($K25,[1]Inflation!$AE$10:$AZ$55,COLUMN(V:V),FALSE)</f>
        <v>0</v>
      </c>
      <c r="AC25" s="95"/>
      <c r="AD25" s="95"/>
      <c r="AE25" s="95"/>
      <c r="AF25" s="95"/>
      <c r="AG25" s="95"/>
      <c r="AH25" s="95"/>
      <c r="AI25" s="95"/>
    </row>
    <row r="26" spans="1:35" s="119" customFormat="1" ht="14.25" x14ac:dyDescent="0.3">
      <c r="A26" s="62"/>
      <c r="B26" s="107" t="s">
        <v>124</v>
      </c>
      <c r="C26" s="97">
        <f>IF($H$2=1,VLOOKUP($B26,'[38]Rebate Discount Rates'!$A$5:$I$50,COLUMN(D:D),FALSE),VLOOKUP($B26,'[39]Rebate Discount Rates'!$A$5:$I$50,COLUMN(D:D),FALSE))</f>
        <v>0.23283188266981297</v>
      </c>
      <c r="D26" s="97">
        <f>IF($H$2=1,VLOOKUP($B26,'[38]Rebate Discount Rates'!$A$5:$I$50,COLUMN(E:E),FALSE),VLOOKUP($B26,'[39]Rebate Discount Rates'!$A$5:$I$50,COLUMN(E:E),FALSE))</f>
        <v>0.25955437271534487</v>
      </c>
      <c r="E26" s="97">
        <f>IF($H$2=1,VLOOKUP($B26,'[38]Rebate Discount Rates'!$A$5:$I$50,COLUMN(F:F),FALSE),VLOOKUP($B26,'[39]Rebate Discount Rates'!$A$5:$I$50,COLUMN(F:F),FALSE))</f>
        <v>0.25955437271534487</v>
      </c>
      <c r="F26" s="97">
        <f>IF($H$2=1,VLOOKUP($B26,'[38]Rebate Discount Rates'!$A$5:$I$50,COLUMN(G:G),FALSE),VLOOKUP($B26,'[39]Rebate Discount Rates'!$A$5:$I$50,COLUMN(G:G),FALSE))</f>
        <v>0.25955437271534487</v>
      </c>
      <c r="G26" s="97">
        <f>IF($H$2=1,VLOOKUP($B26,'[38]Rebate Discount Rates'!$A$5:$I$50,COLUMN(H:H),FALSE),VLOOKUP($B26,'[39]Rebate Discount Rates'!$A$5:$I$50,COLUMN(H:H),FALSE))</f>
        <v>0.25955437271534487</v>
      </c>
      <c r="H26" s="98">
        <f>IF($H$2=1,VLOOKUP($B26,'[38]Rebate Discount Rates'!$A$5:$I$50,COLUMN(I:I),FALSE),VLOOKUP($B26,'[39]Rebate Discount Rates'!$A$5:$I$50,COLUMN(I:I),FALSE))</f>
        <v>0.25955437271534487</v>
      </c>
      <c r="I26" s="85"/>
      <c r="J26" s="62"/>
      <c r="K26" s="99" t="s">
        <v>124</v>
      </c>
      <c r="L26" s="109">
        <f>VLOOKUP($K26,[1]Inflation!$AE$10:$AT$55,COLUMN(K:K),FALSE)</f>
        <v>1.7596390700421502E-2</v>
      </c>
      <c r="M26" s="110">
        <f>VLOOKUP($K26,[1]Inflation!$AE$10:$AT$55,COLUMN(L:L),FALSE)</f>
        <v>1.641362388445048E-2</v>
      </c>
      <c r="N26" s="110">
        <f>VLOOKUP($K26,[1]Inflation!$AE$10:$AT$55,COLUMN(M:M),FALSE)</f>
        <v>1.3968509726906636E-2</v>
      </c>
      <c r="O26" s="110">
        <f>VLOOKUP($K26,[1]Inflation!$AE$10:$AT$55,COLUMN(N:N),FALSE)</f>
        <v>1.1810274481934729E-2</v>
      </c>
      <c r="P26" s="110">
        <f>VLOOKUP($K26,[1]Inflation!$AE$10:$AT$55,COLUMN(O:O),FALSE)</f>
        <v>1.0251214003542794E-2</v>
      </c>
      <c r="Q26" s="111">
        <f>VLOOKUP($K26,[1]Inflation!$AE$10:$AT$55,COLUMN(P:P),FALSE)</f>
        <v>2.9676956568610136E-2</v>
      </c>
      <c r="U26" s="62"/>
      <c r="V26" s="103" t="s">
        <v>124</v>
      </c>
      <c r="W26" s="112">
        <f>VLOOKUP($K26,[1]Inflation!$AE$10:$AZ$55,COLUMN(Q:Q),FALSE)</f>
        <v>0</v>
      </c>
      <c r="X26" s="110">
        <f>VLOOKUP($K26,[1]Inflation!$AE$10:$AZ$55,COLUMN(R:R),FALSE)</f>
        <v>0</v>
      </c>
      <c r="Y26" s="110">
        <f>VLOOKUP($K26,[1]Inflation!$AE$10:$AZ$55,COLUMN(S:S),FALSE)</f>
        <v>0</v>
      </c>
      <c r="Z26" s="110">
        <f>VLOOKUP($K26,[1]Inflation!$AE$10:$AZ$55,COLUMN(T:T),FALSE)</f>
        <v>0</v>
      </c>
      <c r="AA26" s="110">
        <f>VLOOKUP($K26,[1]Inflation!$AE$10:$AZ$55,COLUMN(U:U),FALSE)</f>
        <v>0</v>
      </c>
      <c r="AB26" s="111">
        <f>VLOOKUP($K26,[1]Inflation!$AE$10:$AZ$55,COLUMN(V:V),FALSE)</f>
        <v>0</v>
      </c>
      <c r="AC26" s="62"/>
      <c r="AD26" s="95"/>
      <c r="AE26" s="95"/>
      <c r="AF26" s="95"/>
      <c r="AG26" s="95"/>
      <c r="AH26" s="95"/>
      <c r="AI26" s="95"/>
    </row>
    <row r="27" spans="1:35" ht="14.25" x14ac:dyDescent="0.3">
      <c r="B27" s="107" t="s">
        <v>125</v>
      </c>
      <c r="C27" s="97">
        <f>IF($H$2=1,VLOOKUP($B27,'[38]Rebate Discount Rates'!$A$5:$I$50,COLUMN(D:D),FALSE),VLOOKUP($B27,'[39]Rebate Discount Rates'!$A$5:$I$50,COLUMN(D:D),FALSE))</f>
        <v>0.12700550168120234</v>
      </c>
      <c r="D27" s="97">
        <f>IF($H$2=1,VLOOKUP($B27,'[38]Rebate Discount Rates'!$A$5:$I$50,COLUMN(E:E),FALSE),VLOOKUP($B27,'[39]Rebate Discount Rates'!$A$5:$I$50,COLUMN(E:E),FALSE))</f>
        <v>0.21080283909326314</v>
      </c>
      <c r="E27" s="97">
        <f>IF($H$2=1,VLOOKUP($B27,'[38]Rebate Discount Rates'!$A$5:$I$50,COLUMN(F:F),FALSE),VLOOKUP($B27,'[39]Rebate Discount Rates'!$A$5:$I$50,COLUMN(F:F),FALSE))</f>
        <v>0.21080283909326314</v>
      </c>
      <c r="F27" s="97">
        <f>IF($H$2=1,VLOOKUP($B27,'[38]Rebate Discount Rates'!$A$5:$I$50,COLUMN(G:G),FALSE),VLOOKUP($B27,'[39]Rebate Discount Rates'!$A$5:$I$50,COLUMN(G:G),FALSE))</f>
        <v>0.21080283909326314</v>
      </c>
      <c r="G27" s="97">
        <f>IF($H$2=1,VLOOKUP($B27,'[38]Rebate Discount Rates'!$A$5:$I$50,COLUMN(H:H),FALSE),VLOOKUP($B27,'[39]Rebate Discount Rates'!$A$5:$I$50,COLUMN(H:H),FALSE))</f>
        <v>0.21080283909326314</v>
      </c>
      <c r="H27" s="98">
        <f>IF($H$2=1,VLOOKUP($B27,'[38]Rebate Discount Rates'!$A$5:$I$50,COLUMN(I:I),FALSE),VLOOKUP($B27,'[39]Rebate Discount Rates'!$A$5:$I$50,COLUMN(I:I),FALSE))</f>
        <v>0.21080283909326314</v>
      </c>
      <c r="I27" s="85"/>
      <c r="K27" s="99" t="s">
        <v>125</v>
      </c>
      <c r="L27" s="109">
        <f>VLOOKUP($K27,[1]Inflation!$AE$10:$AT$55,COLUMN(K:K),FALSE)</f>
        <v>6.4248647415805965E-2</v>
      </c>
      <c r="M27" s="110">
        <f>VLOOKUP($K27,[1]Inflation!$AE$10:$AT$55,COLUMN(L:L),FALSE)</f>
        <v>6.7619049077321733E-2</v>
      </c>
      <c r="N27" s="110">
        <f>VLOOKUP($K27,[1]Inflation!$AE$10:$AT$55,COLUMN(M:M),FALSE)</f>
        <v>6.4399092970521515E-2</v>
      </c>
      <c r="O27" s="110">
        <f>VLOOKUP($K27,[1]Inflation!$AE$10:$AT$55,COLUMN(N:N),FALSE)</f>
        <v>6.1332469495734787E-2</v>
      </c>
      <c r="P27" s="110">
        <f>VLOOKUP($K27,[1]Inflation!$AE$10:$AT$55,COLUMN(O:O),FALSE)</f>
        <v>5.8411875710223611E-2</v>
      </c>
      <c r="Q27" s="111">
        <f>VLOOKUP($K27,[1]Inflation!$AE$10:$AT$55,COLUMN(P:P),FALSE)</f>
        <v>5.5630357819260588E-2</v>
      </c>
      <c r="V27" s="103" t="s">
        <v>125</v>
      </c>
      <c r="W27" s="112">
        <f>VLOOKUP($K27,[1]Inflation!$AE$10:$AZ$55,COLUMN(Q:Q),FALSE)</f>
        <v>0.16134696735613727</v>
      </c>
      <c r="X27" s="110">
        <f>VLOOKUP($K27,[1]Inflation!$AE$10:$AZ$55,COLUMN(R:R),FALSE)</f>
        <v>0.13947642576599581</v>
      </c>
      <c r="Y27" s="110">
        <f>VLOOKUP($K27,[1]Inflation!$AE$10:$AZ$55,COLUMN(S:S),FALSE)</f>
        <v>0.12770621012167757</v>
      </c>
      <c r="Z27" s="110">
        <f>VLOOKUP($K27,[1]Inflation!$AE$10:$AZ$55,COLUMN(T:T),FALSE)</f>
        <v>0.13351587537122081</v>
      </c>
      <c r="AA27" s="110">
        <f>VLOOKUP($K27,[1]Inflation!$AE$10:$AZ$55,COLUMN(U:U),FALSE)</f>
        <v>0.13954880650708132</v>
      </c>
      <c r="AB27" s="111">
        <f>VLOOKUP($K27,[1]Inflation!$AE$10:$AZ$55,COLUMN(V:V),FALSE)</f>
        <v>0.13839623036728138</v>
      </c>
      <c r="AD27" s="95"/>
      <c r="AE27" s="95"/>
      <c r="AF27" s="95"/>
      <c r="AG27" s="95"/>
      <c r="AH27" s="95"/>
      <c r="AI27" s="95"/>
    </row>
    <row r="28" spans="1:35" ht="14.25" x14ac:dyDescent="0.3">
      <c r="B28" s="107" t="s">
        <v>126</v>
      </c>
      <c r="C28" s="97">
        <f>IF($H$2=1,VLOOKUP($B28,'[38]Rebate Discount Rates'!$A$5:$I$50,COLUMN(D:D),FALSE),VLOOKUP($B28,'[39]Rebate Discount Rates'!$A$5:$I$50,COLUMN(D:D),FALSE))</f>
        <v>0.28274424666526837</v>
      </c>
      <c r="D28" s="97">
        <f>IF($H$2=1,VLOOKUP($B28,'[38]Rebate Discount Rates'!$A$5:$I$50,COLUMN(E:E),FALSE),VLOOKUP($B28,'[39]Rebate Discount Rates'!$A$5:$I$50,COLUMN(E:E),FALSE))</f>
        <v>0.2966159133294286</v>
      </c>
      <c r="E28" s="97">
        <f>IF($H$2=1,VLOOKUP($B28,'[38]Rebate Discount Rates'!$A$5:$I$50,COLUMN(F:F),FALSE),VLOOKUP($B28,'[39]Rebate Discount Rates'!$A$5:$I$50,COLUMN(F:F),FALSE))</f>
        <v>0.2966159133294286</v>
      </c>
      <c r="F28" s="97">
        <f>IF($H$2=1,VLOOKUP($B28,'[38]Rebate Discount Rates'!$A$5:$I$50,COLUMN(G:G),FALSE),VLOOKUP($B28,'[39]Rebate Discount Rates'!$A$5:$I$50,COLUMN(G:G),FALSE))</f>
        <v>0.2966159133294286</v>
      </c>
      <c r="G28" s="97">
        <f>IF($H$2=1,VLOOKUP($B28,'[38]Rebate Discount Rates'!$A$5:$I$50,COLUMN(H:H),FALSE),VLOOKUP($B28,'[39]Rebate Discount Rates'!$A$5:$I$50,COLUMN(H:H),FALSE))</f>
        <v>0.2966159133294286</v>
      </c>
      <c r="H28" s="98">
        <f>IF($H$2=1,VLOOKUP($B28,'[38]Rebate Discount Rates'!$A$5:$I$50,COLUMN(I:I),FALSE),VLOOKUP($B28,'[39]Rebate Discount Rates'!$A$5:$I$50,COLUMN(I:I),FALSE))</f>
        <v>0.2966159133294286</v>
      </c>
      <c r="K28" s="99" t="s">
        <v>126</v>
      </c>
      <c r="L28" s="109">
        <f>VLOOKUP($K28,[1]Inflation!$AE$10:$AT$55,COLUMN(K:K),FALSE)</f>
        <v>0.12026502158831422</v>
      </c>
      <c r="M28" s="110">
        <f>VLOOKUP($K28,[1]Inflation!$AE$10:$AT$55,COLUMN(L:L),FALSE)</f>
        <v>0.11820038759510305</v>
      </c>
      <c r="N28" s="110">
        <f>VLOOKUP($K28,[1]Inflation!$AE$10:$AT$55,COLUMN(M:M),FALSE)</f>
        <v>0.11057156156341327</v>
      </c>
      <c r="O28" s="110">
        <f>VLOOKUP($K28,[1]Inflation!$AE$10:$AT$55,COLUMN(N:N),FALSE)</f>
        <v>9.9459467849055835E-2</v>
      </c>
      <c r="P28" s="110">
        <f>VLOOKUP($K28,[1]Inflation!$AE$10:$AT$55,COLUMN(O:O),FALSE)</f>
        <v>9.1614124149373866E-2</v>
      </c>
      <c r="Q28" s="111">
        <f>VLOOKUP($K28,[1]Inflation!$AE$10:$AT$55,COLUMN(P:P),FALSE)</f>
        <v>8.6688405022597573E-2</v>
      </c>
      <c r="V28" s="103" t="s">
        <v>126</v>
      </c>
      <c r="W28" s="112">
        <f>VLOOKUP($K28,[1]Inflation!$AE$10:$AZ$55,COLUMN(Q:Q),FALSE)</f>
        <v>0.11450327282937749</v>
      </c>
      <c r="X28" s="110">
        <f>VLOOKUP($K28,[1]Inflation!$AE$10:$AZ$55,COLUMN(R:R),FALSE)</f>
        <v>0.1216881777460978</v>
      </c>
      <c r="Y28" s="110">
        <f>VLOOKUP($K28,[1]Inflation!$AE$10:$AZ$55,COLUMN(S:S),FALSE)</f>
        <v>0.12487944881266158</v>
      </c>
      <c r="Z28" s="110">
        <f>VLOOKUP($K28,[1]Inflation!$AE$10:$AZ$55,COLUMN(T:T),FALSE)</f>
        <v>0.11057749781698048</v>
      </c>
      <c r="AA28" s="110">
        <f>VLOOKUP($K28,[1]Inflation!$AE$10:$AZ$55,COLUMN(U:U),FALSE)</f>
        <v>0.15960742743674344</v>
      </c>
      <c r="AB28" s="111">
        <f>VLOOKUP($K28,[1]Inflation!$AE$10:$AZ$55,COLUMN(V:V),FALSE)</f>
        <v>0.17332171813878378</v>
      </c>
      <c r="AD28" s="95"/>
      <c r="AE28" s="95"/>
      <c r="AF28" s="95"/>
      <c r="AG28" s="95"/>
      <c r="AH28" s="95"/>
      <c r="AI28" s="95"/>
    </row>
    <row r="29" spans="1:35" ht="14.25" x14ac:dyDescent="0.3">
      <c r="B29" s="107" t="s">
        <v>127</v>
      </c>
      <c r="C29" s="97">
        <f>IF($H$2=1,VLOOKUP($B29,'[38]Rebate Discount Rates'!$A$5:$I$50,COLUMN(D:D),FALSE),VLOOKUP($B29,'[39]Rebate Discount Rates'!$A$5:$I$50,COLUMN(D:D),FALSE))</f>
        <v>0.26426308646378666</v>
      </c>
      <c r="D29" s="97">
        <f>IF($H$2=1,VLOOKUP($B29,'[38]Rebate Discount Rates'!$A$5:$I$50,COLUMN(E:E),FALSE),VLOOKUP($B29,'[39]Rebate Discount Rates'!$A$5:$I$50,COLUMN(E:E),FALSE))</f>
        <v>0.31790565415878269</v>
      </c>
      <c r="E29" s="97">
        <f>IF($H$2=1,VLOOKUP($B29,'[38]Rebate Discount Rates'!$A$5:$I$50,COLUMN(F:F),FALSE),VLOOKUP($B29,'[39]Rebate Discount Rates'!$A$5:$I$50,COLUMN(F:F),FALSE))</f>
        <v>0.31790565415878269</v>
      </c>
      <c r="F29" s="97">
        <f>IF($H$2=1,VLOOKUP($B29,'[38]Rebate Discount Rates'!$A$5:$I$50,COLUMN(G:G),FALSE),VLOOKUP($B29,'[39]Rebate Discount Rates'!$A$5:$I$50,COLUMN(G:G),FALSE))</f>
        <v>0.31790565415878269</v>
      </c>
      <c r="G29" s="97">
        <f>IF($H$2=1,VLOOKUP($B29,'[38]Rebate Discount Rates'!$A$5:$I$50,COLUMN(H:H),FALSE),VLOOKUP($B29,'[39]Rebate Discount Rates'!$A$5:$I$50,COLUMN(H:H),FALSE))</f>
        <v>0.31790565415878269</v>
      </c>
      <c r="H29" s="98">
        <f>IF($H$2=1,VLOOKUP($B29,'[38]Rebate Discount Rates'!$A$5:$I$50,COLUMN(I:I),FALSE),VLOOKUP($B29,'[39]Rebate Discount Rates'!$A$5:$I$50,COLUMN(I:I),FALSE))</f>
        <v>0.31790565415878269</v>
      </c>
      <c r="K29" s="99" t="s">
        <v>127</v>
      </c>
      <c r="L29" s="109">
        <f>VLOOKUP($K29,[1]Inflation!$AE$10:$AT$55,COLUMN(K:K),FALSE)</f>
        <v>1.7688624830448651E-2</v>
      </c>
      <c r="M29" s="110">
        <f>VLOOKUP($K29,[1]Inflation!$AE$10:$AT$55,COLUMN(L:L),FALSE)</f>
        <v>3.0892505982162272E-2</v>
      </c>
      <c r="N29" s="110">
        <f>VLOOKUP($K29,[1]Inflation!$AE$10:$AT$55,COLUMN(M:M),FALSE)</f>
        <v>2.9421434268725982E-2</v>
      </c>
      <c r="O29" s="110">
        <f>VLOOKUP($K29,[1]Inflation!$AE$10:$AT$55,COLUMN(N:N),FALSE)</f>
        <v>2.8020413589262834E-2</v>
      </c>
      <c r="P29" s="110">
        <f>VLOOKUP($K29,[1]Inflation!$AE$10:$AT$55,COLUMN(O:O),FALSE)</f>
        <v>2.6686108180250315E-2</v>
      </c>
      <c r="Q29" s="111">
        <f>VLOOKUP($K29,[1]Inflation!$AE$10:$AT$55,COLUMN(P:P),FALSE)</f>
        <v>2.5415341124047922E-2</v>
      </c>
      <c r="V29" s="103" t="s">
        <v>127</v>
      </c>
      <c r="W29" s="112">
        <f>VLOOKUP($K29,[1]Inflation!$AE$10:$AZ$55,COLUMN(Q:Q),FALSE)</f>
        <v>0.57851208135125287</v>
      </c>
      <c r="X29" s="110">
        <f>VLOOKUP($K29,[1]Inflation!$AE$10:$AZ$55,COLUMN(R:R),FALSE)</f>
        <v>0.58634878602950802</v>
      </c>
      <c r="Y29" s="110">
        <f>VLOOKUP($K29,[1]Inflation!$AE$10:$AZ$55,COLUMN(S:S),FALSE)</f>
        <v>0.27488865894168779</v>
      </c>
      <c r="Z29" s="110">
        <f>VLOOKUP($K29,[1]Inflation!$AE$10:$AZ$55,COLUMN(T:T),FALSE)</f>
        <v>0.27488865894168768</v>
      </c>
      <c r="AA29" s="110">
        <f>VLOOKUP($K29,[1]Inflation!$AE$10:$AZ$55,COLUMN(U:U),FALSE)</f>
        <v>0.27488865894168774</v>
      </c>
      <c r="AB29" s="111">
        <f>VLOOKUP($K29,[1]Inflation!$AE$10:$AZ$55,COLUMN(V:V),FALSE)</f>
        <v>0.27488865894168774</v>
      </c>
      <c r="AC29" s="95"/>
      <c r="AD29" s="95"/>
      <c r="AE29" s="95"/>
      <c r="AF29" s="95"/>
      <c r="AG29" s="95"/>
      <c r="AH29" s="95"/>
      <c r="AI29" s="95"/>
    </row>
    <row r="30" spans="1:35" ht="14.25" x14ac:dyDescent="0.3">
      <c r="B30" s="120" t="s">
        <v>128</v>
      </c>
      <c r="C30" s="97">
        <f>IF($H$2=1,VLOOKUP($B30,'[38]Rebate Discount Rates'!$A$5:$I$50,COLUMN(D:D),FALSE),VLOOKUP($B30,'[39]Rebate Discount Rates'!$A$5:$I$50,COLUMN(D:D),FALSE))</f>
        <v>0.24475544988476344</v>
      </c>
      <c r="D30" s="97">
        <f>IF($H$2=1,VLOOKUP($B30,'[38]Rebate Discount Rates'!$A$5:$I$50,COLUMN(E:E),FALSE),VLOOKUP($B30,'[39]Rebate Discount Rates'!$A$5:$I$50,COLUMN(E:E),FALSE))</f>
        <v>0.22927418974766933</v>
      </c>
      <c r="E30" s="97">
        <f>IF($H$2=1,VLOOKUP($B30,'[38]Rebate Discount Rates'!$A$5:$I$50,COLUMN(F:F),FALSE),VLOOKUP($B30,'[39]Rebate Discount Rates'!$A$5:$I$50,COLUMN(F:F),FALSE))</f>
        <v>0.22927418974766933</v>
      </c>
      <c r="F30" s="97">
        <f>IF($H$2=1,VLOOKUP($B30,'[38]Rebate Discount Rates'!$A$5:$I$50,COLUMN(G:G),FALSE),VLOOKUP($B30,'[39]Rebate Discount Rates'!$A$5:$I$50,COLUMN(G:G),FALSE))</f>
        <v>0.22927418974766933</v>
      </c>
      <c r="G30" s="97">
        <f>IF($H$2=1,VLOOKUP($B30,'[38]Rebate Discount Rates'!$A$5:$I$50,COLUMN(H:H),FALSE),VLOOKUP($B30,'[39]Rebate Discount Rates'!$A$5:$I$50,COLUMN(H:H),FALSE))</f>
        <v>0.22927418974766933</v>
      </c>
      <c r="H30" s="98">
        <f>IF($H$2=1,VLOOKUP($B30,'[38]Rebate Discount Rates'!$A$5:$I$50,COLUMN(I:I),FALSE),VLOOKUP($B30,'[39]Rebate Discount Rates'!$A$5:$I$50,COLUMN(I:I),FALSE))</f>
        <v>0.22927418974766933</v>
      </c>
      <c r="K30" s="99" t="s">
        <v>128</v>
      </c>
      <c r="L30" s="109">
        <f>VLOOKUP($K30,[1]Inflation!$AE$10:$AT$55,COLUMN(K:K),FALSE)</f>
        <v>3.280520354450054E-2</v>
      </c>
      <c r="M30" s="110">
        <f>VLOOKUP($K30,[1]Inflation!$AE$10:$AT$55,COLUMN(L:L),FALSE)</f>
        <v>3.0893807395919494E-2</v>
      </c>
      <c r="N30" s="110">
        <f>VLOOKUP($K30,[1]Inflation!$AE$10:$AT$55,COLUMN(M:M),FALSE)</f>
        <v>2.7435838036915492E-2</v>
      </c>
      <c r="O30" s="110">
        <f>VLOOKUP($K30,[1]Inflation!$AE$10:$AT$55,COLUMN(N:N),FALSE)</f>
        <v>2.5438811528852263E-2</v>
      </c>
      <c r="P30" s="110">
        <f>VLOOKUP($K30,[1]Inflation!$AE$10:$AT$55,COLUMN(O:O),FALSE)</f>
        <v>2.3930808325323492E-2</v>
      </c>
      <c r="Q30" s="111">
        <f>VLOOKUP($K30,[1]Inflation!$AE$10:$AT$55,COLUMN(P:P),FALSE)</f>
        <v>2.2609959398027509E-2</v>
      </c>
      <c r="V30" s="103" t="s">
        <v>128</v>
      </c>
      <c r="W30" s="112">
        <f>VLOOKUP($K30,[1]Inflation!$AE$10:$AZ$55,COLUMN(Q:Q),FALSE)</f>
        <v>0.14041400373427806</v>
      </c>
      <c r="X30" s="110">
        <f>VLOOKUP($K30,[1]Inflation!$AE$10:$AZ$55,COLUMN(R:R),FALSE)</f>
        <v>0.14998849081759399</v>
      </c>
      <c r="Y30" s="110">
        <f>VLOOKUP($K30,[1]Inflation!$AE$10:$AZ$55,COLUMN(S:S),FALSE)</f>
        <v>0.14998848937231429</v>
      </c>
      <c r="Z30" s="110">
        <f>VLOOKUP($K30,[1]Inflation!$AE$10:$AZ$55,COLUMN(T:T),FALSE)</f>
        <v>0.14998848937231432</v>
      </c>
      <c r="AA30" s="110">
        <f>VLOOKUP($K30,[1]Inflation!$AE$10:$AZ$55,COLUMN(U:U),FALSE)</f>
        <v>0.14998848937231424</v>
      </c>
      <c r="AB30" s="111">
        <f>VLOOKUP($K30,[1]Inflation!$AE$10:$AZ$55,COLUMN(V:V),FALSE)</f>
        <v>6.7274248909640941E-2</v>
      </c>
      <c r="AD30" s="95"/>
      <c r="AE30" s="95"/>
      <c r="AF30" s="95"/>
      <c r="AG30" s="95"/>
      <c r="AH30" s="95"/>
      <c r="AI30" s="95"/>
    </row>
    <row r="31" spans="1:35" ht="14.25" x14ac:dyDescent="0.3">
      <c r="B31" s="107" t="s">
        <v>129</v>
      </c>
      <c r="C31" s="97">
        <f>IF($H$2=1,VLOOKUP($B31,'[38]Rebate Discount Rates'!$A$5:$I$50,COLUMN(D:D),FALSE),VLOOKUP($B31,'[39]Rebate Discount Rates'!$A$5:$I$50,COLUMN(D:D),FALSE))</f>
        <v>0.26525359638324353</v>
      </c>
      <c r="D31" s="97">
        <f>IF($H$2=1,VLOOKUP($B31,'[38]Rebate Discount Rates'!$A$5:$I$50,COLUMN(E:E),FALSE),VLOOKUP($B31,'[39]Rebate Discount Rates'!$A$5:$I$50,COLUMN(E:E),FALSE))</f>
        <v>0.26391814760072835</v>
      </c>
      <c r="E31" s="97">
        <f>IF($H$2=1,VLOOKUP($B31,'[38]Rebate Discount Rates'!$A$5:$I$50,COLUMN(F:F),FALSE),VLOOKUP($B31,'[39]Rebate Discount Rates'!$A$5:$I$50,COLUMN(F:F),FALSE))</f>
        <v>0.26391814760072835</v>
      </c>
      <c r="F31" s="97">
        <f>IF($H$2=1,VLOOKUP($B31,'[38]Rebate Discount Rates'!$A$5:$I$50,COLUMN(G:G),FALSE),VLOOKUP($B31,'[39]Rebate Discount Rates'!$A$5:$I$50,COLUMN(G:G),FALSE))</f>
        <v>0.26391814760072835</v>
      </c>
      <c r="G31" s="97">
        <f>IF($H$2=1,VLOOKUP($B31,'[38]Rebate Discount Rates'!$A$5:$I$50,COLUMN(H:H),FALSE),VLOOKUP($B31,'[39]Rebate Discount Rates'!$A$5:$I$50,COLUMN(H:H),FALSE))</f>
        <v>0.26391814760072835</v>
      </c>
      <c r="H31" s="98">
        <f>IF($H$2=1,VLOOKUP($B31,'[38]Rebate Discount Rates'!$A$5:$I$50,COLUMN(I:I),FALSE),VLOOKUP($B31,'[39]Rebate Discount Rates'!$A$5:$I$50,COLUMN(I:I),FALSE))</f>
        <v>0.26391814760072835</v>
      </c>
      <c r="K31" s="99" t="s">
        <v>129</v>
      </c>
      <c r="L31" s="109">
        <f>VLOOKUP($K31,[1]Inflation!$AE$10:$AT$55,COLUMN(K:K),FALSE)</f>
        <v>4.7360358117914829E-2</v>
      </c>
      <c r="M31" s="110">
        <f>VLOOKUP($K31,[1]Inflation!$AE$10:$AT$55,COLUMN(L:L),FALSE)</f>
        <v>4.7713043378413207E-2</v>
      </c>
      <c r="N31" s="110">
        <f>VLOOKUP($K31,[1]Inflation!$AE$10:$AT$55,COLUMN(M:M),FALSE)</f>
        <v>4.7239686089896399E-2</v>
      </c>
      <c r="O31" s="110">
        <f>VLOOKUP($K31,[1]Inflation!$AE$10:$AT$55,COLUMN(N:N),FALSE)</f>
        <v>4.6776919592798859E-2</v>
      </c>
      <c r="P31" s="110">
        <f>VLOOKUP($K31,[1]Inflation!$AE$10:$AT$55,COLUMN(O:O),FALSE)</f>
        <v>4.6310318722763102E-2</v>
      </c>
      <c r="Q31" s="111">
        <f>VLOOKUP($K31,[1]Inflation!$AE$10:$AT$55,COLUMN(P:P),FALSE)</f>
        <v>4.6127056535175195E-2</v>
      </c>
      <c r="V31" s="103" t="s">
        <v>129</v>
      </c>
      <c r="W31" s="112">
        <f>VLOOKUP($K31,[1]Inflation!$AE$10:$AZ$55,COLUMN(Q:Q),FALSE)</f>
        <v>6.416367808877628E-2</v>
      </c>
      <c r="X31" s="110">
        <f>VLOOKUP($K31,[1]Inflation!$AE$10:$AZ$55,COLUMN(R:R),FALSE)</f>
        <v>4.9692292425603371E-2</v>
      </c>
      <c r="Y31" s="110">
        <f>VLOOKUP($K31,[1]Inflation!$AE$10:$AZ$55,COLUMN(S:S),FALSE)</f>
        <v>0</v>
      </c>
      <c r="Z31" s="110">
        <f>VLOOKUP($K31,[1]Inflation!$AE$10:$AZ$55,COLUMN(T:T),FALSE)</f>
        <v>0</v>
      </c>
      <c r="AA31" s="110">
        <f>VLOOKUP($K31,[1]Inflation!$AE$10:$AZ$55,COLUMN(U:U),FALSE)</f>
        <v>0</v>
      </c>
      <c r="AB31" s="111">
        <f>VLOOKUP($K31,[1]Inflation!$AE$10:$AZ$55,COLUMN(V:V),FALSE)</f>
        <v>0</v>
      </c>
      <c r="AC31" s="95"/>
      <c r="AD31" s="95"/>
      <c r="AE31" s="95"/>
      <c r="AF31" s="95"/>
      <c r="AG31" s="95"/>
      <c r="AH31" s="95"/>
      <c r="AI31" s="95"/>
    </row>
    <row r="32" spans="1:35" ht="14.25" x14ac:dyDescent="0.3">
      <c r="B32" s="107" t="s">
        <v>130</v>
      </c>
      <c r="C32" s="97">
        <f>IF($H$2=1,VLOOKUP($B32,'[38]Rebate Discount Rates'!$A$5:$I$50,COLUMN(D:D),FALSE),VLOOKUP($B32,'[39]Rebate Discount Rates'!$A$5:$I$50,COLUMN(D:D),FALSE))</f>
        <v>0.19556171970919373</v>
      </c>
      <c r="D32" s="97">
        <f>IF($H$2=1,VLOOKUP($B32,'[38]Rebate Discount Rates'!$A$5:$I$50,COLUMN(E:E),FALSE),VLOOKUP($B32,'[39]Rebate Discount Rates'!$A$5:$I$50,COLUMN(E:E),FALSE))</f>
        <v>0.20071142169746417</v>
      </c>
      <c r="E32" s="97">
        <f>IF($H$2=1,VLOOKUP($B32,'[38]Rebate Discount Rates'!$A$5:$I$50,COLUMN(F:F),FALSE),VLOOKUP($B32,'[39]Rebate Discount Rates'!$A$5:$I$50,COLUMN(F:F),FALSE))</f>
        <v>0.20071142169746417</v>
      </c>
      <c r="F32" s="97">
        <f>IF($H$2=1,VLOOKUP($B32,'[38]Rebate Discount Rates'!$A$5:$I$50,COLUMN(G:G),FALSE),VLOOKUP($B32,'[39]Rebate Discount Rates'!$A$5:$I$50,COLUMN(G:G),FALSE))</f>
        <v>0.20071142169746417</v>
      </c>
      <c r="G32" s="97">
        <f>IF($H$2=1,VLOOKUP($B32,'[38]Rebate Discount Rates'!$A$5:$I$50,COLUMN(H:H),FALSE),VLOOKUP($B32,'[39]Rebate Discount Rates'!$A$5:$I$50,COLUMN(H:H),FALSE))</f>
        <v>0.20071142169746417</v>
      </c>
      <c r="H32" s="98">
        <f>IF($H$2=1,VLOOKUP($B32,'[38]Rebate Discount Rates'!$A$5:$I$50,COLUMN(I:I),FALSE),VLOOKUP($B32,'[39]Rebate Discount Rates'!$A$5:$I$50,COLUMN(I:I),FALSE))</f>
        <v>0.20071142169746417</v>
      </c>
      <c r="J32" s="119"/>
      <c r="K32" s="99" t="s">
        <v>130</v>
      </c>
      <c r="L32" s="109">
        <f>VLOOKUP($K32,[1]Inflation!$AE$10:$AT$55,COLUMN(K:K),FALSE)</f>
        <v>-5.5134464284267624E-2</v>
      </c>
      <c r="M32" s="110">
        <f>VLOOKUP($K32,[1]Inflation!$AE$10:$AT$55,COLUMN(L:L),FALSE)</f>
        <v>2.4581121503284942E-2</v>
      </c>
      <c r="N32" s="110">
        <f>VLOOKUP($K32,[1]Inflation!$AE$10:$AT$55,COLUMN(M:M),FALSE)</f>
        <v>2.3994350618796879E-2</v>
      </c>
      <c r="O32" s="110">
        <f>VLOOKUP($K32,[1]Inflation!$AE$10:$AT$55,COLUMN(N:N),FALSE)</f>
        <v>2.3685552421680189E-2</v>
      </c>
      <c r="P32" s="110">
        <f>VLOOKUP($K32,[1]Inflation!$AE$10:$AT$55,COLUMN(O:O),FALSE)</f>
        <v>2.3106517362080057E-2</v>
      </c>
      <c r="Q32" s="111">
        <f>VLOOKUP($K32,[1]Inflation!$AE$10:$AT$55,COLUMN(P:P),FALSE)</f>
        <v>2.2619196445675595E-2</v>
      </c>
      <c r="V32" s="103" t="s">
        <v>130</v>
      </c>
      <c r="W32" s="112">
        <f>VLOOKUP($K32,[1]Inflation!$AE$10:$AZ$55,COLUMN(Q:Q),FALSE)</f>
        <v>6.1584173047838954E-2</v>
      </c>
      <c r="X32" s="110">
        <f>VLOOKUP($K32,[1]Inflation!$AE$10:$AZ$55,COLUMN(R:R),FALSE)</f>
        <v>5.9759658438832464E-2</v>
      </c>
      <c r="Y32" s="110">
        <f>VLOOKUP($K32,[1]Inflation!$AE$10:$AZ$55,COLUMN(S:S),FALSE)</f>
        <v>2.8771053576695821E-2</v>
      </c>
      <c r="Z32" s="110">
        <f>VLOOKUP($K32,[1]Inflation!$AE$10:$AZ$55,COLUMN(T:T),FALSE)</f>
        <v>2.8368216768988024E-2</v>
      </c>
      <c r="AA32" s="110">
        <f>VLOOKUP($K32,[1]Inflation!$AE$10:$AZ$55,COLUMN(U:U),FALSE)</f>
        <v>0</v>
      </c>
      <c r="AB32" s="111">
        <f>VLOOKUP($K32,[1]Inflation!$AE$10:$AZ$55,COLUMN(V:V),FALSE)</f>
        <v>0</v>
      </c>
      <c r="AC32" s="95"/>
      <c r="AD32" s="95"/>
      <c r="AE32" s="95"/>
      <c r="AF32" s="95"/>
      <c r="AG32" s="95"/>
      <c r="AH32" s="95"/>
      <c r="AI32" s="95"/>
    </row>
    <row r="33" spans="1:35" ht="14.25" x14ac:dyDescent="0.3">
      <c r="B33" s="107" t="s">
        <v>131</v>
      </c>
      <c r="C33" s="97">
        <f>IF($H$2=1,VLOOKUP($B33,'[38]Rebate Discount Rates'!$A$5:$I$50,COLUMN(D:D),FALSE),VLOOKUP($B33,'[39]Rebate Discount Rates'!$A$5:$I$50,COLUMN(D:D),FALSE))</f>
        <v>0.18822046018413305</v>
      </c>
      <c r="D33" s="97">
        <f>IF($H$2=1,VLOOKUP($B33,'[38]Rebate Discount Rates'!$A$5:$I$50,COLUMN(E:E),FALSE),VLOOKUP($B33,'[39]Rebate Discount Rates'!$A$5:$I$50,COLUMN(E:E),FALSE))</f>
        <v>0.19743337374237374</v>
      </c>
      <c r="E33" s="97">
        <f>IF($H$2=1,VLOOKUP($B33,'[38]Rebate Discount Rates'!$A$5:$I$50,COLUMN(F:F),FALSE),VLOOKUP($B33,'[39]Rebate Discount Rates'!$A$5:$I$50,COLUMN(F:F),FALSE))</f>
        <v>0.19743337374237374</v>
      </c>
      <c r="F33" s="97">
        <f>IF($H$2=1,VLOOKUP($B33,'[38]Rebate Discount Rates'!$A$5:$I$50,COLUMN(G:G),FALSE),VLOOKUP($B33,'[39]Rebate Discount Rates'!$A$5:$I$50,COLUMN(G:G),FALSE))</f>
        <v>0.19743337374237374</v>
      </c>
      <c r="G33" s="97">
        <f>IF($H$2=1,VLOOKUP($B33,'[38]Rebate Discount Rates'!$A$5:$I$50,COLUMN(H:H),FALSE),VLOOKUP($B33,'[39]Rebate Discount Rates'!$A$5:$I$50,COLUMN(H:H),FALSE))</f>
        <v>0.19743337374237374</v>
      </c>
      <c r="H33" s="98">
        <f>IF($H$2=1,VLOOKUP($B33,'[38]Rebate Discount Rates'!$A$5:$I$50,COLUMN(I:I),FALSE),VLOOKUP($B33,'[39]Rebate Discount Rates'!$A$5:$I$50,COLUMN(I:I),FALSE))</f>
        <v>0.19743337374237374</v>
      </c>
      <c r="I33" s="108"/>
      <c r="K33" s="99" t="s">
        <v>131</v>
      </c>
      <c r="L33" s="109">
        <f>VLOOKUP($K33,[1]Inflation!$AE$10:$AT$55,COLUMN(K:K),FALSE)</f>
        <v>1.7930732796013385E-2</v>
      </c>
      <c r="M33" s="110">
        <f>VLOOKUP($K33,[1]Inflation!$AE$10:$AT$55,COLUMN(L:L),FALSE)</f>
        <v>4.1810659780387179E-2</v>
      </c>
      <c r="N33" s="110">
        <f>VLOOKUP($K33,[1]Inflation!$AE$10:$AT$55,COLUMN(M:M),FALSE)</f>
        <v>4.2510112120323663E-2</v>
      </c>
      <c r="O33" s="110">
        <f>VLOOKUP($K33,[1]Inflation!$AE$10:$AT$55,COLUMN(N:N),FALSE)</f>
        <v>4.4446778174775506E-2</v>
      </c>
      <c r="P33" s="110">
        <f>VLOOKUP($K33,[1]Inflation!$AE$10:$AT$55,COLUMN(O:O),FALSE)</f>
        <v>4.5849354582909632E-2</v>
      </c>
      <c r="Q33" s="111">
        <f>VLOOKUP($K33,[1]Inflation!$AE$10:$AT$55,COLUMN(P:P),FALSE)</f>
        <v>4.5759377852420381E-2</v>
      </c>
      <c r="U33" s="119"/>
      <c r="V33" s="121" t="s">
        <v>131</v>
      </c>
      <c r="W33" s="112">
        <f>VLOOKUP($K33,[1]Inflation!$AE$10:$AZ$55,COLUMN(Q:Q),FALSE)</f>
        <v>5.990860503842782E-2</v>
      </c>
      <c r="X33" s="110">
        <f>VLOOKUP($K33,[1]Inflation!$AE$10:$AZ$55,COLUMN(R:R),FALSE)</f>
        <v>4.9356358878789051E-2</v>
      </c>
      <c r="Y33" s="110">
        <f>VLOOKUP($K33,[1]Inflation!$AE$10:$AZ$55,COLUMN(S:S),FALSE)</f>
        <v>6.1132952721449311E-3</v>
      </c>
      <c r="Z33" s="110">
        <f>VLOOKUP($K33,[1]Inflation!$AE$10:$AZ$55,COLUMN(T:T),FALSE)</f>
        <v>3.1612020813066334E-3</v>
      </c>
      <c r="AA33" s="110">
        <f>VLOOKUP($K33,[1]Inflation!$AE$10:$AZ$55,COLUMN(U:U),FALSE)</f>
        <v>0</v>
      </c>
      <c r="AB33" s="111">
        <f>VLOOKUP($K33,[1]Inflation!$AE$10:$AZ$55,COLUMN(V:V),FALSE)</f>
        <v>0</v>
      </c>
      <c r="AC33" s="95"/>
      <c r="AD33" s="95"/>
      <c r="AE33" s="95"/>
      <c r="AF33" s="95"/>
      <c r="AG33" s="95"/>
      <c r="AH33" s="95"/>
      <c r="AI33" s="95"/>
    </row>
    <row r="34" spans="1:35" ht="14.25" x14ac:dyDescent="0.3">
      <c r="B34" s="107" t="s">
        <v>132</v>
      </c>
      <c r="C34" s="97">
        <f>IF($H$2=1,VLOOKUP($B34,'[38]Rebate Discount Rates'!$A$5:$I$50,COLUMN(D:D),FALSE),VLOOKUP($B34,'[39]Rebate Discount Rates'!$A$5:$I$50,COLUMN(D:D),FALSE))</f>
        <v>0.36282949131920861</v>
      </c>
      <c r="D34" s="97">
        <f>IF($H$2=1,VLOOKUP($B34,'[38]Rebate Discount Rates'!$A$5:$I$50,COLUMN(E:E),FALSE),VLOOKUP($B34,'[39]Rebate Discount Rates'!$A$5:$I$50,COLUMN(E:E),FALSE))</f>
        <v>0.37514627094493824</v>
      </c>
      <c r="E34" s="97">
        <f>IF($H$2=1,VLOOKUP($B34,'[38]Rebate Discount Rates'!$A$5:$I$50,COLUMN(F:F),FALSE),VLOOKUP($B34,'[39]Rebate Discount Rates'!$A$5:$I$50,COLUMN(F:F),FALSE))</f>
        <v>0.37514627094493824</v>
      </c>
      <c r="F34" s="97">
        <f>IF($H$2=1,VLOOKUP($B34,'[38]Rebate Discount Rates'!$A$5:$I$50,COLUMN(G:G),FALSE),VLOOKUP($B34,'[39]Rebate Discount Rates'!$A$5:$I$50,COLUMN(G:G),FALSE))</f>
        <v>0.37514627094493824</v>
      </c>
      <c r="G34" s="97">
        <f>IF($H$2=1,VLOOKUP($B34,'[38]Rebate Discount Rates'!$A$5:$I$50,COLUMN(H:H),FALSE),VLOOKUP($B34,'[39]Rebate Discount Rates'!$A$5:$I$50,COLUMN(H:H),FALSE))</f>
        <v>0.37514627094493824</v>
      </c>
      <c r="H34" s="98">
        <f>IF($H$2=1,VLOOKUP($B34,'[38]Rebate Discount Rates'!$A$5:$I$50,COLUMN(I:I),FALSE),VLOOKUP($B34,'[39]Rebate Discount Rates'!$A$5:$I$50,COLUMN(I:I),FALSE))</f>
        <v>0.37514627094493824</v>
      </c>
      <c r="K34" s="122" t="s">
        <v>132</v>
      </c>
      <c r="L34" s="109">
        <f>VLOOKUP($K34,[1]Inflation!$AE$10:$AT$55,COLUMN(K:K),FALSE)</f>
        <v>5.6919418901600405E-2</v>
      </c>
      <c r="M34" s="110">
        <f>VLOOKUP($K34,[1]Inflation!$AE$10:$AT$55,COLUMN(L:L),FALSE)</f>
        <v>5.173708763785078E-2</v>
      </c>
      <c r="N34" s="110">
        <f>VLOOKUP($K34,[1]Inflation!$AE$10:$AT$55,COLUMN(M:M),FALSE)</f>
        <v>4.790471222396106E-2</v>
      </c>
      <c r="O34" s="110">
        <f>VLOOKUP($K34,[1]Inflation!$AE$10:$AT$55,COLUMN(N:N),FALSE)</f>
        <v>4.4356215022186167E-2</v>
      </c>
      <c r="P34" s="110">
        <f>VLOOKUP($K34,[1]Inflation!$AE$10:$AT$55,COLUMN(O:O),FALSE)</f>
        <v>4.1845485869986952E-2</v>
      </c>
      <c r="Q34" s="111">
        <f>VLOOKUP($K34,[1]Inflation!$AE$10:$AT$55,COLUMN(P:P),FALSE)</f>
        <v>3.9476873462251816E-2</v>
      </c>
      <c r="V34" s="103" t="s">
        <v>132</v>
      </c>
      <c r="W34" s="112">
        <f>VLOOKUP($K34,[1]Inflation!$AE$10:$AZ$55,COLUMN(Q:Q),FALSE)</f>
        <v>7.9006565969586079E-2</v>
      </c>
      <c r="X34" s="110">
        <f>VLOOKUP($K34,[1]Inflation!$AE$10:$AZ$55,COLUMN(R:R),FALSE)</f>
        <v>7.0753242673366482E-2</v>
      </c>
      <c r="Y34" s="110">
        <f>VLOOKUP($K34,[1]Inflation!$AE$10:$AZ$55,COLUMN(S:S),FALSE)</f>
        <v>7.0257707296204702E-2</v>
      </c>
      <c r="Z34" s="110">
        <f>VLOOKUP($K34,[1]Inflation!$AE$10:$AZ$55,COLUMN(T:T),FALSE)</f>
        <v>6.9894309776784055E-2</v>
      </c>
      <c r="AA34" s="110">
        <f>VLOOKUP($K34,[1]Inflation!$AE$10:$AZ$55,COLUMN(U:U),FALSE)</f>
        <v>6.9405419664697376E-2</v>
      </c>
      <c r="AB34" s="111">
        <f>VLOOKUP($K34,[1]Inflation!$AE$10:$AZ$55,COLUMN(V:V),FALSE)</f>
        <v>6.904204050414918E-2</v>
      </c>
      <c r="AD34" s="95"/>
      <c r="AE34" s="95"/>
      <c r="AF34" s="95"/>
      <c r="AG34" s="95"/>
      <c r="AH34" s="95"/>
      <c r="AI34" s="95"/>
    </row>
    <row r="35" spans="1:35" ht="14.25" x14ac:dyDescent="0.3">
      <c r="B35" s="107" t="s">
        <v>133</v>
      </c>
      <c r="C35" s="97">
        <f>IF($H$2=1,VLOOKUP($B35,'[38]Rebate Discount Rates'!$A$5:$I$50,COLUMN(D:D),FALSE),VLOOKUP($B35,'[39]Rebate Discount Rates'!$A$5:$I$50,COLUMN(D:D),FALSE))</f>
        <v>0</v>
      </c>
      <c r="D35" s="97">
        <f>IF($H$2=1,VLOOKUP($B35,'[38]Rebate Discount Rates'!$A$5:$I$50,COLUMN(E:E),FALSE),VLOOKUP($B35,'[39]Rebate Discount Rates'!$A$5:$I$50,COLUMN(E:E),FALSE))</f>
        <v>0</v>
      </c>
      <c r="E35" s="97">
        <f>IF($H$2=1,VLOOKUP($B35,'[38]Rebate Discount Rates'!$A$5:$I$50,COLUMN(F:F),FALSE),VLOOKUP($B35,'[39]Rebate Discount Rates'!$A$5:$I$50,COLUMN(F:F),FALSE))</f>
        <v>0</v>
      </c>
      <c r="F35" s="97">
        <f>IF($H$2=1,VLOOKUP($B35,'[38]Rebate Discount Rates'!$A$5:$I$50,COLUMN(G:G),FALSE),VLOOKUP($B35,'[39]Rebate Discount Rates'!$A$5:$I$50,COLUMN(G:G),FALSE))</f>
        <v>0</v>
      </c>
      <c r="G35" s="97">
        <f>IF($H$2=1,VLOOKUP($B35,'[38]Rebate Discount Rates'!$A$5:$I$50,COLUMN(H:H),FALSE),VLOOKUP($B35,'[39]Rebate Discount Rates'!$A$5:$I$50,COLUMN(H:H),FALSE))</f>
        <v>0</v>
      </c>
      <c r="H35" s="98">
        <f>IF($H$2=1,VLOOKUP($B35,'[38]Rebate Discount Rates'!$A$5:$I$50,COLUMN(I:I),FALSE),VLOOKUP($B35,'[39]Rebate Discount Rates'!$A$5:$I$50,COLUMN(I:I),FALSE))</f>
        <v>0</v>
      </c>
      <c r="K35" s="99" t="s">
        <v>133</v>
      </c>
      <c r="L35" s="109">
        <f>VLOOKUP($K35,[1]Inflation!$AE$10:$AT$55,COLUMN(K:K),FALSE)</f>
        <v>9.7935146016394761E-2</v>
      </c>
      <c r="M35" s="110">
        <f>VLOOKUP($K35,[1]Inflation!$AE$10:$AT$55,COLUMN(L:L),FALSE)</f>
        <v>0.11358139568606468</v>
      </c>
      <c r="N35" s="110">
        <f>VLOOKUP($K35,[1]Inflation!$AE$10:$AT$55,COLUMN(M:M),FALSE)</f>
        <v>0.1051679586563307</v>
      </c>
      <c r="O35" s="110">
        <f>VLOOKUP($K35,[1]Inflation!$AE$10:$AT$55,COLUMN(N:N),FALSE)</f>
        <v>9.7377739496602528E-2</v>
      </c>
      <c r="P35" s="110">
        <f>VLOOKUP($K35,[1]Inflation!$AE$10:$AT$55,COLUMN(O:O),FALSE)</f>
        <v>9.1865791977926936E-2</v>
      </c>
      <c r="Q35" s="111">
        <f>VLOOKUP($K35,[1]Inflation!$AE$10:$AT$55,COLUMN(P:P),FALSE)</f>
        <v>8.6665841488610298E-2</v>
      </c>
      <c r="V35" s="103" t="s">
        <v>133</v>
      </c>
      <c r="W35" s="112">
        <f>VLOOKUP($K35,[1]Inflation!$AE$10:$AZ$55,COLUMN(Q:Q),FALSE)</f>
        <v>0.10522627838676681</v>
      </c>
      <c r="X35" s="110">
        <f>VLOOKUP($K35,[1]Inflation!$AE$10:$AZ$55,COLUMN(R:R),FALSE)</f>
        <v>9.9770000296220934E-2</v>
      </c>
      <c r="Y35" s="110">
        <f>VLOOKUP($K35,[1]Inflation!$AE$10:$AZ$55,COLUMN(S:S),FALSE)</f>
        <v>9.9660000000000012E-2</v>
      </c>
      <c r="Z35" s="110">
        <f>VLOOKUP($K35,[1]Inflation!$AE$10:$AZ$55,COLUMN(T:T),FALSE)</f>
        <v>5.8134999999999999E-2</v>
      </c>
      <c r="AA35" s="110">
        <f>VLOOKUP($K35,[1]Inflation!$AE$10:$AZ$55,COLUMN(U:U),FALSE)</f>
        <v>0</v>
      </c>
      <c r="AB35" s="111">
        <f>VLOOKUP($K35,[1]Inflation!$AE$10:$AZ$55,COLUMN(V:V),FALSE)</f>
        <v>0</v>
      </c>
      <c r="AD35" s="95"/>
      <c r="AE35" s="95"/>
      <c r="AF35" s="95"/>
      <c r="AG35" s="95"/>
      <c r="AH35" s="95"/>
      <c r="AI35" s="95"/>
    </row>
    <row r="36" spans="1:35" s="119" customFormat="1" ht="14.25" x14ac:dyDescent="0.3">
      <c r="A36" s="62"/>
      <c r="B36" s="107" t="s">
        <v>134</v>
      </c>
      <c r="C36" s="97">
        <f>IF($H$2=1,VLOOKUP($B36,'[38]Rebate Discount Rates'!$A$5:$I$50,COLUMN(D:D),FALSE),VLOOKUP($B36,'[39]Rebate Discount Rates'!$A$5:$I$50,COLUMN(D:D),FALSE))</f>
        <v>0.47039307263608288</v>
      </c>
      <c r="D36" s="97">
        <f>IF($H$2=1,VLOOKUP($B36,'[38]Rebate Discount Rates'!$A$5:$I$50,COLUMN(E:E),FALSE),VLOOKUP($B36,'[39]Rebate Discount Rates'!$A$5:$I$50,COLUMN(E:E),FALSE))</f>
        <v>0.45358242000979226</v>
      </c>
      <c r="E36" s="97">
        <f>IF($H$2=1,VLOOKUP($B36,'[38]Rebate Discount Rates'!$A$5:$I$50,COLUMN(F:F),FALSE),VLOOKUP($B36,'[39]Rebate Discount Rates'!$A$5:$I$50,COLUMN(F:F),FALSE))</f>
        <v>0.45358242000979226</v>
      </c>
      <c r="F36" s="97">
        <f>IF($H$2=1,VLOOKUP($B36,'[38]Rebate Discount Rates'!$A$5:$I$50,COLUMN(G:G),FALSE),VLOOKUP($B36,'[39]Rebate Discount Rates'!$A$5:$I$50,COLUMN(G:G),FALSE))</f>
        <v>0.45358242000979226</v>
      </c>
      <c r="G36" s="97">
        <f>IF($H$2=1,VLOOKUP($B36,'[38]Rebate Discount Rates'!$A$5:$I$50,COLUMN(H:H),FALSE),VLOOKUP($B36,'[39]Rebate Discount Rates'!$A$5:$I$50,COLUMN(H:H),FALSE))</f>
        <v>0.45358242000979226</v>
      </c>
      <c r="H36" s="98">
        <f>IF($H$2=1,VLOOKUP($B36,'[38]Rebate Discount Rates'!$A$5:$I$50,COLUMN(I:I),FALSE),VLOOKUP($B36,'[39]Rebate Discount Rates'!$A$5:$I$50,COLUMN(I:I),FALSE))</f>
        <v>0.45358242000979226</v>
      </c>
      <c r="I36" s="118"/>
      <c r="J36" s="62"/>
      <c r="K36" s="99" t="s">
        <v>134</v>
      </c>
      <c r="L36" s="109">
        <f>VLOOKUP($K36,[1]Inflation!$AE$10:$AT$55,COLUMN(K:K),FALSE)</f>
        <v>2.0334140265284323E-2</v>
      </c>
      <c r="M36" s="110">
        <f>VLOOKUP($K36,[1]Inflation!$AE$10:$AT$55,COLUMN(L:L),FALSE)</f>
        <v>1.7690029655139598E-2</v>
      </c>
      <c r="N36" s="110">
        <f>VLOOKUP($K36,[1]Inflation!$AE$10:$AT$55,COLUMN(M:M),FALSE)</f>
        <v>1.7453816318137135E-2</v>
      </c>
      <c r="O36" s="110">
        <f>VLOOKUP($K36,[1]Inflation!$AE$10:$AT$55,COLUMN(N:N),FALSE)</f>
        <v>1.6326943790358473E-2</v>
      </c>
      <c r="P36" s="110">
        <f>VLOOKUP($K36,[1]Inflation!$AE$10:$AT$55,COLUMN(O:O),FALSE)</f>
        <v>1.5568101836436039E-2</v>
      </c>
      <c r="Q36" s="111">
        <f>VLOOKUP($K36,[1]Inflation!$AE$10:$AT$55,COLUMN(P:P),FALSE)</f>
        <v>1.4891793504743865E-2</v>
      </c>
      <c r="U36" s="62"/>
      <c r="V36" s="103" t="s">
        <v>134</v>
      </c>
      <c r="W36" s="112">
        <f>VLOOKUP($K36,[1]Inflation!$AE$10:$AZ$55,COLUMN(Q:Q),FALSE)</f>
        <v>0</v>
      </c>
      <c r="X36" s="110">
        <f>VLOOKUP($K36,[1]Inflation!$AE$10:$AZ$55,COLUMN(R:R),FALSE)</f>
        <v>0</v>
      </c>
      <c r="Y36" s="110">
        <f>VLOOKUP($K36,[1]Inflation!$AE$10:$AZ$55,COLUMN(S:S),FALSE)</f>
        <v>0</v>
      </c>
      <c r="Z36" s="110">
        <f>VLOOKUP($K36,[1]Inflation!$AE$10:$AZ$55,COLUMN(T:T),FALSE)</f>
        <v>0</v>
      </c>
      <c r="AA36" s="110">
        <f>VLOOKUP($K36,[1]Inflation!$AE$10:$AZ$55,COLUMN(U:U),FALSE)</f>
        <v>0</v>
      </c>
      <c r="AB36" s="111">
        <f>VLOOKUP($K36,[1]Inflation!$AE$10:$AZ$55,COLUMN(V:V),FALSE)</f>
        <v>0</v>
      </c>
      <c r="AC36" s="62"/>
      <c r="AD36" s="95"/>
      <c r="AE36" s="95"/>
      <c r="AF36" s="95"/>
      <c r="AG36" s="95"/>
      <c r="AH36" s="95"/>
      <c r="AI36" s="95"/>
    </row>
    <row r="37" spans="1:35" ht="14.25" x14ac:dyDescent="0.3">
      <c r="B37" s="107" t="s">
        <v>135</v>
      </c>
      <c r="C37" s="97">
        <f>IF($H$2=1,VLOOKUP($B37,'[38]Rebate Discount Rates'!$A$5:$I$50,COLUMN(D:D),FALSE),VLOOKUP($B37,'[39]Rebate Discount Rates'!$A$5:$I$50,COLUMN(D:D),FALSE))</f>
        <v>9.2964380447365491E-2</v>
      </c>
      <c r="D37" s="97">
        <f>IF($H$2=1,VLOOKUP($B37,'[38]Rebate Discount Rates'!$A$5:$I$50,COLUMN(E:E),FALSE),VLOOKUP($B37,'[39]Rebate Discount Rates'!$A$5:$I$50,COLUMN(E:E),FALSE))</f>
        <v>8.9111024514261047E-2</v>
      </c>
      <c r="E37" s="97">
        <f>IF($H$2=1,VLOOKUP($B37,'[38]Rebate Discount Rates'!$A$5:$I$50,COLUMN(F:F),FALSE),VLOOKUP($B37,'[39]Rebate Discount Rates'!$A$5:$I$50,COLUMN(F:F),FALSE))</f>
        <v>8.9111024514261047E-2</v>
      </c>
      <c r="F37" s="97">
        <f>IF($H$2=1,VLOOKUP($B37,'[38]Rebate Discount Rates'!$A$5:$I$50,COLUMN(G:G),FALSE),VLOOKUP($B37,'[39]Rebate Discount Rates'!$A$5:$I$50,COLUMN(G:G),FALSE))</f>
        <v>8.9111024514261047E-2</v>
      </c>
      <c r="G37" s="97">
        <f>IF($H$2=1,VLOOKUP($B37,'[38]Rebate Discount Rates'!$A$5:$I$50,COLUMN(H:H),FALSE),VLOOKUP($B37,'[39]Rebate Discount Rates'!$A$5:$I$50,COLUMN(H:H),FALSE))</f>
        <v>8.9111024514261047E-2</v>
      </c>
      <c r="H37" s="98">
        <f>IF($H$2=1,VLOOKUP($B37,'[38]Rebate Discount Rates'!$A$5:$I$50,COLUMN(I:I),FALSE),VLOOKUP($B37,'[39]Rebate Discount Rates'!$A$5:$I$50,COLUMN(I:I),FALSE))</f>
        <v>8.9111024514261047E-2</v>
      </c>
      <c r="K37" s="99" t="s">
        <v>135</v>
      </c>
      <c r="L37" s="109">
        <f>VLOOKUP($K37,[1]Inflation!$AE$10:$AT$55,COLUMN(K:K),FALSE)</f>
        <v>4.5102657869899025E-2</v>
      </c>
      <c r="M37" s="110">
        <f>VLOOKUP($K37,[1]Inflation!$AE$10:$AT$55,COLUMN(L:L),FALSE)</f>
        <v>4.2744363284226899E-2</v>
      </c>
      <c r="N37" s="110">
        <f>VLOOKUP($K37,[1]Inflation!$AE$10:$AT$55,COLUMN(M:M),FALSE)</f>
        <v>3.7899855766861945E-2</v>
      </c>
      <c r="O37" s="110">
        <f>VLOOKUP($K37,[1]Inflation!$AE$10:$AT$55,COLUMN(N:N),FALSE)</f>
        <v>3.5085819722962423E-2</v>
      </c>
      <c r="P37" s="110">
        <f>VLOOKUP($K37,[1]Inflation!$AE$10:$AT$55,COLUMN(O:O),FALSE)</f>
        <v>3.3071925366213069E-2</v>
      </c>
      <c r="Q37" s="111">
        <f>VLOOKUP($K37,[1]Inflation!$AE$10:$AT$55,COLUMN(P:P),FALSE)</f>
        <v>3.1205305698612011E-2</v>
      </c>
      <c r="V37" s="103" t="s">
        <v>135</v>
      </c>
      <c r="W37" s="112">
        <f>VLOOKUP($K37,[1]Inflation!$AE$10:$AZ$55,COLUMN(Q:Q),FALSE)</f>
        <v>0.125234426952371</v>
      </c>
      <c r="X37" s="110">
        <f>VLOOKUP($K37,[1]Inflation!$AE$10:$AZ$55,COLUMN(R:R),FALSE)</f>
        <v>0.13129647748737808</v>
      </c>
      <c r="Y37" s="110">
        <f>VLOOKUP($K37,[1]Inflation!$AE$10:$AZ$55,COLUMN(S:S),FALSE)</f>
        <v>0.1313298775080973</v>
      </c>
      <c r="Z37" s="110">
        <f>VLOOKUP($K37,[1]Inflation!$AE$10:$AZ$55,COLUMN(T:T),FALSE)</f>
        <v>0.13129429975813653</v>
      </c>
      <c r="AA37" s="110">
        <f>VLOOKUP($K37,[1]Inflation!$AE$10:$AZ$55,COLUMN(U:U),FALSE)</f>
        <v>0.13157476182658701</v>
      </c>
      <c r="AB37" s="111">
        <f>VLOOKUP($K37,[1]Inflation!$AE$10:$AZ$55,COLUMN(V:V),FALSE)</f>
        <v>0.13157476182658703</v>
      </c>
      <c r="AD37" s="95"/>
      <c r="AE37" s="95"/>
      <c r="AF37" s="95"/>
      <c r="AG37" s="95"/>
      <c r="AH37" s="95"/>
      <c r="AI37" s="95"/>
    </row>
    <row r="38" spans="1:35" ht="14.25" x14ac:dyDescent="0.3">
      <c r="B38" s="107" t="s">
        <v>136</v>
      </c>
      <c r="C38" s="97">
        <f>IF($H$2=1,VLOOKUP($B38,'[38]Rebate Discount Rates'!$A$5:$I$50,COLUMN(D:D),FALSE),VLOOKUP($B38,'[39]Rebate Discount Rates'!$A$5:$I$50,COLUMN(D:D),FALSE))</f>
        <v>0.42902724003184095</v>
      </c>
      <c r="D38" s="97">
        <f>IF($H$2=1,VLOOKUP($B38,'[38]Rebate Discount Rates'!$A$5:$I$50,COLUMN(E:E),FALSE),VLOOKUP($B38,'[39]Rebate Discount Rates'!$A$5:$I$50,COLUMN(E:E),FALSE))</f>
        <v>0.44095727070543356</v>
      </c>
      <c r="E38" s="97">
        <f>IF($H$2=1,VLOOKUP($B38,'[38]Rebate Discount Rates'!$A$5:$I$50,COLUMN(F:F),FALSE),VLOOKUP($B38,'[39]Rebate Discount Rates'!$A$5:$I$50,COLUMN(F:F),FALSE))</f>
        <v>0.44095727070543356</v>
      </c>
      <c r="F38" s="97">
        <f>IF($H$2=1,VLOOKUP($B38,'[38]Rebate Discount Rates'!$A$5:$I$50,COLUMN(G:G),FALSE),VLOOKUP($B38,'[39]Rebate Discount Rates'!$A$5:$I$50,COLUMN(G:G),FALSE))</f>
        <v>0.44095727070543356</v>
      </c>
      <c r="G38" s="97">
        <f>IF($H$2=1,VLOOKUP($B38,'[38]Rebate Discount Rates'!$A$5:$I$50,COLUMN(H:H),FALSE),VLOOKUP($B38,'[39]Rebate Discount Rates'!$A$5:$I$50,COLUMN(H:H),FALSE))</f>
        <v>0.44095727070543356</v>
      </c>
      <c r="H38" s="98">
        <f>IF($H$2=1,VLOOKUP($B38,'[38]Rebate Discount Rates'!$A$5:$I$50,COLUMN(I:I),FALSE),VLOOKUP($B38,'[39]Rebate Discount Rates'!$A$5:$I$50,COLUMN(I:I),FALSE))</f>
        <v>0.44095727070543356</v>
      </c>
      <c r="K38" s="99" t="s">
        <v>136</v>
      </c>
      <c r="L38" s="109">
        <f>VLOOKUP($K38,[1]Inflation!$AE$10:$AT$55,COLUMN(K:K),FALSE)</f>
        <v>5.962920612486388E-2</v>
      </c>
      <c r="M38" s="110">
        <f>VLOOKUP($K38,[1]Inflation!$AE$10:$AT$55,COLUMN(L:L),FALSE)</f>
        <v>6.1730630475402816E-2</v>
      </c>
      <c r="N38" s="110">
        <f>VLOOKUP($K38,[1]Inflation!$AE$10:$AT$55,COLUMN(M:M),FALSE)</f>
        <v>5.6940015822663725E-2</v>
      </c>
      <c r="O38" s="110">
        <f>VLOOKUP($K38,[1]Inflation!$AE$10:$AT$55,COLUMN(N:N),FALSE)</f>
        <v>5.6178578904173673E-2</v>
      </c>
      <c r="P38" s="110">
        <f>VLOOKUP($K38,[1]Inflation!$AE$10:$AT$55,COLUMN(O:O),FALSE)</f>
        <v>5.8498252607789826E-2</v>
      </c>
      <c r="Q38" s="111">
        <f>VLOOKUP($K38,[1]Inflation!$AE$10:$AT$55,COLUMN(P:P),FALSE)</f>
        <v>6.0511735569107432E-2</v>
      </c>
      <c r="V38" s="103" t="s">
        <v>136</v>
      </c>
      <c r="W38" s="112">
        <f>VLOOKUP($K38,[1]Inflation!$AE$10:$AZ$55,COLUMN(Q:Q),FALSE)</f>
        <v>0.14669523250247499</v>
      </c>
      <c r="X38" s="110">
        <f>VLOOKUP($K38,[1]Inflation!$AE$10:$AZ$55,COLUMN(R:R),FALSE)</f>
        <v>0.17219897063397011</v>
      </c>
      <c r="Y38" s="110">
        <f>VLOOKUP($K38,[1]Inflation!$AE$10:$AZ$55,COLUMN(S:S),FALSE)</f>
        <v>0.16860899717326105</v>
      </c>
      <c r="Z38" s="110">
        <f>VLOOKUP($K38,[1]Inflation!$AE$10:$AZ$55,COLUMN(T:T),FALSE)</f>
        <v>0.16312321329940194</v>
      </c>
      <c r="AA38" s="110">
        <f>VLOOKUP($K38,[1]Inflation!$AE$10:$AZ$55,COLUMN(U:U),FALSE)</f>
        <v>0.15802423811659844</v>
      </c>
      <c r="AB38" s="111">
        <f>VLOOKUP($K38,[1]Inflation!$AE$10:$AZ$55,COLUMN(V:V),FALSE)</f>
        <v>6.4812073615036866E-2</v>
      </c>
      <c r="AD38" s="95"/>
      <c r="AE38" s="95"/>
      <c r="AF38" s="95"/>
      <c r="AG38" s="95"/>
      <c r="AH38" s="95"/>
      <c r="AI38" s="95"/>
    </row>
    <row r="39" spans="1:35" ht="14.25" x14ac:dyDescent="0.3">
      <c r="B39" s="107" t="s">
        <v>137</v>
      </c>
      <c r="C39" s="97">
        <f>IF($H$2=1,VLOOKUP($B39,'[38]Rebate Discount Rates'!$A$5:$I$50,COLUMN(D:D),FALSE),VLOOKUP($B39,'[39]Rebate Discount Rates'!$A$5:$I$50,COLUMN(D:D),FALSE))</f>
        <v>0</v>
      </c>
      <c r="D39" s="97">
        <f>IF($H$2=1,VLOOKUP($B39,'[38]Rebate Discount Rates'!$A$5:$I$50,COLUMN(E:E),FALSE),VLOOKUP($B39,'[39]Rebate Discount Rates'!$A$5:$I$50,COLUMN(E:E),FALSE))</f>
        <v>0</v>
      </c>
      <c r="E39" s="97">
        <f>IF($H$2=1,VLOOKUP($B39,'[38]Rebate Discount Rates'!$A$5:$I$50,COLUMN(F:F),FALSE),VLOOKUP($B39,'[39]Rebate Discount Rates'!$A$5:$I$50,COLUMN(F:F),FALSE))</f>
        <v>0</v>
      </c>
      <c r="F39" s="97">
        <f>IF($H$2=1,VLOOKUP($B39,'[38]Rebate Discount Rates'!$A$5:$I$50,COLUMN(G:G),FALSE),VLOOKUP($B39,'[39]Rebate Discount Rates'!$A$5:$I$50,COLUMN(G:G),FALSE))</f>
        <v>0</v>
      </c>
      <c r="G39" s="97">
        <f>IF($H$2=1,VLOOKUP($B39,'[38]Rebate Discount Rates'!$A$5:$I$50,COLUMN(H:H),FALSE),VLOOKUP($B39,'[39]Rebate Discount Rates'!$A$5:$I$50,COLUMN(H:H),FALSE))</f>
        <v>0</v>
      </c>
      <c r="H39" s="98">
        <f>IF($H$2=1,VLOOKUP($B39,'[38]Rebate Discount Rates'!$A$5:$I$50,COLUMN(I:I),FALSE),VLOOKUP($B39,'[39]Rebate Discount Rates'!$A$5:$I$50,COLUMN(I:I),FALSE))</f>
        <v>0</v>
      </c>
      <c r="K39" s="99" t="s">
        <v>137</v>
      </c>
      <c r="L39" s="109">
        <f>VLOOKUP($K39,[1]Inflation!$AE$10:$AT$55,COLUMN(K:K),FALSE)</f>
        <v>2.0673561753620732E-2</v>
      </c>
      <c r="M39" s="110">
        <f>VLOOKUP($K39,[1]Inflation!$AE$10:$AT$55,COLUMN(L:L),FALSE)</f>
        <v>2.0339474038995872E-2</v>
      </c>
      <c r="N39" s="110">
        <f>VLOOKUP($K39,[1]Inflation!$AE$10:$AT$55,COLUMN(M:M),FALSE)</f>
        <v>1.8972305245882472E-2</v>
      </c>
      <c r="O39" s="110">
        <f>VLOOKUP($K39,[1]Inflation!$AE$10:$AT$55,COLUMN(N:N),FALSE)</f>
        <v>1.745865310436517E-2</v>
      </c>
      <c r="P39" s="110">
        <f>VLOOKUP($K39,[1]Inflation!$AE$10:$AT$55,COLUMN(O:O),FALSE)</f>
        <v>1.6390086151565314E-2</v>
      </c>
      <c r="Q39" s="111">
        <f>VLOOKUP($K39,[1]Inflation!$AE$10:$AT$55,COLUMN(P:P),FALSE)</f>
        <v>1.5455466439657093E-2</v>
      </c>
      <c r="V39" s="103" t="s">
        <v>137</v>
      </c>
      <c r="W39" s="112">
        <f>VLOOKUP($K39,[1]Inflation!$AE$10:$AZ$55,COLUMN(Q:Q),FALSE)</f>
        <v>4.2746773828520476E-2</v>
      </c>
      <c r="X39" s="110">
        <f>VLOOKUP($K39,[1]Inflation!$AE$10:$AZ$55,COLUMN(R:R),FALSE)</f>
        <v>4.1873984732721206E-2</v>
      </c>
      <c r="Y39" s="110">
        <f>VLOOKUP($K39,[1]Inflation!$AE$10:$AZ$55,COLUMN(S:S),FALSE)</f>
        <v>8.7168769772582519E-3</v>
      </c>
      <c r="Z39" s="110">
        <f>VLOOKUP($K39,[1]Inflation!$AE$10:$AZ$55,COLUMN(T:T),FALSE)</f>
        <v>0</v>
      </c>
      <c r="AA39" s="110">
        <f>VLOOKUP($K39,[1]Inflation!$AE$10:$AZ$55,COLUMN(U:U),FALSE)</f>
        <v>0</v>
      </c>
      <c r="AB39" s="111">
        <f>VLOOKUP($K39,[1]Inflation!$AE$10:$AZ$55,COLUMN(V:V),FALSE)</f>
        <v>0</v>
      </c>
      <c r="AD39" s="95"/>
      <c r="AE39" s="95"/>
      <c r="AF39" s="95"/>
      <c r="AG39" s="95"/>
      <c r="AH39" s="95"/>
      <c r="AI39" s="95"/>
    </row>
    <row r="40" spans="1:35" ht="14.25" x14ac:dyDescent="0.3">
      <c r="B40" s="107" t="s">
        <v>138</v>
      </c>
      <c r="C40" s="97">
        <f>IF($H$2=1,VLOOKUP($B40,'[38]Rebate Discount Rates'!$A$5:$I$50,COLUMN(D:D),FALSE),VLOOKUP($B40,'[39]Rebate Discount Rates'!$A$5:$I$50,COLUMN(D:D),FALSE))</f>
        <v>0.1920927422734505</v>
      </c>
      <c r="D40" s="97">
        <f>IF($H$2=1,VLOOKUP($B40,'[38]Rebate Discount Rates'!$A$5:$I$50,COLUMN(E:E),FALSE),VLOOKUP($B40,'[39]Rebate Discount Rates'!$A$5:$I$50,COLUMN(E:E),FALSE))</f>
        <v>0.27084186366596263</v>
      </c>
      <c r="E40" s="97">
        <f>IF($H$2=1,VLOOKUP($B40,'[38]Rebate Discount Rates'!$A$5:$I$50,COLUMN(F:F),FALSE),VLOOKUP($B40,'[39]Rebate Discount Rates'!$A$5:$I$50,COLUMN(F:F),FALSE))</f>
        <v>0.27084186366596263</v>
      </c>
      <c r="F40" s="97">
        <f>IF($H$2=1,VLOOKUP($B40,'[38]Rebate Discount Rates'!$A$5:$I$50,COLUMN(G:G),FALSE),VLOOKUP($B40,'[39]Rebate Discount Rates'!$A$5:$I$50,COLUMN(G:G),FALSE))</f>
        <v>0.27084186366596263</v>
      </c>
      <c r="G40" s="97">
        <f>IF($H$2=1,VLOOKUP($B40,'[38]Rebate Discount Rates'!$A$5:$I$50,COLUMN(H:H),FALSE),VLOOKUP($B40,'[39]Rebate Discount Rates'!$A$5:$I$50,COLUMN(H:H),FALSE))</f>
        <v>0.27084186366596263</v>
      </c>
      <c r="H40" s="98">
        <f>IF($H$2=1,VLOOKUP($B40,'[38]Rebate Discount Rates'!$A$5:$I$50,COLUMN(I:I),FALSE),VLOOKUP($B40,'[39]Rebate Discount Rates'!$A$5:$I$50,COLUMN(I:I),FALSE))</f>
        <v>0.27084186366596263</v>
      </c>
      <c r="K40" s="99" t="s">
        <v>138</v>
      </c>
      <c r="L40" s="109">
        <f>VLOOKUP($K40,[1]Inflation!$AE$10:$AT$55,COLUMN(K:K),FALSE)</f>
        <v>7.4446547441497479E-2</v>
      </c>
      <c r="M40" s="110">
        <f>VLOOKUP($K40,[1]Inflation!$AE$10:$AT$55,COLUMN(L:L),FALSE)</f>
        <v>6.8143516599179818E-2</v>
      </c>
      <c r="N40" s="110">
        <f>VLOOKUP($K40,[1]Inflation!$AE$10:$AT$55,COLUMN(M:M),FALSE)</f>
        <v>5.9580255855114818E-2</v>
      </c>
      <c r="O40" s="110">
        <f>VLOOKUP($K40,[1]Inflation!$AE$10:$AT$55,COLUMN(N:N),FALSE)</f>
        <v>5.2527668287759441E-2</v>
      </c>
      <c r="P40" s="110">
        <f>VLOOKUP($K40,[1]Inflation!$AE$10:$AT$55,COLUMN(O:O),FALSE)</f>
        <v>4.5817495850633966E-2</v>
      </c>
      <c r="Q40" s="111">
        <f>VLOOKUP($K40,[1]Inflation!$AE$10:$AT$55,COLUMN(P:P),FALSE)</f>
        <v>4.0184263216611067E-2</v>
      </c>
      <c r="V40" s="103" t="s">
        <v>138</v>
      </c>
      <c r="W40" s="112">
        <f>VLOOKUP($K40,[1]Inflation!$AE$10:$AZ$55,COLUMN(Q:Q),FALSE)</f>
        <v>4.7471675275057044E-2</v>
      </c>
      <c r="X40" s="110">
        <f>VLOOKUP($K40,[1]Inflation!$AE$10:$AZ$55,COLUMN(R:R),FALSE)</f>
        <v>4.4958347687054132E-2</v>
      </c>
      <c r="Y40" s="110">
        <f>VLOOKUP($K40,[1]Inflation!$AE$10:$AZ$55,COLUMN(S:S),FALSE)</f>
        <v>3.9679836318397145E-2</v>
      </c>
      <c r="Z40" s="110">
        <f>VLOOKUP($K40,[1]Inflation!$AE$10:$AZ$55,COLUMN(T:T),FALSE)</f>
        <v>3.7189994274830815E-2</v>
      </c>
      <c r="AA40" s="110">
        <f>VLOOKUP($K40,[1]Inflation!$AE$10:$AZ$55,COLUMN(U:U),FALSE)</f>
        <v>3.607180393547408E-2</v>
      </c>
      <c r="AB40" s="111">
        <f>VLOOKUP($K40,[1]Inflation!$AE$10:$AZ$55,COLUMN(V:V),FALSE)</f>
        <v>3.5265548032271513E-2</v>
      </c>
      <c r="AD40" s="95"/>
      <c r="AE40" s="95"/>
      <c r="AF40" s="95"/>
      <c r="AG40" s="95"/>
      <c r="AH40" s="95"/>
      <c r="AI40" s="95"/>
    </row>
    <row r="41" spans="1:35" ht="14.25" x14ac:dyDescent="0.3">
      <c r="B41" s="107" t="s">
        <v>139</v>
      </c>
      <c r="C41" s="97">
        <f>IF($H$2=1,VLOOKUP($B41,'[38]Rebate Discount Rates'!$A$5:$I$50,COLUMN(D:D),FALSE),VLOOKUP($B41,'[39]Rebate Discount Rates'!$A$5:$I$50,COLUMN(D:D),FALSE))</f>
        <v>0.11507451521751969</v>
      </c>
      <c r="D41" s="97">
        <f>IF($H$2=1,VLOOKUP($B41,'[38]Rebate Discount Rates'!$A$5:$I$50,COLUMN(E:E),FALSE),VLOOKUP($B41,'[39]Rebate Discount Rates'!$A$5:$I$50,COLUMN(E:E),FALSE))</f>
        <v>0.10321595495223604</v>
      </c>
      <c r="E41" s="97">
        <f>IF($H$2=1,VLOOKUP($B41,'[38]Rebate Discount Rates'!$A$5:$I$50,COLUMN(F:F),FALSE),VLOOKUP($B41,'[39]Rebate Discount Rates'!$A$5:$I$50,COLUMN(F:F),FALSE))</f>
        <v>0.10321595495223604</v>
      </c>
      <c r="F41" s="97">
        <f>IF($H$2=1,VLOOKUP($B41,'[38]Rebate Discount Rates'!$A$5:$I$50,COLUMN(G:G),FALSE),VLOOKUP($B41,'[39]Rebate Discount Rates'!$A$5:$I$50,COLUMN(G:G),FALSE))</f>
        <v>0.10321595495223604</v>
      </c>
      <c r="G41" s="97">
        <f>IF($H$2=1,VLOOKUP($B41,'[38]Rebate Discount Rates'!$A$5:$I$50,COLUMN(H:H),FALSE),VLOOKUP($B41,'[39]Rebate Discount Rates'!$A$5:$I$50,COLUMN(H:H),FALSE))</f>
        <v>0.10321595495223604</v>
      </c>
      <c r="H41" s="98">
        <f>IF($H$2=1,VLOOKUP($B41,'[38]Rebate Discount Rates'!$A$5:$I$50,COLUMN(I:I),FALSE),VLOOKUP($B41,'[39]Rebate Discount Rates'!$A$5:$I$50,COLUMN(I:I),FALSE))</f>
        <v>0.10321595495223604</v>
      </c>
      <c r="K41" s="99" t="s">
        <v>139</v>
      </c>
      <c r="L41" s="109">
        <f>VLOOKUP($K41,[1]Inflation!$AE$10:$AT$55,COLUMN(K:K),FALSE)</f>
        <v>6.0508292854142449E-3</v>
      </c>
      <c r="M41" s="110">
        <f>VLOOKUP($K41,[1]Inflation!$AE$10:$AT$55,COLUMN(L:L),FALSE)</f>
        <v>6.3999996266666873E-3</v>
      </c>
      <c r="N41" s="110">
        <f>VLOOKUP($K41,[1]Inflation!$AE$10:$AT$55,COLUMN(M:M),FALSE)</f>
        <v>6.3999999999999994E-3</v>
      </c>
      <c r="O41" s="110">
        <f>VLOOKUP($K41,[1]Inflation!$AE$10:$AT$55,COLUMN(N:N),FALSE)</f>
        <v>6.3999999999999994E-3</v>
      </c>
      <c r="P41" s="110">
        <f>VLOOKUP($K41,[1]Inflation!$AE$10:$AT$55,COLUMN(O:O),FALSE)</f>
        <v>6.4000000000000012E-3</v>
      </c>
      <c r="Q41" s="111">
        <f>VLOOKUP($K41,[1]Inflation!$AE$10:$AT$55,COLUMN(P:P),FALSE)</f>
        <v>6.4000000000000012E-3</v>
      </c>
      <c r="V41" s="103" t="s">
        <v>139</v>
      </c>
      <c r="W41" s="112">
        <f>VLOOKUP($K41,[1]Inflation!$AE$10:$AZ$55,COLUMN(Q:Q),FALSE)</f>
        <v>2.9489328180026631E-2</v>
      </c>
      <c r="X41" s="110">
        <f>VLOOKUP($K41,[1]Inflation!$AE$10:$AZ$55,COLUMN(R:R),FALSE)</f>
        <v>2.8977153753205968E-2</v>
      </c>
      <c r="Y41" s="110">
        <f>VLOOKUP($K41,[1]Inflation!$AE$10:$AZ$55,COLUMN(S:S),FALSE)</f>
        <v>2.8922061137179447E-2</v>
      </c>
      <c r="Z41" s="110">
        <f>VLOOKUP($K41,[1]Inflation!$AE$10:$AZ$55,COLUMN(T:T),FALSE)</f>
        <v>2.8922061137179447E-2</v>
      </c>
      <c r="AA41" s="110">
        <f>VLOOKUP($K41,[1]Inflation!$AE$10:$AZ$55,COLUMN(U:U),FALSE)</f>
        <v>1.5725854911848552E-2</v>
      </c>
      <c r="AB41" s="111">
        <f>VLOOKUP($K41,[1]Inflation!$AE$10:$AZ$55,COLUMN(V:V),FALSE)</f>
        <v>1.5725854911848552E-2</v>
      </c>
      <c r="AD41" s="95"/>
      <c r="AE41" s="95"/>
      <c r="AF41" s="95"/>
      <c r="AG41" s="95"/>
      <c r="AH41" s="95"/>
      <c r="AI41" s="95"/>
    </row>
    <row r="42" spans="1:35" ht="14.25" x14ac:dyDescent="0.3">
      <c r="B42" s="107" t="s">
        <v>140</v>
      </c>
      <c r="C42" s="97">
        <f>IF($H$2=1,VLOOKUP($B42,'[38]Rebate Discount Rates'!$A$5:$I$50,COLUMN(D:D),FALSE),VLOOKUP($B42,'[39]Rebate Discount Rates'!$A$5:$I$50,COLUMN(D:D),FALSE))</f>
        <v>0</v>
      </c>
      <c r="D42" s="97">
        <f>IF($H$2=1,VLOOKUP($B42,'[38]Rebate Discount Rates'!$A$5:$I$50,COLUMN(E:E),FALSE),VLOOKUP($B42,'[39]Rebate Discount Rates'!$A$5:$I$50,COLUMN(E:E),FALSE))</f>
        <v>0</v>
      </c>
      <c r="E42" s="97">
        <f>IF($H$2=1,VLOOKUP($B42,'[38]Rebate Discount Rates'!$A$5:$I$50,COLUMN(F:F),FALSE),VLOOKUP($B42,'[39]Rebate Discount Rates'!$A$5:$I$50,COLUMN(F:F),FALSE))</f>
        <v>0</v>
      </c>
      <c r="F42" s="97">
        <f>IF($H$2=1,VLOOKUP($B42,'[38]Rebate Discount Rates'!$A$5:$I$50,COLUMN(G:G),FALSE),VLOOKUP($B42,'[39]Rebate Discount Rates'!$A$5:$I$50,COLUMN(G:G),FALSE))</f>
        <v>0</v>
      </c>
      <c r="G42" s="97">
        <f>IF($H$2=1,VLOOKUP($B42,'[38]Rebate Discount Rates'!$A$5:$I$50,COLUMN(H:H),FALSE),VLOOKUP($B42,'[39]Rebate Discount Rates'!$A$5:$I$50,COLUMN(H:H),FALSE))</f>
        <v>0</v>
      </c>
      <c r="H42" s="98">
        <f>IF($H$2=1,VLOOKUP($B42,'[38]Rebate Discount Rates'!$A$5:$I$50,COLUMN(I:I),FALSE),VLOOKUP($B42,'[39]Rebate Discount Rates'!$A$5:$I$50,COLUMN(I:I),FALSE))</f>
        <v>0</v>
      </c>
      <c r="K42" s="99" t="s">
        <v>140</v>
      </c>
      <c r="L42" s="109">
        <f>VLOOKUP($K42,[1]Inflation!$AE$10:$AT$55,COLUMN(K:K),FALSE)</f>
        <v>2.1523532401417363E-2</v>
      </c>
      <c r="M42" s="110">
        <f>VLOOKUP($K42,[1]Inflation!$AE$10:$AT$55,COLUMN(L:L),FALSE)</f>
        <v>3.6000001561389654E-2</v>
      </c>
      <c r="N42" s="110">
        <f>VLOOKUP($K42,[1]Inflation!$AE$10:$AT$55,COLUMN(M:M),FALSE)</f>
        <v>3.5999999999999997E-2</v>
      </c>
      <c r="O42" s="110">
        <f>VLOOKUP($K42,[1]Inflation!$AE$10:$AT$55,COLUMN(N:N),FALSE)</f>
        <v>3.5999999999999997E-2</v>
      </c>
      <c r="P42" s="110">
        <f>VLOOKUP($K42,[1]Inflation!$AE$10:$AT$55,COLUMN(O:O),FALSE)</f>
        <v>3.5999999999999997E-2</v>
      </c>
      <c r="Q42" s="111">
        <f>VLOOKUP($K42,[1]Inflation!$AE$10:$AT$55,COLUMN(P:P),FALSE)</f>
        <v>3.5999999999999997E-2</v>
      </c>
      <c r="V42" s="103" t="s">
        <v>140</v>
      </c>
      <c r="W42" s="112">
        <f>VLOOKUP($K42,[1]Inflation!$AE$10:$AZ$55,COLUMN(Q:Q),FALSE)</f>
        <v>3.9677247163679791E-2</v>
      </c>
      <c r="X42" s="110">
        <f>VLOOKUP($K42,[1]Inflation!$AE$10:$AZ$55,COLUMN(R:R),FALSE)</f>
        <v>4.378400189899679E-2</v>
      </c>
      <c r="Y42" s="110">
        <f>VLOOKUP($K42,[1]Inflation!$AE$10:$AZ$55,COLUMN(S:S),FALSE)</f>
        <v>4.3784000000000003E-2</v>
      </c>
      <c r="Z42" s="110">
        <f>VLOOKUP($K42,[1]Inflation!$AE$10:$AZ$55,COLUMN(T:T),FALSE)</f>
        <v>2.9882339325974554E-2</v>
      </c>
      <c r="AA42" s="110">
        <f>VLOOKUP($K42,[1]Inflation!$AE$10:$AZ$55,COLUMN(U:U),FALSE)</f>
        <v>0</v>
      </c>
      <c r="AB42" s="111">
        <f>VLOOKUP($K42,[1]Inflation!$AE$10:$AZ$55,COLUMN(V:V),FALSE)</f>
        <v>0</v>
      </c>
      <c r="AD42" s="95"/>
      <c r="AE42" s="95"/>
      <c r="AF42" s="95"/>
      <c r="AG42" s="95"/>
      <c r="AH42" s="95"/>
      <c r="AI42" s="95"/>
    </row>
    <row r="43" spans="1:35" ht="14.25" x14ac:dyDescent="0.3">
      <c r="B43" s="107" t="s">
        <v>141</v>
      </c>
      <c r="C43" s="97">
        <f>IF($H$2=1,VLOOKUP($B43,'[38]Rebate Discount Rates'!$A$5:$I$50,COLUMN(D:D),FALSE),VLOOKUP($B43,'[39]Rebate Discount Rates'!$A$5:$I$50,COLUMN(D:D),FALSE))</f>
        <v>0</v>
      </c>
      <c r="D43" s="97">
        <f>IF($H$2=1,VLOOKUP($B43,'[38]Rebate Discount Rates'!$A$5:$I$50,COLUMN(E:E),FALSE),VLOOKUP($B43,'[39]Rebate Discount Rates'!$A$5:$I$50,COLUMN(E:E),FALSE))</f>
        <v>0</v>
      </c>
      <c r="E43" s="97">
        <f>IF($H$2=1,VLOOKUP($B43,'[38]Rebate Discount Rates'!$A$5:$I$50,COLUMN(F:F),FALSE),VLOOKUP($B43,'[39]Rebate Discount Rates'!$A$5:$I$50,COLUMN(F:F),FALSE))</f>
        <v>0</v>
      </c>
      <c r="F43" s="97">
        <f>IF($H$2=1,VLOOKUP($B43,'[38]Rebate Discount Rates'!$A$5:$I$50,COLUMN(G:G),FALSE),VLOOKUP($B43,'[39]Rebate Discount Rates'!$A$5:$I$50,COLUMN(G:G),FALSE))</f>
        <v>0</v>
      </c>
      <c r="G43" s="97">
        <f>IF($H$2=1,VLOOKUP($B43,'[38]Rebate Discount Rates'!$A$5:$I$50,COLUMN(H:H),FALSE),VLOOKUP($B43,'[39]Rebate Discount Rates'!$A$5:$I$50,COLUMN(H:H),FALSE))</f>
        <v>0</v>
      </c>
      <c r="H43" s="98">
        <f>IF($H$2=1,VLOOKUP($B43,'[38]Rebate Discount Rates'!$A$5:$I$50,COLUMN(I:I),FALSE),VLOOKUP($B43,'[39]Rebate Discount Rates'!$A$5:$I$50,COLUMN(I:I),FALSE))</f>
        <v>0</v>
      </c>
      <c r="K43" s="99" t="s">
        <v>141</v>
      </c>
      <c r="L43" s="109">
        <f>VLOOKUP($K43,[1]Inflation!$AE$10:$AT$55,COLUMN(K:K),FALSE)</f>
        <v>6.1358618395104161E-2</v>
      </c>
      <c r="M43" s="110">
        <f>VLOOKUP($K43,[1]Inflation!$AE$10:$AT$55,COLUMN(L:L),FALSE)</f>
        <v>3.0000000250000002E-2</v>
      </c>
      <c r="N43" s="110">
        <f>VLOOKUP($K43,[1]Inflation!$AE$10:$AT$55,COLUMN(M:M),FALSE)</f>
        <v>3.0000000000000006E-2</v>
      </c>
      <c r="O43" s="110">
        <f>VLOOKUP($K43,[1]Inflation!$AE$10:$AT$55,COLUMN(N:N),FALSE)</f>
        <v>3.0000000000000006E-2</v>
      </c>
      <c r="P43" s="110">
        <f>VLOOKUP($K43,[1]Inflation!$AE$10:$AT$55,COLUMN(O:O),FALSE)</f>
        <v>3.0000000000000006E-2</v>
      </c>
      <c r="Q43" s="111">
        <f>VLOOKUP($K43,[1]Inflation!$AE$10:$AT$55,COLUMN(P:P),FALSE)</f>
        <v>3.0000000000000006E-2</v>
      </c>
      <c r="V43" s="103" t="s">
        <v>141</v>
      </c>
      <c r="W43" s="112">
        <f>VLOOKUP($K43,[1]Inflation!$AE$10:$AZ$55,COLUMN(Q:Q),FALSE)</f>
        <v>-3.2483357172591026E-3</v>
      </c>
      <c r="X43" s="110">
        <f>VLOOKUP($K43,[1]Inflation!$AE$10:$AZ$55,COLUMN(R:R),FALSE)</f>
        <v>6.5113723997077084E-3</v>
      </c>
      <c r="Y43" s="110">
        <f>VLOOKUP($K43,[1]Inflation!$AE$10:$AZ$55,COLUMN(S:S),FALSE)</f>
        <v>0</v>
      </c>
      <c r="Z43" s="110">
        <f>VLOOKUP($K43,[1]Inflation!$AE$10:$AZ$55,COLUMN(T:T),FALSE)</f>
        <v>0</v>
      </c>
      <c r="AA43" s="110">
        <f>VLOOKUP($K43,[1]Inflation!$AE$10:$AZ$55,COLUMN(U:U),FALSE)</f>
        <v>0</v>
      </c>
      <c r="AB43" s="111">
        <f>VLOOKUP($K43,[1]Inflation!$AE$10:$AZ$55,COLUMN(V:V),FALSE)</f>
        <v>0</v>
      </c>
      <c r="AD43" s="95"/>
      <c r="AE43" s="95"/>
      <c r="AF43" s="95"/>
      <c r="AG43" s="95"/>
      <c r="AH43" s="95"/>
      <c r="AI43" s="95"/>
    </row>
    <row r="44" spans="1:35" ht="14.25" x14ac:dyDescent="0.3">
      <c r="B44" s="107" t="s">
        <v>142</v>
      </c>
      <c r="C44" s="97">
        <f>IF($H$2=1,VLOOKUP($B44,'[38]Rebate Discount Rates'!$A$5:$I$50,COLUMN(D:D),FALSE),VLOOKUP($B44,'[39]Rebate Discount Rates'!$A$5:$I$50,COLUMN(D:D),FALSE))</f>
        <v>0</v>
      </c>
      <c r="D44" s="97">
        <f>IF($H$2=1,VLOOKUP($B44,'[38]Rebate Discount Rates'!$A$5:$I$50,COLUMN(E:E),FALSE),VLOOKUP($B44,'[39]Rebate Discount Rates'!$A$5:$I$50,COLUMN(E:E),FALSE))</f>
        <v>0</v>
      </c>
      <c r="E44" s="97">
        <f>IF($H$2=1,VLOOKUP($B44,'[38]Rebate Discount Rates'!$A$5:$I$50,COLUMN(F:F),FALSE),VLOOKUP($B44,'[39]Rebate Discount Rates'!$A$5:$I$50,COLUMN(F:F),FALSE))</f>
        <v>0</v>
      </c>
      <c r="F44" s="97">
        <f>IF($H$2=1,VLOOKUP($B44,'[38]Rebate Discount Rates'!$A$5:$I$50,COLUMN(G:G),FALSE),VLOOKUP($B44,'[39]Rebate Discount Rates'!$A$5:$I$50,COLUMN(G:G),FALSE))</f>
        <v>0</v>
      </c>
      <c r="G44" s="97">
        <f>IF($H$2=1,VLOOKUP($B44,'[38]Rebate Discount Rates'!$A$5:$I$50,COLUMN(H:H),FALSE),VLOOKUP($B44,'[39]Rebate Discount Rates'!$A$5:$I$50,COLUMN(H:H),FALSE))</f>
        <v>0</v>
      </c>
      <c r="H44" s="98">
        <f>IF($H$2=1,VLOOKUP($B44,'[38]Rebate Discount Rates'!$A$5:$I$50,COLUMN(I:I),FALSE),VLOOKUP($B44,'[39]Rebate Discount Rates'!$A$5:$I$50,COLUMN(I:I),FALSE))</f>
        <v>0</v>
      </c>
      <c r="K44" s="99" t="s">
        <v>142</v>
      </c>
      <c r="L44" s="109">
        <f>VLOOKUP($K44,[1]Inflation!$AE$10:$AT$55,COLUMN(K:K),FALSE)</f>
        <v>0.12151087874363689</v>
      </c>
      <c r="M44" s="110">
        <f>VLOOKUP($K44,[1]Inflation!$AE$10:$AT$55,COLUMN(L:L),FALSE)</f>
        <v>8.1263611729072718E-2</v>
      </c>
      <c r="N44" s="110">
        <f>VLOOKUP($K44,[1]Inflation!$AE$10:$AT$55,COLUMN(M:M),FALSE)</f>
        <v>8.1263611256085097E-2</v>
      </c>
      <c r="O44" s="110">
        <f>VLOOKUP($K44,[1]Inflation!$AE$10:$AT$55,COLUMN(N:N),FALSE)</f>
        <v>8.1263611256085097E-2</v>
      </c>
      <c r="P44" s="110">
        <f>VLOOKUP($K44,[1]Inflation!$AE$10:$AT$55,COLUMN(O:O),FALSE)</f>
        <v>8.1263611256085097E-2</v>
      </c>
      <c r="Q44" s="111">
        <f>VLOOKUP($K44,[1]Inflation!$AE$10:$AT$55,COLUMN(P:P),FALSE)</f>
        <v>8.1263611256085097E-2</v>
      </c>
      <c r="V44" s="103" t="s">
        <v>142</v>
      </c>
      <c r="W44" s="112">
        <f>VLOOKUP($K44,[1]Inflation!$AE$10:$AZ$55,COLUMN(Q:Q),FALSE)</f>
        <v>-2.1149741825080468E-3</v>
      </c>
      <c r="X44" s="110">
        <f>VLOOKUP($K44,[1]Inflation!$AE$10:$AZ$55,COLUMN(R:R),FALSE)</f>
        <v>8.7148594362744681E-3</v>
      </c>
      <c r="Y44" s="110">
        <f>VLOOKUP($K44,[1]Inflation!$AE$10:$AZ$55,COLUMN(S:S),FALSE)</f>
        <v>0</v>
      </c>
      <c r="Z44" s="110">
        <f>VLOOKUP($K44,[1]Inflation!$AE$10:$AZ$55,COLUMN(T:T),FALSE)</f>
        <v>0</v>
      </c>
      <c r="AA44" s="110">
        <f>VLOOKUP($K44,[1]Inflation!$AE$10:$AZ$55,COLUMN(U:U),FALSE)</f>
        <v>0</v>
      </c>
      <c r="AB44" s="111">
        <f>VLOOKUP($K44,[1]Inflation!$AE$10:$AZ$55,COLUMN(V:V),FALSE)</f>
        <v>0</v>
      </c>
      <c r="AD44" s="95"/>
      <c r="AE44" s="95"/>
      <c r="AF44" s="95"/>
      <c r="AG44" s="95"/>
      <c r="AH44" s="95"/>
      <c r="AI44" s="95"/>
    </row>
    <row r="45" spans="1:35" s="123" customFormat="1" ht="14.25" x14ac:dyDescent="0.3">
      <c r="A45" s="62"/>
      <c r="B45" s="107" t="s">
        <v>143</v>
      </c>
      <c r="C45" s="97">
        <f>IF($H$2=1,VLOOKUP($B45,'[38]Rebate Discount Rates'!$A$5:$I$50,COLUMN(D:D),FALSE),VLOOKUP($B45,'[39]Rebate Discount Rates'!$A$5:$I$50,COLUMN(D:D),FALSE))</f>
        <v>0</v>
      </c>
      <c r="D45" s="97">
        <f>IF($H$2=1,VLOOKUP($B45,'[38]Rebate Discount Rates'!$A$5:$I$50,COLUMN(E:E),FALSE),VLOOKUP($B45,'[39]Rebate Discount Rates'!$A$5:$I$50,COLUMN(E:E),FALSE))</f>
        <v>0</v>
      </c>
      <c r="E45" s="97">
        <f>IF($H$2=1,VLOOKUP($B45,'[38]Rebate Discount Rates'!$A$5:$I$50,COLUMN(F:F),FALSE),VLOOKUP($B45,'[39]Rebate Discount Rates'!$A$5:$I$50,COLUMN(F:F),FALSE))</f>
        <v>0</v>
      </c>
      <c r="F45" s="97">
        <f>IF($H$2=1,VLOOKUP($B45,'[38]Rebate Discount Rates'!$A$5:$I$50,COLUMN(G:G),FALSE),VLOOKUP($B45,'[39]Rebate Discount Rates'!$A$5:$I$50,COLUMN(G:G),FALSE))</f>
        <v>0</v>
      </c>
      <c r="G45" s="97">
        <f>IF($H$2=1,VLOOKUP($B45,'[38]Rebate Discount Rates'!$A$5:$I$50,COLUMN(H:H),FALSE),VLOOKUP($B45,'[39]Rebate Discount Rates'!$A$5:$I$50,COLUMN(H:H),FALSE))</f>
        <v>0</v>
      </c>
      <c r="H45" s="98">
        <f>IF($H$2=1,VLOOKUP($B45,'[38]Rebate Discount Rates'!$A$5:$I$50,COLUMN(I:I),FALSE),VLOOKUP($B45,'[39]Rebate Discount Rates'!$A$5:$I$50,COLUMN(I:I),FALSE))</f>
        <v>0</v>
      </c>
      <c r="K45" s="99" t="s">
        <v>143</v>
      </c>
      <c r="L45" s="109">
        <f>VLOOKUP($K45,[1]Inflation!$AE$10:$AT$55,COLUMN(K:K),FALSE)</f>
        <v>0.17164823015787767</v>
      </c>
      <c r="M45" s="110">
        <f>VLOOKUP($K45,[1]Inflation!$AE$10:$AT$55,COLUMN(L:L),FALSE)</f>
        <v>0.2</v>
      </c>
      <c r="N45" s="110">
        <f>VLOOKUP($K45,[1]Inflation!$AE$10:$AT$55,COLUMN(M:M),FALSE)</f>
        <v>0.2</v>
      </c>
      <c r="O45" s="110">
        <f>VLOOKUP($K45,[1]Inflation!$AE$10:$AT$55,COLUMN(N:N),FALSE)</f>
        <v>0.2</v>
      </c>
      <c r="P45" s="110">
        <f>VLOOKUP($K45,[1]Inflation!$AE$10:$AT$55,COLUMN(O:O),FALSE)</f>
        <v>0.2</v>
      </c>
      <c r="Q45" s="111">
        <f>VLOOKUP($K45,[1]Inflation!$AE$10:$AT$55,COLUMN(P:P),FALSE)</f>
        <v>0.2</v>
      </c>
      <c r="U45" s="62"/>
      <c r="V45" s="103" t="s">
        <v>143</v>
      </c>
      <c r="W45" s="112">
        <f>VLOOKUP($K45,[1]Inflation!$AE$10:$AZ$55,COLUMN(Q:Q),FALSE)</f>
        <v>-1.1703090075345678E-3</v>
      </c>
      <c r="X45" s="110">
        <f>VLOOKUP($K45,[1]Inflation!$AE$10:$AZ$55,COLUMN(R:R),FALSE)</f>
        <v>1.3818559405414408E-2</v>
      </c>
      <c r="Y45" s="110">
        <f>VLOOKUP($K45,[1]Inflation!$AE$10:$AZ$55,COLUMN(S:S),FALSE)</f>
        <v>0</v>
      </c>
      <c r="Z45" s="110">
        <f>VLOOKUP($K45,[1]Inflation!$AE$10:$AZ$55,COLUMN(T:T),FALSE)</f>
        <v>0</v>
      </c>
      <c r="AA45" s="110">
        <f>VLOOKUP($K45,[1]Inflation!$AE$10:$AZ$55,COLUMN(U:U),FALSE)</f>
        <v>0</v>
      </c>
      <c r="AB45" s="111">
        <f>VLOOKUP($K45,[1]Inflation!$AE$10:$AZ$55,COLUMN(V:V),FALSE)</f>
        <v>0</v>
      </c>
      <c r="AC45" s="62"/>
      <c r="AD45" s="95"/>
      <c r="AE45" s="95"/>
      <c r="AF45" s="95"/>
      <c r="AG45" s="95"/>
      <c r="AH45" s="95"/>
      <c r="AI45" s="95"/>
    </row>
    <row r="46" spans="1:35" s="123" customFormat="1" ht="14.25" x14ac:dyDescent="0.3">
      <c r="A46" s="62"/>
      <c r="B46" s="107" t="s">
        <v>144</v>
      </c>
      <c r="C46" s="97">
        <f>IF($H$2=1,VLOOKUP($B46,'[38]Rebate Discount Rates'!$A$5:$I$50,COLUMN(D:D),FALSE),VLOOKUP($B46,'[39]Rebate Discount Rates'!$A$5:$I$50,COLUMN(D:D),FALSE))</f>
        <v>0</v>
      </c>
      <c r="D46" s="97">
        <f>IF($H$2=1,VLOOKUP($B46,'[38]Rebate Discount Rates'!$A$5:$I$50,COLUMN(E:E),FALSE),VLOOKUP($B46,'[39]Rebate Discount Rates'!$A$5:$I$50,COLUMN(E:E),FALSE))</f>
        <v>0</v>
      </c>
      <c r="E46" s="97">
        <f>IF($H$2=1,VLOOKUP($B46,'[38]Rebate Discount Rates'!$A$5:$I$50,COLUMN(F:F),FALSE),VLOOKUP($B46,'[39]Rebate Discount Rates'!$A$5:$I$50,COLUMN(F:F),FALSE))</f>
        <v>0</v>
      </c>
      <c r="F46" s="97">
        <f>IF($H$2=1,VLOOKUP($B46,'[38]Rebate Discount Rates'!$A$5:$I$50,COLUMN(G:G),FALSE),VLOOKUP($B46,'[39]Rebate Discount Rates'!$A$5:$I$50,COLUMN(G:G),FALSE))</f>
        <v>0</v>
      </c>
      <c r="G46" s="97">
        <f>IF($H$2=1,VLOOKUP($B46,'[38]Rebate Discount Rates'!$A$5:$I$50,COLUMN(H:H),FALSE),VLOOKUP($B46,'[39]Rebate Discount Rates'!$A$5:$I$50,COLUMN(H:H),FALSE))</f>
        <v>0</v>
      </c>
      <c r="H46" s="98">
        <f>IF($H$2=1,VLOOKUP($B46,'[38]Rebate Discount Rates'!$A$5:$I$50,COLUMN(I:I),FALSE),VLOOKUP($B46,'[39]Rebate Discount Rates'!$A$5:$I$50,COLUMN(I:I),FALSE))</f>
        <v>0</v>
      </c>
      <c r="K46" s="99" t="s">
        <v>144</v>
      </c>
      <c r="L46" s="109">
        <f>VLOOKUP($K46,[1]Inflation!$AE$10:$AT$55,COLUMN(K:K),FALSE)</f>
        <v>1.7577774191351106E-3</v>
      </c>
      <c r="M46" s="110">
        <f>VLOOKUP($K46,[1]Inflation!$AE$10:$AT$55,COLUMN(L:L),FALSE)</f>
        <v>1.9999999520293521E-2</v>
      </c>
      <c r="N46" s="110">
        <f>VLOOKUP($K46,[1]Inflation!$AE$10:$AT$55,COLUMN(M:M),FALSE)</f>
        <v>2.0000000000000004E-2</v>
      </c>
      <c r="O46" s="110">
        <f>VLOOKUP($K46,[1]Inflation!$AE$10:$AT$55,COLUMN(N:N),FALSE)</f>
        <v>0.02</v>
      </c>
      <c r="P46" s="110">
        <f>VLOOKUP($K46,[1]Inflation!$AE$10:$AT$55,COLUMN(O:O),FALSE)</f>
        <v>1.9999999999999993E-2</v>
      </c>
      <c r="Q46" s="111">
        <f>VLOOKUP($K46,[1]Inflation!$AE$10:$AT$55,COLUMN(P:P),FALSE)</f>
        <v>2.0000000000000004E-2</v>
      </c>
      <c r="U46" s="62"/>
      <c r="V46" s="103" t="s">
        <v>144</v>
      </c>
      <c r="W46" s="112">
        <f>VLOOKUP($K46,[1]Inflation!$AE$10:$AZ$55,COLUMN(Q:Q),FALSE)</f>
        <v>0</v>
      </c>
      <c r="X46" s="110">
        <f>VLOOKUP($K46,[1]Inflation!$AE$10:$AZ$55,COLUMN(R:R),FALSE)</f>
        <v>0</v>
      </c>
      <c r="Y46" s="110">
        <f>VLOOKUP($K46,[1]Inflation!$AE$10:$AZ$55,COLUMN(S:S),FALSE)</f>
        <v>0</v>
      </c>
      <c r="Z46" s="110">
        <f>VLOOKUP($K46,[1]Inflation!$AE$10:$AZ$55,COLUMN(T:T),FALSE)</f>
        <v>0</v>
      </c>
      <c r="AA46" s="110">
        <f>VLOOKUP($K46,[1]Inflation!$AE$10:$AZ$55,COLUMN(U:U),FALSE)</f>
        <v>0</v>
      </c>
      <c r="AB46" s="111">
        <f>VLOOKUP($K46,[1]Inflation!$AE$10:$AZ$55,COLUMN(V:V),FALSE)</f>
        <v>0</v>
      </c>
      <c r="AC46" s="62"/>
      <c r="AD46" s="95"/>
      <c r="AE46" s="95"/>
      <c r="AF46" s="95"/>
      <c r="AG46" s="95"/>
      <c r="AH46" s="95"/>
      <c r="AI46" s="95"/>
    </row>
    <row r="47" spans="1:35" s="123" customFormat="1" ht="14.25" x14ac:dyDescent="0.3">
      <c r="A47" s="62"/>
      <c r="B47" s="107" t="s">
        <v>145</v>
      </c>
      <c r="C47" s="97">
        <f>IF($H$2=1,VLOOKUP($B47,'[38]Rebate Discount Rates'!$A$5:$I$50,COLUMN(D:D),FALSE),VLOOKUP($B47,'[39]Rebate Discount Rates'!$A$5:$I$50,COLUMN(D:D),FALSE))</f>
        <v>0</v>
      </c>
      <c r="D47" s="97">
        <f>IF($H$2=1,VLOOKUP($B47,'[38]Rebate Discount Rates'!$A$5:$I$50,COLUMN(E:E),FALSE),VLOOKUP($B47,'[39]Rebate Discount Rates'!$A$5:$I$50,COLUMN(E:E),FALSE))</f>
        <v>0</v>
      </c>
      <c r="E47" s="97">
        <f>IF($H$2=1,VLOOKUP($B47,'[38]Rebate Discount Rates'!$A$5:$I$50,COLUMN(F:F),FALSE),VLOOKUP($B47,'[39]Rebate Discount Rates'!$A$5:$I$50,COLUMN(F:F),FALSE))</f>
        <v>0</v>
      </c>
      <c r="F47" s="97">
        <f>IF($H$2=1,VLOOKUP($B47,'[38]Rebate Discount Rates'!$A$5:$I$50,COLUMN(G:G),FALSE),VLOOKUP($B47,'[39]Rebate Discount Rates'!$A$5:$I$50,COLUMN(G:G),FALSE))</f>
        <v>0</v>
      </c>
      <c r="G47" s="97">
        <f>IF($H$2=1,VLOOKUP($B47,'[38]Rebate Discount Rates'!$A$5:$I$50,COLUMN(H:H),FALSE),VLOOKUP($B47,'[39]Rebate Discount Rates'!$A$5:$I$50,COLUMN(H:H),FALSE))</f>
        <v>0</v>
      </c>
      <c r="H47" s="98">
        <f>IF($H$2=1,VLOOKUP($B47,'[38]Rebate Discount Rates'!$A$5:$I$50,COLUMN(I:I),FALSE),VLOOKUP($B47,'[39]Rebate Discount Rates'!$A$5:$I$50,COLUMN(I:I),FALSE))</f>
        <v>0</v>
      </c>
      <c r="K47" s="99" t="s">
        <v>145</v>
      </c>
      <c r="L47" s="109">
        <f>VLOOKUP($K47,[1]Inflation!$AE$10:$AT$55,COLUMN(K:K),FALSE)</f>
        <v>1.654293702344848E-2</v>
      </c>
      <c r="M47" s="110">
        <f>VLOOKUP($K47,[1]Inflation!$AE$10:$AT$55,COLUMN(L:L),FALSE)</f>
        <v>1.9999999510431844E-2</v>
      </c>
      <c r="N47" s="110">
        <f>VLOOKUP($K47,[1]Inflation!$AE$10:$AT$55,COLUMN(M:M),FALSE)</f>
        <v>1.9999999999999993E-2</v>
      </c>
      <c r="O47" s="110">
        <f>VLOOKUP($K47,[1]Inflation!$AE$10:$AT$55,COLUMN(N:N),FALSE)</f>
        <v>1.9999999999999997E-2</v>
      </c>
      <c r="P47" s="110">
        <f>VLOOKUP($K47,[1]Inflation!$AE$10:$AT$55,COLUMN(O:O),FALSE)</f>
        <v>2.0000000000000007E-2</v>
      </c>
      <c r="Q47" s="111">
        <f>VLOOKUP($K47,[1]Inflation!$AE$10:$AT$55,COLUMN(P:P),FALSE)</f>
        <v>1.9999999999999993E-2</v>
      </c>
      <c r="U47" s="62"/>
      <c r="V47" s="103" t="s">
        <v>145</v>
      </c>
      <c r="W47" s="112">
        <f>VLOOKUP($K47,[1]Inflation!$AE$10:$AZ$55,COLUMN(Q:Q),FALSE)</f>
        <v>0</v>
      </c>
      <c r="X47" s="110">
        <f>VLOOKUP($K47,[1]Inflation!$AE$10:$AZ$55,COLUMN(R:R),FALSE)</f>
        <v>0</v>
      </c>
      <c r="Y47" s="110">
        <f>VLOOKUP($K47,[1]Inflation!$AE$10:$AZ$55,COLUMN(S:S),FALSE)</f>
        <v>0</v>
      </c>
      <c r="Z47" s="110">
        <f>VLOOKUP($K47,[1]Inflation!$AE$10:$AZ$55,COLUMN(T:T),FALSE)</f>
        <v>0</v>
      </c>
      <c r="AA47" s="110">
        <f>VLOOKUP($K47,[1]Inflation!$AE$10:$AZ$55,COLUMN(U:U),FALSE)</f>
        <v>0</v>
      </c>
      <c r="AB47" s="111">
        <f>VLOOKUP($K47,[1]Inflation!$AE$10:$AZ$55,COLUMN(V:V),FALSE)</f>
        <v>0</v>
      </c>
      <c r="AC47" s="62"/>
      <c r="AD47" s="95"/>
      <c r="AE47" s="95"/>
      <c r="AF47" s="95"/>
      <c r="AG47" s="95"/>
      <c r="AH47" s="95"/>
      <c r="AI47" s="95"/>
    </row>
    <row r="48" spans="1:35" s="123" customFormat="1" ht="14.25" x14ac:dyDescent="0.3">
      <c r="A48" s="62"/>
      <c r="B48" s="107" t="s">
        <v>146</v>
      </c>
      <c r="C48" s="97">
        <f>IF($H$2=1,VLOOKUP($B48,'[38]Rebate Discount Rates'!$A$5:$I$50,COLUMN(D:D),FALSE),VLOOKUP($B48,'[39]Rebate Discount Rates'!$A$5:$I$50,COLUMN(D:D),FALSE))</f>
        <v>0</v>
      </c>
      <c r="D48" s="97">
        <f>IF($H$2=1,VLOOKUP($B48,'[38]Rebate Discount Rates'!$A$5:$I$50,COLUMN(E:E),FALSE),VLOOKUP($B48,'[39]Rebate Discount Rates'!$A$5:$I$50,COLUMN(E:E),FALSE))</f>
        <v>0</v>
      </c>
      <c r="E48" s="97">
        <f>IF($H$2=1,VLOOKUP($B48,'[38]Rebate Discount Rates'!$A$5:$I$50,COLUMN(F:F),FALSE),VLOOKUP($B48,'[39]Rebate Discount Rates'!$A$5:$I$50,COLUMN(F:F),FALSE))</f>
        <v>0</v>
      </c>
      <c r="F48" s="97">
        <f>IF($H$2=1,VLOOKUP($B48,'[38]Rebate Discount Rates'!$A$5:$I$50,COLUMN(G:G),FALSE),VLOOKUP($B48,'[39]Rebate Discount Rates'!$A$5:$I$50,COLUMN(G:G),FALSE))</f>
        <v>0</v>
      </c>
      <c r="G48" s="97">
        <f>IF($H$2=1,VLOOKUP($B48,'[38]Rebate Discount Rates'!$A$5:$I$50,COLUMN(H:H),FALSE),VLOOKUP($B48,'[39]Rebate Discount Rates'!$A$5:$I$50,COLUMN(H:H),FALSE))</f>
        <v>0</v>
      </c>
      <c r="H48" s="98">
        <f>IF($H$2=1,VLOOKUP($B48,'[38]Rebate Discount Rates'!$A$5:$I$50,COLUMN(I:I),FALSE),VLOOKUP($B48,'[39]Rebate Discount Rates'!$A$5:$I$50,COLUMN(I:I),FALSE))</f>
        <v>0</v>
      </c>
      <c r="K48" s="99" t="s">
        <v>146</v>
      </c>
      <c r="L48" s="109">
        <f>VLOOKUP($K48,[1]Inflation!$AE$10:$AT$55,COLUMN(K:K),FALSE)</f>
        <v>1.9202920913702917E-2</v>
      </c>
      <c r="M48" s="110">
        <f>VLOOKUP($K48,[1]Inflation!$AE$10:$AT$55,COLUMN(L:L),FALSE)</f>
        <v>1.9499999636892903E-2</v>
      </c>
      <c r="N48" s="110">
        <f>VLOOKUP($K48,[1]Inflation!$AE$10:$AT$55,COLUMN(M:M),FALSE)</f>
        <v>1.9499999999999997E-2</v>
      </c>
      <c r="O48" s="110">
        <f>VLOOKUP($K48,[1]Inflation!$AE$10:$AT$55,COLUMN(N:N),FALSE)</f>
        <v>1.9499999999999997E-2</v>
      </c>
      <c r="P48" s="110">
        <f>VLOOKUP($K48,[1]Inflation!$AE$10:$AT$55,COLUMN(O:O),FALSE)</f>
        <v>1.9499999999999997E-2</v>
      </c>
      <c r="Q48" s="111">
        <f>VLOOKUP($K48,[1]Inflation!$AE$10:$AT$55,COLUMN(P:P),FALSE)</f>
        <v>1.9499999999999997E-2</v>
      </c>
      <c r="U48" s="62"/>
      <c r="V48" s="103" t="s">
        <v>146</v>
      </c>
      <c r="W48" s="112">
        <f>VLOOKUP($K48,[1]Inflation!$AE$10:$AZ$55,COLUMN(Q:Q),FALSE)</f>
        <v>0</v>
      </c>
      <c r="X48" s="110">
        <f>VLOOKUP($K48,[1]Inflation!$AE$10:$AZ$55,COLUMN(R:R),FALSE)</f>
        <v>0</v>
      </c>
      <c r="Y48" s="110">
        <f>VLOOKUP($K48,[1]Inflation!$AE$10:$AZ$55,COLUMN(S:S),FALSE)</f>
        <v>0</v>
      </c>
      <c r="Z48" s="110">
        <f>VLOOKUP($K48,[1]Inflation!$AE$10:$AZ$55,COLUMN(T:T),FALSE)</f>
        <v>0</v>
      </c>
      <c r="AA48" s="110">
        <f>VLOOKUP($K48,[1]Inflation!$AE$10:$AZ$55,COLUMN(U:U),FALSE)</f>
        <v>0</v>
      </c>
      <c r="AB48" s="111">
        <f>VLOOKUP($K48,[1]Inflation!$AE$10:$AZ$55,COLUMN(V:V),FALSE)</f>
        <v>0</v>
      </c>
      <c r="AC48" s="62"/>
      <c r="AD48" s="95"/>
      <c r="AE48" s="95"/>
      <c r="AF48" s="95"/>
      <c r="AG48" s="95"/>
      <c r="AH48" s="95"/>
      <c r="AI48" s="95"/>
    </row>
    <row r="49" spans="1:35" s="123" customFormat="1" ht="14.25" x14ac:dyDescent="0.3">
      <c r="A49" s="62"/>
      <c r="B49" s="107" t="s">
        <v>147</v>
      </c>
      <c r="C49" s="97">
        <f>IF($H$2=1,VLOOKUP($B49,'[38]Rebate Discount Rates'!$A$5:$I$50,COLUMN(D:D),FALSE),VLOOKUP($B49,'[39]Rebate Discount Rates'!$A$5:$I$50,COLUMN(D:D),FALSE))</f>
        <v>0</v>
      </c>
      <c r="D49" s="97">
        <f>IF($H$2=1,VLOOKUP($B49,'[38]Rebate Discount Rates'!$A$5:$I$50,COLUMN(E:E),FALSE),VLOOKUP($B49,'[39]Rebate Discount Rates'!$A$5:$I$50,COLUMN(E:E),FALSE))</f>
        <v>0</v>
      </c>
      <c r="E49" s="97">
        <f>IF($H$2=1,VLOOKUP($B49,'[38]Rebate Discount Rates'!$A$5:$I$50,COLUMN(F:F),FALSE),VLOOKUP($B49,'[39]Rebate Discount Rates'!$A$5:$I$50,COLUMN(F:F),FALSE))</f>
        <v>0</v>
      </c>
      <c r="F49" s="97">
        <f>IF($H$2=1,VLOOKUP($B49,'[38]Rebate Discount Rates'!$A$5:$I$50,COLUMN(G:G),FALSE),VLOOKUP($B49,'[39]Rebate Discount Rates'!$A$5:$I$50,COLUMN(G:G),FALSE))</f>
        <v>0</v>
      </c>
      <c r="G49" s="97">
        <f>IF($H$2=1,VLOOKUP($B49,'[38]Rebate Discount Rates'!$A$5:$I$50,COLUMN(H:H),FALSE),VLOOKUP($B49,'[39]Rebate Discount Rates'!$A$5:$I$50,COLUMN(H:H),FALSE))</f>
        <v>0</v>
      </c>
      <c r="H49" s="98">
        <f>IF($H$2=1,VLOOKUP($B49,'[38]Rebate Discount Rates'!$A$5:$I$50,COLUMN(I:I),FALSE),VLOOKUP($B49,'[39]Rebate Discount Rates'!$A$5:$I$50,COLUMN(I:I),FALSE))</f>
        <v>0</v>
      </c>
      <c r="K49" s="99" t="s">
        <v>147</v>
      </c>
      <c r="L49" s="109">
        <f>VLOOKUP($K49,[1]Inflation!$AE$10:$AT$55,COLUMN(K:K),FALSE)</f>
        <v>1.1193538729324829E-2</v>
      </c>
      <c r="M49" s="110">
        <f>VLOOKUP($K49,[1]Inflation!$AE$10:$AT$55,COLUMN(L:L),FALSE)</f>
        <v>1.2219295116420585E-2</v>
      </c>
      <c r="N49" s="110">
        <f>VLOOKUP($K49,[1]Inflation!$AE$10:$AT$55,COLUMN(M:M),FALSE)</f>
        <v>1.1338622687387612E-2</v>
      </c>
      <c r="O49" s="110">
        <f>VLOOKUP($K49,[1]Inflation!$AE$10:$AT$55,COLUMN(N:N),FALSE)</f>
        <v>1.0597971177045111E-2</v>
      </c>
      <c r="P49" s="110">
        <f>VLOOKUP($K49,[1]Inflation!$AE$10:$AT$55,COLUMN(O:O),FALSE)</f>
        <v>9.8396398161226702E-3</v>
      </c>
      <c r="Q49" s="111">
        <f>VLOOKUP($K49,[1]Inflation!$AE$10:$AT$55,COLUMN(P:P),FALSE)</f>
        <v>9.2694535322088017E-3</v>
      </c>
      <c r="U49" s="62"/>
      <c r="V49" s="103" t="s">
        <v>147</v>
      </c>
      <c r="W49" s="112">
        <f>VLOOKUP($K49,[1]Inflation!$AE$10:$AZ$55,COLUMN(Q:Q),FALSE)</f>
        <v>0</v>
      </c>
      <c r="X49" s="110">
        <f>VLOOKUP($K49,[1]Inflation!$AE$10:$AZ$55,COLUMN(R:R),FALSE)</f>
        <v>0</v>
      </c>
      <c r="Y49" s="110">
        <f>VLOOKUP($K49,[1]Inflation!$AE$10:$AZ$55,COLUMN(S:S),FALSE)</f>
        <v>0</v>
      </c>
      <c r="Z49" s="110">
        <f>VLOOKUP($K49,[1]Inflation!$AE$10:$AZ$55,COLUMN(T:T),FALSE)</f>
        <v>0</v>
      </c>
      <c r="AA49" s="110">
        <f>VLOOKUP($K49,[1]Inflation!$AE$10:$AZ$55,COLUMN(U:U),FALSE)</f>
        <v>0</v>
      </c>
      <c r="AB49" s="111">
        <f>VLOOKUP($K49,[1]Inflation!$AE$10:$AZ$55,COLUMN(V:V),FALSE)</f>
        <v>0</v>
      </c>
      <c r="AC49" s="62"/>
      <c r="AD49" s="95"/>
      <c r="AE49" s="95"/>
      <c r="AF49" s="95"/>
      <c r="AG49" s="95"/>
      <c r="AH49" s="95"/>
      <c r="AI49" s="95"/>
    </row>
    <row r="50" spans="1:35" s="123" customFormat="1" ht="15" thickBot="1" x14ac:dyDescent="0.35">
      <c r="A50" s="62"/>
      <c r="B50" s="124" t="s">
        <v>148</v>
      </c>
      <c r="C50" s="125">
        <f>IF($H$2=1,VLOOKUP($B50,'[38]Rebate Discount Rates'!$A$5:$I$50,COLUMN(D:D),FALSE),VLOOKUP($B50,'[39]Rebate Discount Rates'!$A$5:$I$50,COLUMN(D:D),FALSE))</f>
        <v>0</v>
      </c>
      <c r="D50" s="125">
        <f>IF($H$2=1,VLOOKUP($B50,'[38]Rebate Discount Rates'!$A$5:$I$50,COLUMN(E:E),FALSE),VLOOKUP($B50,'[39]Rebate Discount Rates'!$A$5:$I$50,COLUMN(E:E),FALSE))</f>
        <v>0</v>
      </c>
      <c r="E50" s="125">
        <f>IF($H$2=1,VLOOKUP($B50,'[38]Rebate Discount Rates'!$A$5:$I$50,COLUMN(F:F),FALSE),VLOOKUP($B50,'[39]Rebate Discount Rates'!$A$5:$I$50,COLUMN(F:F),FALSE))</f>
        <v>0</v>
      </c>
      <c r="F50" s="125">
        <f>IF($H$2=1,VLOOKUP($B50,'[38]Rebate Discount Rates'!$A$5:$I$50,COLUMN(G:G),FALSE),VLOOKUP($B50,'[39]Rebate Discount Rates'!$A$5:$I$50,COLUMN(G:G),FALSE))</f>
        <v>0</v>
      </c>
      <c r="G50" s="125">
        <f>IF($H$2=1,VLOOKUP($B50,'[38]Rebate Discount Rates'!$A$5:$I$50,COLUMN(H:H),FALSE),VLOOKUP($B50,'[39]Rebate Discount Rates'!$A$5:$I$50,COLUMN(H:H),FALSE))</f>
        <v>0</v>
      </c>
      <c r="H50" s="126">
        <f>IF($H$2=1,VLOOKUP($B50,'[38]Rebate Discount Rates'!$A$5:$I$50,COLUMN(I:I),FALSE),VLOOKUP($B50,'[39]Rebate Discount Rates'!$A$5:$I$50,COLUMN(I:I),FALSE))</f>
        <v>0</v>
      </c>
      <c r="J50" s="62"/>
      <c r="K50" s="127" t="s">
        <v>148</v>
      </c>
      <c r="L50" s="128">
        <f>VLOOKUP($K50,[1]Inflation!$AE$10:$AT$55,COLUMN(K:K),FALSE)</f>
        <v>9.0662757013259682E-3</v>
      </c>
      <c r="M50" s="129">
        <f>VLOOKUP($K50,[1]Inflation!$AE$10:$AT$55,COLUMN(L:L),FALSE)</f>
        <v>9.9999999129241537E-3</v>
      </c>
      <c r="N50" s="129">
        <f>VLOOKUP($K50,[1]Inflation!$AE$10:$AT$55,COLUMN(M:M),FALSE)</f>
        <v>0.01</v>
      </c>
      <c r="O50" s="129">
        <f>VLOOKUP($K50,[1]Inflation!$AE$10:$AT$55,COLUMN(N:N),FALSE)</f>
        <v>9.9999999999999985E-3</v>
      </c>
      <c r="P50" s="129">
        <f>VLOOKUP($K50,[1]Inflation!$AE$10:$AT$55,COLUMN(O:O),FALSE)</f>
        <v>9.9999999999999985E-3</v>
      </c>
      <c r="Q50" s="130">
        <f>VLOOKUP($K50,[1]Inflation!$AE$10:$AT$55,COLUMN(P:P),FALSE)</f>
        <v>1.0000000000000002E-2</v>
      </c>
      <c r="U50" s="62"/>
      <c r="V50" s="131" t="s">
        <v>148</v>
      </c>
      <c r="W50" s="132">
        <f>VLOOKUP($K50,[1]Inflation!$AE$10:$AZ$55,COLUMN(Q:Q),FALSE)</f>
        <v>0</v>
      </c>
      <c r="X50" s="129">
        <f>VLOOKUP($K50,[1]Inflation!$AE$10:$AZ$55,COLUMN(R:R),FALSE)</f>
        <v>0</v>
      </c>
      <c r="Y50" s="129">
        <f>VLOOKUP($K50,[1]Inflation!$AE$10:$AZ$55,COLUMN(S:S),FALSE)</f>
        <v>0</v>
      </c>
      <c r="Z50" s="129">
        <f>VLOOKUP($K50,[1]Inflation!$AE$10:$AZ$55,COLUMN(T:T),FALSE)</f>
        <v>0</v>
      </c>
      <c r="AA50" s="129">
        <f>VLOOKUP($K50,[1]Inflation!$AE$10:$AZ$55,COLUMN(U:U),FALSE)</f>
        <v>0</v>
      </c>
      <c r="AB50" s="130">
        <f>VLOOKUP($K50,[1]Inflation!$AE$10:$AZ$55,COLUMN(V:V),FALSE)</f>
        <v>0</v>
      </c>
      <c r="AC50" s="62"/>
      <c r="AD50" s="95"/>
      <c r="AE50" s="95"/>
      <c r="AF50" s="95"/>
      <c r="AG50" s="95"/>
      <c r="AH50" s="95"/>
      <c r="AI50" s="95"/>
    </row>
    <row r="51" spans="1:35" s="123" customFormat="1" ht="14.25" x14ac:dyDescent="0.3">
      <c r="A51" s="133"/>
      <c r="K51" s="99"/>
      <c r="L51" s="134"/>
      <c r="M51" s="135"/>
      <c r="N51" s="135"/>
      <c r="O51" s="135"/>
      <c r="P51" s="135"/>
      <c r="Q51" s="136"/>
      <c r="U51" s="62"/>
      <c r="V51" s="137"/>
      <c r="W51" s="138"/>
      <c r="X51" s="135"/>
      <c r="Y51" s="135"/>
      <c r="Z51" s="135"/>
      <c r="AA51" s="135"/>
      <c r="AB51" s="136"/>
      <c r="AC51" s="62"/>
      <c r="AD51" s="62"/>
    </row>
    <row r="52" spans="1:35" ht="14.25" x14ac:dyDescent="0.3">
      <c r="C52" s="115"/>
      <c r="D52" s="115"/>
      <c r="E52" s="115"/>
      <c r="F52" s="115"/>
      <c r="K52" s="99"/>
      <c r="L52" s="139"/>
      <c r="M52" s="140"/>
      <c r="N52" s="140"/>
      <c r="O52" s="140"/>
      <c r="P52" s="140"/>
      <c r="Q52" s="141"/>
      <c r="V52" s="137"/>
      <c r="W52" s="142"/>
      <c r="X52" s="140"/>
      <c r="Y52" s="140"/>
      <c r="Z52" s="140"/>
      <c r="AA52" s="140"/>
      <c r="AB52" s="141"/>
    </row>
    <row r="53" spans="1:35" ht="13.8" x14ac:dyDescent="0.3">
      <c r="B53" s="143" t="s">
        <v>149</v>
      </c>
      <c r="C53" s="144"/>
      <c r="D53" s="144"/>
      <c r="E53" s="144"/>
      <c r="F53" s="144"/>
      <c r="G53" s="123"/>
      <c r="H53" s="123"/>
      <c r="K53" s="99"/>
      <c r="L53" s="139"/>
      <c r="M53" s="140"/>
      <c r="N53" s="140"/>
      <c r="O53" s="140"/>
      <c r="P53" s="140"/>
      <c r="Q53" s="141"/>
      <c r="V53" s="137"/>
      <c r="W53" s="142"/>
      <c r="X53" s="140"/>
      <c r="Y53" s="140"/>
      <c r="Z53" s="140"/>
      <c r="AA53" s="140"/>
      <c r="AB53" s="141"/>
    </row>
    <row r="54" spans="1:35" ht="13.8" x14ac:dyDescent="0.3">
      <c r="B54" s="143" t="s">
        <v>150</v>
      </c>
      <c r="C54" s="144"/>
      <c r="D54" s="144"/>
      <c r="E54" s="144"/>
      <c r="F54" s="144"/>
      <c r="G54" s="123"/>
      <c r="H54" s="123"/>
      <c r="K54" s="99"/>
      <c r="L54" s="139"/>
      <c r="M54" s="140"/>
      <c r="N54" s="140"/>
      <c r="O54" s="140"/>
      <c r="P54" s="140"/>
      <c r="Q54" s="141"/>
      <c r="V54" s="103"/>
      <c r="W54" s="142"/>
      <c r="X54" s="140"/>
      <c r="Y54" s="140"/>
      <c r="Z54" s="140"/>
      <c r="AA54" s="140"/>
      <c r="AB54" s="141"/>
    </row>
    <row r="55" spans="1:35" ht="13.8" x14ac:dyDescent="0.3">
      <c r="B55" s="145" t="s">
        <v>151</v>
      </c>
      <c r="C55" s="144"/>
      <c r="D55" s="144"/>
      <c r="E55" s="144"/>
      <c r="F55" s="144"/>
      <c r="G55" s="146"/>
      <c r="H55" s="123"/>
      <c r="K55" s="99"/>
      <c r="L55" s="139"/>
      <c r="M55" s="140"/>
      <c r="N55" s="140"/>
      <c r="O55" s="140"/>
      <c r="P55" s="140"/>
      <c r="Q55" s="141"/>
      <c r="V55" s="103"/>
      <c r="W55" s="142"/>
      <c r="X55" s="140"/>
      <c r="Y55" s="140"/>
      <c r="Z55" s="140"/>
      <c r="AA55" s="140"/>
      <c r="AB55" s="141"/>
    </row>
    <row r="56" spans="1:35" ht="14.4" thickBot="1" x14ac:dyDescent="0.35">
      <c r="B56" s="143" t="s">
        <v>152</v>
      </c>
      <c r="C56" s="144"/>
      <c r="D56" s="144"/>
      <c r="E56" s="144"/>
      <c r="F56" s="144"/>
      <c r="G56" s="123"/>
      <c r="H56" s="123"/>
      <c r="K56" s="127"/>
      <c r="L56" s="147"/>
      <c r="M56" s="148"/>
      <c r="N56" s="148"/>
      <c r="O56" s="148"/>
      <c r="P56" s="148"/>
      <c r="Q56" s="149"/>
      <c r="V56" s="131"/>
      <c r="W56" s="150"/>
      <c r="X56" s="148"/>
      <c r="Y56" s="148"/>
      <c r="Z56" s="148"/>
      <c r="AA56" s="148"/>
      <c r="AB56" s="149"/>
    </row>
    <row r="57" spans="1:35" x14ac:dyDescent="0.25">
      <c r="B57" s="123"/>
    </row>
    <row r="58" spans="1:35" x14ac:dyDescent="0.25">
      <c r="B58" s="145" t="s">
        <v>153</v>
      </c>
    </row>
    <row r="59" spans="1:35" x14ac:dyDescent="0.25">
      <c r="B59" s="145" t="s">
        <v>154</v>
      </c>
    </row>
    <row r="60" spans="1:35" x14ac:dyDescent="0.25">
      <c r="B60" s="145"/>
    </row>
    <row r="62" spans="1:35" x14ac:dyDescent="0.25">
      <c r="B62" s="119"/>
    </row>
  </sheetData>
  <pageMargins left="0.75" right="0.75" top="1" bottom="1" header="0.5" footer="0.5"/>
  <pageSetup scale="30" orientation="portrait"/>
  <headerFooter alignWithMargins="0">
    <oddHeader>&amp;R&amp;"Arial,Bold"Restricted Confidential - Merck &amp;&amp; Co., Inc.
&amp;"Arial,Regular"Whitehouse Station, NJ USA</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Model</vt:lpstr>
      <vt:lpstr>PharmaData</vt:lpstr>
      <vt:lpstr>Discs.ProductCost.Royalty</vt:lpstr>
      <vt:lpstr>PharmaFin</vt:lpstr>
      <vt:lpstr>PharmaData!Price</vt:lpstr>
      <vt:lpstr>PharmaData!Print_Area</vt:lpstr>
      <vt:lpstr>Shortpro</vt:lpstr>
    </vt:vector>
  </TitlesOfParts>
  <Company>Merck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Freeman</dc:creator>
  <cp:lastModifiedBy>Merck &amp; Co., Inc.</cp:lastModifiedBy>
  <cp:lastPrinted>2013-06-24T17:25:07Z</cp:lastPrinted>
  <dcterms:created xsi:type="dcterms:W3CDTF">2013-06-24T16:10:57Z</dcterms:created>
  <dcterms:modified xsi:type="dcterms:W3CDTF">2013-07-19T21:37:58Z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1048686084</vt:i4>
  </property>
  <property fmtid="{D5CDD505-2E9C-101B-9397-08002B2CF9AE}" pid="3" name="_NewReviewCycle">
    <vt:lpwstr/>
  </property>
  <property fmtid="{D5CDD505-2E9C-101B-9397-08002B2CF9AE}" pid="4" name="_EmailSubject">
    <vt:lpwstr>Program Results</vt:lpwstr>
  </property>
  <property fmtid="{D5CDD505-2E9C-101B-9397-08002B2CF9AE}" pid="5" name="_AuthorEmail">
    <vt:lpwstr>sahaj.madhav@merck.com</vt:lpwstr>
  </property>
  <property fmtid="{D5CDD505-2E9C-101B-9397-08002B2CF9AE}" pid="6" name="_AuthorEmailDisplayName">
    <vt:lpwstr>Madhav, Sahaj</vt:lpwstr>
  </property>
  <property fmtid="{D5CDD505-2E9C-101B-9397-08002B2CF9AE}" pid="7" name="_PreviousAdHocReviewCycleID">
    <vt:i4>106924099</vt:i4>
  </property>
  <property fmtid="{D5CDD505-2E9C-101B-9397-08002B2CF9AE}" pid="8" name="_ReviewingToolsShownOnce">
    <vt:lpwstr/>
  </property>
</Properties>
</file>