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8" yWindow="-12" windowWidth="10116" windowHeight="7812" activeTab="1"/>
  </bookViews>
  <sheets>
    <sheet name="Data" sheetId="1" r:id="rId1"/>
    <sheet name="Adherence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M5" i="1" l="1"/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L12" i="3"/>
  <c r="K12" i="3"/>
  <c r="I12" i="3"/>
  <c r="J12" i="3" s="1"/>
  <c r="G9" i="3"/>
  <c r="F9" i="3"/>
  <c r="D9" i="3" s="1"/>
  <c r="C9" i="3"/>
  <c r="B9" i="3"/>
  <c r="O12" i="3" l="1"/>
  <c r="M12" i="3"/>
  <c r="N12" i="3" s="1"/>
  <c r="P5" i="1"/>
  <c r="E7" i="1"/>
  <c r="B39" i="3" l="1"/>
  <c r="B35" i="3"/>
  <c r="B31" i="3"/>
  <c r="C31" i="3" s="1"/>
  <c r="B27" i="3"/>
  <c r="B23" i="3"/>
  <c r="B40" i="3"/>
  <c r="B36" i="3"/>
  <c r="C36" i="3" s="1"/>
  <c r="B32" i="3"/>
  <c r="B28" i="3"/>
  <c r="B24" i="3"/>
  <c r="E9" i="3"/>
  <c r="B41" i="3"/>
  <c r="B37" i="3"/>
  <c r="B33" i="3"/>
  <c r="B42" i="3"/>
  <c r="B38" i="3"/>
  <c r="B34" i="3"/>
  <c r="B26" i="3"/>
  <c r="B29" i="3"/>
  <c r="B25" i="3"/>
  <c r="B22" i="3"/>
  <c r="B30" i="3"/>
  <c r="E14" i="1"/>
  <c r="E16" i="1"/>
  <c r="C29" i="3" l="1"/>
  <c r="C25" i="3"/>
  <c r="C41" i="3"/>
  <c r="C34" i="3"/>
  <c r="C33" i="3"/>
  <c r="C42" i="3"/>
  <c r="C37" i="3"/>
  <c r="C28" i="3"/>
  <c r="C39" i="3"/>
  <c r="C23" i="3"/>
  <c r="C38" i="3"/>
  <c r="C32" i="3"/>
  <c r="C27" i="3"/>
  <c r="C30" i="3"/>
  <c r="C26" i="3"/>
  <c r="C24" i="3"/>
  <c r="C40" i="3"/>
  <c r="C35" i="3"/>
  <c r="G19" i="1"/>
  <c r="H19" i="1" s="1"/>
  <c r="I19" i="1" s="1"/>
  <c r="F22" i="1"/>
  <c r="K5" i="1" s="1"/>
  <c r="G21" i="1"/>
  <c r="H21" i="1" s="1"/>
  <c r="I21" i="1" s="1"/>
  <c r="G18" i="1"/>
  <c r="H18" i="1" s="1"/>
  <c r="I18" i="1" s="1"/>
  <c r="G13" i="1"/>
  <c r="G16" i="1"/>
  <c r="H16" i="1" s="1"/>
  <c r="I16" i="1" s="1"/>
  <c r="G14" i="1"/>
  <c r="H14" i="1" s="1"/>
  <c r="I14" i="1" s="1"/>
  <c r="G20" i="1"/>
  <c r="H20" i="1" s="1"/>
  <c r="I20" i="1" s="1"/>
  <c r="G17" i="1"/>
  <c r="H17" i="1" s="1"/>
  <c r="I17" i="1" s="1"/>
  <c r="G15" i="1"/>
  <c r="H15" i="1" s="1"/>
  <c r="I15" i="1" s="1"/>
  <c r="E22" i="1" l="1"/>
  <c r="H13" i="1"/>
  <c r="G22" i="1"/>
  <c r="E5" i="1"/>
  <c r="H22" i="1" l="1"/>
  <c r="I13" i="1"/>
  <c r="I22" i="1" s="1"/>
  <c r="I23" i="1" l="1"/>
  <c r="L5" i="1"/>
  <c r="N5" i="1" s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$2MM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$4.5MM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sheet. There is a "JW Adherence" line item of $2,556,000 of uncommitted funds which probably contains this initiative (and other future programs).</t>
        </r>
      </text>
    </comment>
    <comment ref="A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21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</commentList>
</comments>
</file>

<file path=xl/sharedStrings.xml><?xml version="1.0" encoding="utf-8"?>
<sst xmlns="http://schemas.openxmlformats.org/spreadsheetml/2006/main" count="132" uniqueCount="114">
  <si>
    <t>YEAR</t>
  </si>
  <si>
    <t>MEDIA TYPE</t>
  </si>
  <si>
    <t>PRE-TAX SPEND</t>
  </si>
  <si>
    <t>AFTER-TAX REVENUE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</si>
  <si>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</si>
  <si>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</si>
  <si>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</si>
  <si>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</si>
  <si>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</si>
  <si>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</si>
  <si>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</si>
  <si>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</si>
  <si>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</si>
  <si>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</si>
  <si>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</si>
  <si>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</si>
  <si>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</si>
  <si>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</si>
  <si>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 xml:space="preserve">see "Chris1 2013 SAP Numbers (2)" Excel workbook in Diabetes Deep Dive folder on IPF team space for ROI estimates for first three entries </t>
  </si>
  <si>
    <t>note: the numbers that Chris Yothers provided (HCC media planned investments) do not match the planned 2013 spend numbers on David Ennis' spreadsheet. This is likely a timing issue.</t>
  </si>
  <si>
    <t>Merck Diabetes Franchise Pharmacy Adherence Programs: Incremental NRx per Tactic with ROI, Spend and Incremental Revenue</t>
  </si>
  <si>
    <t>The sum of the program spends on Chris Yother's ROI spreadsheet matches the sum of the planned program spends on David Ennis's spreadsheet, but the particulars are slightly different.</t>
  </si>
  <si>
    <t>Total</t>
  </si>
  <si>
    <t>Open Question: Should the NRx gained here be considered as New Patient or should we use some other refill related NPV  or PGM values?</t>
  </si>
  <si>
    <t>Max Y Assumptions</t>
  </si>
  <si>
    <t>Pre-Tax Spend</t>
  </si>
  <si>
    <t>Includes the Consumer Media and Consumer Multicultural (MC) spends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</si>
  <si>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TRx</t>
    </r>
    <r>
      <rPr>
        <b/>
        <sz val="10"/>
        <color theme="1"/>
        <rFont val="Calibri"/>
        <family val="2"/>
        <scheme val="minor"/>
      </rPr>
      <t xml:space="preserve"> in 2012</t>
    </r>
  </si>
  <si>
    <t>PGM (pre-tax)</t>
  </si>
  <si>
    <t>PGM (after tax)</t>
  </si>
  <si>
    <r>
      <t xml:space="preserve">Total </t>
    </r>
    <r>
      <rPr>
        <b/>
        <sz val="10"/>
        <color rgb="FF0000FF"/>
        <rFont val="Calibri"/>
        <family val="2"/>
        <scheme val="minor"/>
      </rPr>
      <t>NPA NRx</t>
    </r>
    <r>
      <rPr>
        <b/>
        <sz val="10"/>
        <color theme="1"/>
        <rFont val="Calibri"/>
        <family val="2"/>
        <scheme val="minor"/>
      </rPr>
      <t xml:space="preserve"> in 2012</t>
    </r>
  </si>
  <si>
    <t>Estimated Incr. TRx</t>
  </si>
  <si>
    <t>Estimated Incr. TRx (as % of NPA TRx)</t>
  </si>
  <si>
    <t>Adherence programs Spend per Incr. TRx</t>
  </si>
  <si>
    <t>Anticipated Max Incr. TRx</t>
  </si>
  <si>
    <t>Anticipated Max Incr. TRx (in %) when Adherence spend is increased to infinity</t>
  </si>
  <si>
    <t>2013 Planned Spend for Adherence programs</t>
  </si>
  <si>
    <t>* Note: The above marroon colored values are used to construct lodish type response curve for Adherence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</si>
  <si>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</si>
  <si>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</si>
  <si>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</si>
  <si>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</si>
  <si>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</si>
  <si>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</si>
  <si>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</si>
  <si>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</si>
  <si>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</si>
  <si>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</si>
  <si>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</si>
  <si>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</si>
  <si>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</si>
  <si>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</si>
  <si>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</si>
  <si>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</si>
  <si>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</si>
  <si>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</si>
  <si>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</si>
  <si>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</si>
  <si>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</si>
  <si>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</si>
  <si>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</si>
  <si>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</si>
  <si>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</si>
  <si>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</si>
  <si>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</si>
  <si>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</si>
  <si>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</si>
  <si>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</si>
  <si>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</si>
  <si>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</si>
  <si>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</si>
  <si>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</si>
  <si>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</si>
  <si>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</si>
  <si>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</si>
  <si>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</si>
  <si>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</si>
  <si>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</si>
  <si>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</si>
  <si>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</si>
  <si>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</si>
  <si>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</si>
  <si>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</si>
  <si>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</si>
  <si>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</si>
  <si>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Incr. TRx</t>
  </si>
  <si>
    <t>TRx</t>
  </si>
  <si>
    <t xml:space="preserve">In terms of TRx, Ybase = Curr TRx; YLmin =  Curr TRx - Curr Incr. TRx(Yc).; YLMax = Curr TRx + Max Possible Incr. TRx (Ymax); Ymin = min Incr NRx for no investmet = 0; </t>
  </si>
  <si>
    <r>
      <t xml:space="preserve">INCREMENTAL </t>
    </r>
    <r>
      <rPr>
        <b/>
        <sz val="11"/>
        <color rgb="FF0000FF"/>
        <rFont val="Calibri"/>
        <family val="2"/>
        <scheme val="minor"/>
      </rPr>
      <t>TRX</t>
    </r>
  </si>
  <si>
    <t>Summary</t>
  </si>
  <si>
    <t>*UPDATE May/10/2013: After consulting with Chris, the anticipated max was changed to 7.5% (It was assumed as 15% earlier)</t>
  </si>
  <si>
    <t>Updated Sources (from James Woodward):</t>
  </si>
  <si>
    <t>Y:\Marketing Mix PI\InvOpt\P2 2014 AB\Promo\Diabetes Deep Dive\RespModel\Adherence\folske brand dollars by program.xlsx</t>
  </si>
  <si>
    <t>Y:\Marketing Mix PI\InvOpt\P2 2014 AB\Promo\Diabetes Deep Dive\RespModel\Adherence\Adherence 2012 Program Results Summary 07.02.13.xlsx</t>
  </si>
  <si>
    <t>from James Woodward 2013 plan [1] and 2012 Merck ROI file [2]. ROI is weighted average of 3.7 and 3.4</t>
  </si>
  <si>
    <t>from James Woodward 2013 plan [1]. ROI from Chris Yothers / FE&amp;A</t>
  </si>
  <si>
    <t>Adh. Group.</t>
  </si>
  <si>
    <t>Adh. Group, FE&amp;A</t>
  </si>
  <si>
    <t>from James Woodward 2013 plan [1] and 2012 Merck ROI file [2]. ROI is weighted average of 6.8 and 4.3</t>
  </si>
  <si>
    <t xml:space="preserve">from James Woodward 2013 plan [1] and 2012 Merck ROI file [2]. </t>
  </si>
  <si>
    <t>Adh. Group, ROI Analogy</t>
  </si>
  <si>
    <t>from James Woodward 2013 plan [1]. ROI analogy from Chris Yothers / FE&amp;A</t>
  </si>
  <si>
    <t>Catalina - POS</t>
  </si>
  <si>
    <t xml:space="preserve">LDM - ScriptGuide (office comm) </t>
  </si>
  <si>
    <t>LDM - CarePoints (POS)</t>
  </si>
  <si>
    <t>Adheris - Letters from Pharmacy</t>
  </si>
  <si>
    <t>CVS - Letters</t>
  </si>
  <si>
    <t>Mscripts - mobile messaging</t>
  </si>
  <si>
    <t>Pleio - Consumer based call center</t>
  </si>
  <si>
    <t>Dr. First/All Scripts - eRxing</t>
  </si>
  <si>
    <t>Others: Rx.com, Mckesson</t>
  </si>
  <si>
    <t>Adh. Group, ROI Assumed</t>
  </si>
  <si>
    <t>from James Woodward 2013 plan [1]. ROI assumed.</t>
  </si>
  <si>
    <t>*UPDATE July/19/2013: 2013 programs, spend and ROI info from James Woodward (along with Chri's original ROI where missing) are used to recalculate contribution.15%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</si>
</sst>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#,##0.0_);\(#,##0.0\)"/>
    <numFmt numFmtId="168" formatCode="&quot;$&quot;#,##0"/>
    <numFmt numFmtId="169" formatCode="0.00000"/>
    <numFmt numFmtId="170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4" applyNumberFormat="0" applyAlignment="0" applyProtection="0"/>
    <xf numFmtId="0" fontId="16" fillId="10" borderId="5" applyNumberFormat="0" applyAlignment="0" applyProtection="0"/>
    <xf numFmtId="0" fontId="17" fillId="10" borderId="4" applyNumberFormat="0" applyAlignment="0" applyProtection="0"/>
    <xf numFmtId="0" fontId="18" fillId="0" borderId="6" applyNumberFormat="0" applyFill="0" applyAlignment="0" applyProtection="0"/>
    <xf numFmtId="0" fontId="2" fillId="11" borderId="7" applyNumberFormat="0" applyAlignment="0" applyProtection="0"/>
    <xf numFmtId="0" fontId="1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 applyBorder="1"/>
    <xf numFmtId="164" fontId="1" fillId="5" borderId="0" xfId="5" applyNumberFormat="1" applyBorder="1"/>
    <xf numFmtId="0" fontId="1" fillId="5" borderId="0" xfId="5" applyBorder="1" applyAlignment="1">
      <alignment horizontal="left" indent="2"/>
    </xf>
    <xf numFmtId="0" fontId="0" fillId="33" borderId="0" xfId="0" applyFill="1"/>
    <xf numFmtId="164" fontId="0" fillId="33" borderId="0" xfId="0" applyNumberFormat="1" applyFill="1"/>
    <xf numFmtId="167" fontId="7" fillId="33" borderId="0" xfId="0" applyNumberFormat="1" applyFont="1" applyFill="1"/>
    <xf numFmtId="10" fontId="7" fillId="33" borderId="10" xfId="7" applyNumberFormat="1" applyFont="1" applyFill="1" applyBorder="1"/>
    <xf numFmtId="165" fontId="7" fillId="33" borderId="0" xfId="0" applyNumberFormat="1" applyFont="1" applyFill="1"/>
    <xf numFmtId="0" fontId="0" fillId="0" borderId="0" xfId="0"/>
    <xf numFmtId="0" fontId="0" fillId="0" borderId="0" xfId="0" applyFill="1"/>
    <xf numFmtId="3" fontId="25" fillId="0" borderId="10" xfId="0" applyNumberFormat="1" applyFont="1" applyBorder="1"/>
    <xf numFmtId="0" fontId="23" fillId="34" borderId="10" xfId="0" applyFont="1" applyFill="1" applyBorder="1" applyAlignment="1">
      <alignment wrapText="1"/>
    </xf>
    <xf numFmtId="0" fontId="7" fillId="36" borderId="10" xfId="0" applyFont="1" applyFill="1" applyBorder="1" applyAlignment="1">
      <alignment horizontal="center" vertical="center" wrapText="1"/>
    </xf>
    <xf numFmtId="0" fontId="7" fillId="36" borderId="10" xfId="0" applyFont="1" applyFill="1" applyBorder="1" applyAlignment="1">
      <alignment wrapText="1"/>
    </xf>
    <xf numFmtId="44" fontId="7" fillId="36" borderId="10" xfId="1" applyFont="1" applyFill="1" applyBorder="1"/>
    <xf numFmtId="10" fontId="7" fillId="36" borderId="10" xfId="7" applyNumberFormat="1" applyFont="1" applyFill="1" applyBorder="1"/>
    <xf numFmtId="165" fontId="26" fillId="36" borderId="10" xfId="6" applyNumberFormat="1" applyFont="1" applyFill="1" applyBorder="1"/>
    <xf numFmtId="164" fontId="26" fillId="36" borderId="10" xfId="0" applyNumberFormat="1" applyFont="1" applyFill="1" applyBorder="1"/>
    <xf numFmtId="165" fontId="26" fillId="36" borderId="10" xfId="0" applyNumberFormat="1" applyFont="1" applyFill="1" applyBorder="1"/>
    <xf numFmtId="0" fontId="27" fillId="0" borderId="0" xfId="0" applyFont="1" applyFill="1"/>
    <xf numFmtId="0" fontId="29" fillId="4" borderId="0" xfId="4" applyFont="1"/>
    <xf numFmtId="164" fontId="28" fillId="36" borderId="10" xfId="0" applyNumberFormat="1" applyFont="1" applyFill="1" applyBorder="1" applyAlignment="1">
      <alignment horizontal="center"/>
    </xf>
    <xf numFmtId="44" fontId="7" fillId="36" borderId="10" xfId="1" applyFont="1" applyFill="1" applyBorder="1" applyAlignment="1">
      <alignment wrapText="1"/>
    </xf>
    <xf numFmtId="0" fontId="30" fillId="37" borderId="11" xfId="0" applyFont="1" applyFill="1" applyBorder="1"/>
    <xf numFmtId="0" fontId="31" fillId="0" borderId="0" xfId="0" applyFont="1"/>
    <xf numFmtId="0" fontId="30" fillId="37" borderId="12" xfId="0" applyFont="1" applyFill="1" applyBorder="1"/>
    <xf numFmtId="0" fontId="31" fillId="38" borderId="13" xfId="0" applyFont="1" applyFill="1" applyBorder="1"/>
    <xf numFmtId="0" fontId="30" fillId="37" borderId="13" xfId="0" applyFont="1" applyFill="1" applyBorder="1"/>
    <xf numFmtId="0" fontId="31" fillId="38" borderId="14" xfId="0" applyFont="1" applyFill="1" applyBorder="1"/>
    <xf numFmtId="0" fontId="31" fillId="38" borderId="15" xfId="0" applyFont="1" applyFill="1" applyBorder="1" applyAlignment="1">
      <alignment horizontal="left"/>
    </xf>
    <xf numFmtId="0" fontId="31" fillId="38" borderId="16" xfId="0" applyFont="1" applyFill="1" applyBorder="1" applyAlignment="1">
      <alignment horizontal="left"/>
    </xf>
    <xf numFmtId="0" fontId="31" fillId="38" borderId="17" xfId="0" applyFont="1" applyFill="1" applyBorder="1" applyAlignment="1">
      <alignment horizontal="left"/>
    </xf>
    <xf numFmtId="0" fontId="30" fillId="37" borderId="18" xfId="0" applyFont="1" applyFill="1" applyBorder="1"/>
    <xf numFmtId="0" fontId="31" fillId="38" borderId="11" xfId="0" applyFont="1" applyFill="1" applyBorder="1"/>
    <xf numFmtId="0" fontId="31" fillId="38" borderId="19" xfId="0" applyFont="1" applyFill="1" applyBorder="1"/>
    <xf numFmtId="0" fontId="30" fillId="37" borderId="20" xfId="0" applyFont="1" applyFill="1" applyBorder="1"/>
    <xf numFmtId="9" fontId="31" fillId="0" borderId="0" xfId="0" applyNumberFormat="1" applyFont="1"/>
    <xf numFmtId="0" fontId="30" fillId="37" borderId="10" xfId="0" applyFont="1" applyFill="1" applyBorder="1" applyAlignment="1">
      <alignment horizontal="center" vertical="center" wrapText="1"/>
    </xf>
    <xf numFmtId="0" fontId="30" fillId="37" borderId="29" xfId="0" applyFont="1" applyFill="1" applyBorder="1" applyAlignment="1">
      <alignment horizontal="center" vertical="center" wrapText="1"/>
    </xf>
    <xf numFmtId="0" fontId="30" fillId="37" borderId="30" xfId="0" applyFont="1" applyFill="1" applyBorder="1" applyAlignment="1">
      <alignment horizontal="center" vertical="center" wrapText="1"/>
    </xf>
    <xf numFmtId="0" fontId="30" fillId="37" borderId="17" xfId="0" applyFont="1" applyFill="1" applyBorder="1" applyAlignment="1">
      <alignment horizontal="center" vertical="center" wrapText="1"/>
    </xf>
    <xf numFmtId="0" fontId="30" fillId="37" borderId="31" xfId="0" applyFont="1" applyFill="1" applyBorder="1" applyAlignment="1">
      <alignment horizontal="center" vertical="center" wrapText="1"/>
    </xf>
    <xf numFmtId="164" fontId="31" fillId="38" borderId="33" xfId="1" applyNumberFormat="1" applyFont="1" applyFill="1" applyBorder="1"/>
    <xf numFmtId="164" fontId="32" fillId="39" borderId="34" xfId="1" applyNumberFormat="1" applyFont="1" applyFill="1" applyBorder="1"/>
    <xf numFmtId="3" fontId="32" fillId="39" borderId="35" xfId="0" applyNumberFormat="1" applyFont="1" applyFill="1" applyBorder="1"/>
    <xf numFmtId="3" fontId="31" fillId="38" borderId="33" xfId="0" applyNumberFormat="1" applyFont="1" applyFill="1" applyBorder="1"/>
    <xf numFmtId="0" fontId="30" fillId="37" borderId="13" xfId="0" applyFont="1" applyFill="1" applyBorder="1" applyAlignment="1">
      <alignment horizontal="center" vertical="center" wrapText="1"/>
    </xf>
    <xf numFmtId="0" fontId="30" fillId="37" borderId="14" xfId="0" applyFont="1" applyFill="1" applyBorder="1" applyAlignment="1">
      <alignment horizontal="center" vertical="center" wrapText="1"/>
    </xf>
    <xf numFmtId="0" fontId="31" fillId="38" borderId="33" xfId="0" applyFont="1" applyFill="1" applyBorder="1"/>
    <xf numFmtId="165" fontId="31" fillId="38" borderId="37" xfId="6" applyNumberFormat="1" applyFont="1" applyFill="1" applyBorder="1"/>
    <xf numFmtId="165" fontId="31" fillId="40" borderId="33" xfId="0" applyNumberFormat="1" applyFont="1" applyFill="1" applyBorder="1" applyAlignment="1">
      <alignment horizontal="center" vertical="center" wrapText="1"/>
    </xf>
    <xf numFmtId="164" fontId="31" fillId="40" borderId="33" xfId="1" applyNumberFormat="1" applyFont="1" applyFill="1" applyBorder="1" applyAlignment="1">
      <alignment horizontal="center" vertical="center" wrapText="1"/>
    </xf>
    <xf numFmtId="0" fontId="31" fillId="40" borderId="33" xfId="0" applyFont="1" applyFill="1" applyBorder="1" applyAlignment="1">
      <alignment horizontal="center" vertical="center" wrapText="1"/>
    </xf>
    <xf numFmtId="0" fontId="31" fillId="40" borderId="33" xfId="0" applyNumberFormat="1" applyFont="1" applyFill="1" applyBorder="1" applyAlignment="1">
      <alignment horizontal="center" vertical="center" wrapText="1"/>
    </xf>
    <xf numFmtId="165" fontId="31" fillId="40" borderId="37" xfId="0" applyNumberFormat="1" applyFont="1" applyFill="1" applyBorder="1" applyAlignment="1">
      <alignment horizontal="center" vertical="center" wrapText="1"/>
    </xf>
    <xf numFmtId="168" fontId="31" fillId="38" borderId="33" xfId="1" applyNumberFormat="1" applyFont="1" applyFill="1" applyBorder="1"/>
    <xf numFmtId="168" fontId="31" fillId="38" borderId="33" xfId="0" applyNumberFormat="1" applyFont="1" applyFill="1" applyBorder="1"/>
    <xf numFmtId="0" fontId="31" fillId="40" borderId="37" xfId="0" applyFont="1" applyFill="1" applyBorder="1"/>
    <xf numFmtId="0" fontId="31" fillId="0" borderId="10" xfId="0" applyFont="1" applyBorder="1"/>
    <xf numFmtId="169" fontId="31" fillId="0" borderId="0" xfId="0" applyNumberFormat="1" applyFont="1"/>
    <xf numFmtId="170" fontId="26" fillId="36" borderId="10" xfId="0" applyNumberFormat="1" applyFont="1" applyFill="1" applyBorder="1"/>
    <xf numFmtId="0" fontId="2" fillId="3" borderId="0" xfId="3" applyFont="1" applyAlignment="1">
      <alignment horizontal="center"/>
    </xf>
    <xf numFmtId="0" fontId="7" fillId="35" borderId="10" xfId="0" applyFont="1" applyFill="1" applyBorder="1" applyAlignment="1">
      <alignment horizontal="center" wrapText="1"/>
    </xf>
    <xf numFmtId="0" fontId="31" fillId="37" borderId="21" xfId="0" applyFont="1" applyFill="1" applyBorder="1" applyAlignment="1">
      <alignment horizontal="center" wrapText="1"/>
    </xf>
    <xf numFmtId="0" fontId="31" fillId="37" borderId="22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vertical="center" wrapText="1"/>
    </xf>
    <xf numFmtId="0" fontId="30" fillId="37" borderId="28" xfId="0" applyFont="1" applyFill="1" applyBorder="1" applyAlignment="1">
      <alignment horizontal="center" vertical="center" wrapText="1"/>
    </xf>
    <xf numFmtId="0" fontId="30" fillId="37" borderId="32" xfId="0" applyFont="1" applyFill="1" applyBorder="1" applyAlignment="1">
      <alignment horizontal="center" vertical="center" wrapText="1"/>
    </xf>
    <xf numFmtId="0" fontId="30" fillId="37" borderId="13" xfId="0" applyFont="1" applyFill="1" applyBorder="1" applyAlignment="1">
      <alignment horizontal="center" vertical="center" wrapText="1"/>
    </xf>
    <xf numFmtId="0" fontId="30" fillId="37" borderId="23" xfId="0" applyFont="1" applyFill="1" applyBorder="1" applyAlignment="1">
      <alignment horizontal="center" vertical="center" wrapText="1"/>
    </xf>
    <xf numFmtId="0" fontId="30" fillId="37" borderId="24" xfId="0" applyFont="1" applyFill="1" applyBorder="1" applyAlignment="1">
      <alignment horizontal="center" vertical="center" wrapText="1"/>
    </xf>
    <xf numFmtId="0" fontId="30" fillId="37" borderId="25" xfId="0" applyFont="1" applyFill="1" applyBorder="1" applyAlignment="1">
      <alignment horizontal="center" vertical="center" wrapText="1"/>
    </xf>
    <xf numFmtId="0" fontId="30" fillId="37" borderId="26" xfId="0" applyFont="1" applyFill="1" applyBorder="1" applyAlignment="1">
      <alignment horizontal="center" vertical="center" wrapText="1"/>
    </xf>
    <xf numFmtId="0" fontId="30" fillId="37" borderId="27" xfId="0" applyFont="1" applyFill="1" applyBorder="1" applyAlignment="1">
      <alignment horizontal="center" vertical="center" wrapText="1"/>
    </xf>
    <xf numFmtId="0" fontId="30" fillId="37" borderId="36" xfId="0" applyFont="1" applyFill="1" applyBorder="1" applyAlignment="1">
      <alignment horizontal="center" vertical="center" wrapText="1"/>
    </xf>
    <xf numFmtId="0" fontId="30" fillId="37" borderId="38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left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31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0" fillId="37" borderId="10" xfId="0" applyFont="1" applyFill="1" applyBorder="1" applyAlignment="1">
      <alignment horizontal="center" vertical="center" wrapText="1"/>
    </xf>
    <xf numFmtId="0" fontId="7" fillId="0" borderId="0" xfId="0" applyFont="1"/>
    <xf numFmtId="0" fontId="1" fillId="5" borderId="10" xfId="5" applyBorder="1"/>
    <xf numFmtId="0" fontId="1" fillId="5" borderId="10" xfId="5" applyBorder="1" applyAlignment="1">
      <alignment horizontal="left" indent="4"/>
    </xf>
    <xf numFmtId="0" fontId="0" fillId="5" borderId="10" xfId="5" applyFont="1" applyBorder="1" applyAlignment="1">
      <alignment wrapText="1"/>
    </xf>
    <xf numFmtId="14" fontId="0" fillId="5" borderId="10" xfId="5" applyNumberFormat="1" applyFont="1" applyBorder="1" applyAlignment="1">
      <alignment wrapText="1"/>
    </xf>
    <xf numFmtId="166" fontId="7" fillId="5" borderId="10" xfId="5" applyNumberFormat="1" applyFont="1" applyBorder="1"/>
    <xf numFmtId="164" fontId="7" fillId="5" borderId="10" xfId="5" applyNumberFormat="1" applyFont="1" applyBorder="1"/>
    <xf numFmtId="164" fontId="1" fillId="5" borderId="10" xfId="5" applyNumberFormat="1" applyBorder="1"/>
    <xf numFmtId="165" fontId="1" fillId="5" borderId="10" xfId="5" applyNumberFormat="1" applyBorder="1"/>
    <xf numFmtId="14" fontId="1" fillId="5" borderId="10" xfId="5" applyNumberFormat="1" applyBorder="1" applyAlignment="1">
      <alignment wrapText="1"/>
    </xf>
    <xf numFmtId="0" fontId="0" fillId="5" borderId="10" xfId="5" applyFont="1" applyBorder="1" applyAlignment="1">
      <alignment horizontal="left" indent="4"/>
    </xf>
  </cellXfs>
  <cellStyles count="53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39" builtinId="46" customBuiltin="1"/>
    <cellStyle name="20% - Accent6" xfId="43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5" builtinId="43" customBuiltin="1"/>
    <cellStyle name="40% - Accent5" xfId="40" builtinId="47" customBuiltin="1"/>
    <cellStyle name="40% - Accent6" xfId="44" builtinId="51" customBuiltin="1"/>
    <cellStyle name="60% - Accent1" xfId="2" builtinId="32" customBuiltin="1"/>
    <cellStyle name="60% - Accent2" xfId="31" builtinId="36" customBuiltin="1"/>
    <cellStyle name="60% - Accent3" xfId="35" builtinId="40" customBuiltin="1"/>
    <cellStyle name="60% - Accent4" xfId="3" builtinId="44" customBuiltin="1"/>
    <cellStyle name="60% - Accent5" xfId="41" builtinId="48" customBuiltin="1"/>
    <cellStyle name="60% - Accent6" xfId="4" builtinId="52" customBuiltin="1"/>
    <cellStyle name="Accent1" xfId="25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38" builtinId="45" customBuiltin="1"/>
    <cellStyle name="Accent6" xfId="42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6" builtinId="3"/>
    <cellStyle name="Comma 2" xfId="46"/>
    <cellStyle name="Comma 2 2" xfId="52"/>
    <cellStyle name="Comma 2 3" xfId="49"/>
    <cellStyle name="Currency" xfId="1" builtinId="4"/>
    <cellStyle name="Currency 2" xfId="47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45"/>
    <cellStyle name="Normal 2 2" xfId="51"/>
    <cellStyle name="Normal 2 3" xfId="48"/>
    <cellStyle name="Note" xfId="22" builtinId="10" customBuiltin="1"/>
    <cellStyle name="Output" xfId="17" builtinId="21" customBuiltin="1"/>
    <cellStyle name="Percent" xfId="7" builtinId="5"/>
    <cellStyle name="Percent 2" xfId="50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'Adherence Response S Curve 3'!$B$12</c:f>
              <c:numCache>
                <c:formatCode>_("$"* #,##0_);_("$"* \(#,##0\);_("$"* "-"??_);_(@_)</c:formatCode>
                <c:ptCount val="1"/>
                <c:pt idx="0">
                  <c:v>14895305</c:v>
                </c:pt>
              </c:numCache>
            </c:numRef>
          </c:xVal>
          <c:yVal>
            <c:numRef>
              <c:f>'Adherence Response S Curve 3'!$C$12</c:f>
              <c:numCache>
                <c:formatCode>#,##0</c:formatCode>
                <c:ptCount val="1"/>
                <c:pt idx="0">
                  <c:v>357940.73004525516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'Adherence Response S Curve 3'!$D$3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'Adherence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'Adherence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135113.29644636251</c:v>
                </c:pt>
                <c:pt idx="2">
                  <c:v>254591.97913881578</c:v>
                </c:pt>
                <c:pt idx="3">
                  <c:v>360014.24244978279</c:v>
                </c:pt>
                <c:pt idx="4">
                  <c:v>452854.32718004286</c:v>
                </c:pt>
                <c:pt idx="5">
                  <c:v>534474.97147820704</c:v>
                </c:pt>
                <c:pt idx="6">
                  <c:v>606124.7761241179</c:v>
                </c:pt>
                <c:pt idx="7">
                  <c:v>668939.25991971605</c:v>
                </c:pt>
                <c:pt idx="8">
                  <c:v>723944.57357360981</c:v>
                </c:pt>
                <c:pt idx="9">
                  <c:v>772063.02949445881</c:v>
                </c:pt>
                <c:pt idx="10">
                  <c:v>814119.77849387564</c:v>
                </c:pt>
                <c:pt idx="11">
                  <c:v>850850.11652806774</c:v>
                </c:pt>
                <c:pt idx="12">
                  <c:v>882907.0332507249</c:v>
                </c:pt>
                <c:pt idx="13">
                  <c:v>910868.71980837546</c:v>
                </c:pt>
                <c:pt idx="14">
                  <c:v>935245.83793615736</c:v>
                </c:pt>
                <c:pt idx="15">
                  <c:v>956488.41865856946</c:v>
                </c:pt>
                <c:pt idx="16">
                  <c:v>974992.30962446891</c:v>
                </c:pt>
                <c:pt idx="17">
                  <c:v>991105.12807348929</c:v>
                </c:pt>
                <c:pt idx="18">
                  <c:v>1005131.7041497529</c:v>
                </c:pt>
                <c:pt idx="19">
                  <c:v>1017339.0189256109</c:v>
                </c:pt>
                <c:pt idx="20">
                  <c:v>1027960.6549040452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95104"/>
        <c:axId val="259305856"/>
      </c:scatterChart>
      <c:valAx>
        <c:axId val="25929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layout/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59305856"/>
        <c:crosses val="autoZero"/>
        <c:crossBetween val="midCat"/>
        <c:dispUnits>
          <c:builtInUnit val="millions"/>
        </c:dispUnits>
      </c:valAx>
      <c:valAx>
        <c:axId val="2593058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92951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12</xdr:row>
      <xdr:rowOff>0</xdr:rowOff>
    </xdr:from>
    <xdr:to>
      <xdr:col>14</xdr:col>
      <xdr:colOff>238125</xdr:colOff>
      <xdr:row>14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238125</xdr:colOff>
      <xdr:row>16</xdr:row>
      <xdr:rowOff>180975</xdr:rowOff>
    </xdr:to>
    <xdr:sp macro="" textlink="">
      <xdr:nvSpPr>
        <xdr:cNvPr id="3" name="Left Brace 2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17</xdr:row>
      <xdr:rowOff>0</xdr:rowOff>
    </xdr:from>
    <xdr:to>
      <xdr:col>14</xdr:col>
      <xdr:colOff>238125</xdr:colOff>
      <xdr:row>19</xdr:row>
      <xdr:rowOff>180975</xdr:rowOff>
    </xdr:to>
    <xdr:sp macro="" textlink="">
      <xdr:nvSpPr>
        <xdr:cNvPr id="4" name="Left Brace 3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26670</xdr:rowOff>
    </xdr:from>
    <xdr:to>
      <xdr:col>9</xdr:col>
      <xdr:colOff>320040</xdr:colOff>
      <xdr:row>38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/>
      <sheetData sheetId="1"/>
      <sheetData sheetId="2"/>
      <sheetData sheetId="3">
        <row r="29">
          <cell r="A29" t="str">
            <v>Catalina - POS</v>
          </cell>
        </row>
        <row r="30">
          <cell r="F30">
            <v>10</v>
          </cell>
        </row>
        <row r="33">
          <cell r="F33">
            <v>3.9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opLeftCell="J1" zoomScaleNormal="100" workbookViewId="0">
      <selection activeCell="L5" activeCellId="1" sqref="K5 L5"/>
    </sheetView>
  </sheetViews>
  <sheetFormatPr defaultRowHeight="14.4" x14ac:dyDescent="0.3"/>
  <cols>
    <col min="1" max="1" width="10.44140625" customWidth="1"/>
    <col min="2" max="2" width="37.44140625" bestFit="1" customWidth="1"/>
    <col min="3" max="3" width="11.77734375" customWidth="1"/>
    <col min="4" max="4" width="41.4414062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3.88671875" customWidth="1"/>
    <col min="14" max="14" width="20.88671875" customWidth="1"/>
    <col min="15" max="15" width="19.33203125" customWidth="1"/>
    <col min="16" max="16" width="10.44140625" bestFit="1" customWidth="1"/>
    <col min="17" max="17" width="20" customWidth="1"/>
  </cols>
  <sheetData>
    <row r="1" spans="1:17" ht="15" x14ac:dyDescent="0.25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7" ht="40.799999999999997" customHeight="1" x14ac:dyDescent="0.3">
      <c r="C3" s="2" t="s">
        <v>14</v>
      </c>
      <c r="D3" s="2"/>
      <c r="E3" s="2"/>
      <c r="I3" s="17"/>
      <c r="J3" s="17"/>
      <c r="K3" s="71" t="s">
        <v>89</v>
      </c>
      <c r="L3" s="71"/>
      <c r="M3" s="71"/>
      <c r="N3" s="71"/>
      <c r="O3" s="71" t="s">
        <v>24</v>
      </c>
      <c r="P3" s="71"/>
      <c r="Q3" s="22" t="s">
        <v>36</v>
      </c>
    </row>
    <row r="4" spans="1:17" ht="64.8" customHeight="1" x14ac:dyDescent="0.3">
      <c r="C4" s="2"/>
      <c r="D4" s="2" t="s">
        <v>13</v>
      </c>
      <c r="E4" s="2">
        <v>0.4</v>
      </c>
      <c r="H4" s="20" t="s">
        <v>27</v>
      </c>
      <c r="I4" s="20" t="s">
        <v>30</v>
      </c>
      <c r="J4" s="17"/>
      <c r="K4" s="21" t="s">
        <v>25</v>
      </c>
      <c r="L4" s="21" t="s">
        <v>31</v>
      </c>
      <c r="M4" s="22" t="s">
        <v>32</v>
      </c>
      <c r="N4" s="31" t="s">
        <v>33</v>
      </c>
      <c r="O4" s="22" t="s">
        <v>35</v>
      </c>
      <c r="P4" s="22" t="s">
        <v>34</v>
      </c>
      <c r="Q4" s="22" t="s">
        <v>26</v>
      </c>
    </row>
    <row r="5" spans="1:17" s="4" customFormat="1" ht="15" customHeight="1" x14ac:dyDescent="0.35">
      <c r="C5" s="2">
        <v>2013</v>
      </c>
      <c r="D5" s="2" t="s">
        <v>15</v>
      </c>
      <c r="E5" s="3">
        <f>'[1] Summary'!$D$22</f>
        <v>1117.7796531072613</v>
      </c>
      <c r="H5" s="19">
        <v>14649000</v>
      </c>
      <c r="I5" s="19">
        <v>5165000</v>
      </c>
      <c r="J5" s="17"/>
      <c r="K5" s="26">
        <f>F22</f>
        <v>14895305</v>
      </c>
      <c r="L5" s="27">
        <f>I22</f>
        <v>357940.73004525516</v>
      </c>
      <c r="M5" s="24">
        <f>L5/H5</f>
        <v>2.4434482220305493E-2</v>
      </c>
      <c r="N5" s="23">
        <f>K5/L5</f>
        <v>41.613886740737094</v>
      </c>
      <c r="O5" s="69">
        <v>7.4999999999999997E-2</v>
      </c>
      <c r="P5" s="25">
        <f>O5*H5</f>
        <v>1098675</v>
      </c>
      <c r="Q5" s="30">
        <v>14895305</v>
      </c>
    </row>
    <row r="6" spans="1:17" s="4" customFormat="1" x14ac:dyDescent="0.3">
      <c r="C6" s="2">
        <v>2013</v>
      </c>
      <c r="D6" s="2" t="s">
        <v>28</v>
      </c>
      <c r="E6" s="3">
        <v>194</v>
      </c>
      <c r="I6" s="18"/>
      <c r="J6" s="18"/>
      <c r="K6" s="28" t="s">
        <v>37</v>
      </c>
      <c r="L6" s="18"/>
      <c r="M6" s="18"/>
      <c r="N6" s="18"/>
      <c r="O6" s="18"/>
      <c r="P6" s="18"/>
      <c r="Q6" s="18"/>
    </row>
    <row r="7" spans="1:17" s="18" customFormat="1" x14ac:dyDescent="0.3">
      <c r="C7" s="2">
        <v>2013</v>
      </c>
      <c r="D7" s="2" t="s">
        <v>29</v>
      </c>
      <c r="E7" s="3">
        <f>E6*(1-E4)</f>
        <v>116.39999999999999</v>
      </c>
      <c r="K7" s="28" t="s">
        <v>90</v>
      </c>
    </row>
    <row r="8" spans="1:17" s="4" customFormat="1" x14ac:dyDescent="0.3">
      <c r="C8" s="5"/>
      <c r="D8" s="5"/>
      <c r="E8" s="6"/>
      <c r="K8" s="28" t="s">
        <v>113</v>
      </c>
    </row>
    <row r="9" spans="1:17" s="4" customFormat="1" x14ac:dyDescent="0.3">
      <c r="A9" s="4" t="s">
        <v>23</v>
      </c>
      <c r="C9" s="5"/>
      <c r="D9" s="5"/>
      <c r="E9" s="6"/>
    </row>
    <row r="10" spans="1:17" s="4" customFormat="1" x14ac:dyDescent="0.3">
      <c r="C10" s="5"/>
      <c r="D10" s="5"/>
      <c r="E10" s="6"/>
    </row>
    <row r="12" spans="1:17" s="8" customFormat="1" x14ac:dyDescent="0.3">
      <c r="A12" s="7" t="s">
        <v>0</v>
      </c>
      <c r="B12" s="7" t="s">
        <v>1</v>
      </c>
      <c r="C12" s="7" t="s">
        <v>6</v>
      </c>
      <c r="D12" s="7" t="s">
        <v>8</v>
      </c>
      <c r="E12" s="7" t="s">
        <v>7</v>
      </c>
      <c r="F12" s="7" t="s">
        <v>2</v>
      </c>
      <c r="G12" s="7" t="s">
        <v>9</v>
      </c>
      <c r="H12" s="7" t="s">
        <v>3</v>
      </c>
      <c r="I12" s="29" t="s">
        <v>88</v>
      </c>
      <c r="J12" s="7" t="s">
        <v>10</v>
      </c>
      <c r="K12" s="7" t="s">
        <v>11</v>
      </c>
      <c r="L12" s="7" t="s">
        <v>12</v>
      </c>
      <c r="M12" s="7" t="s">
        <v>4</v>
      </c>
      <c r="N12" s="7" t="s">
        <v>16</v>
      </c>
    </row>
    <row r="13" spans="1:17" s="9" customFormat="1" ht="43.2" x14ac:dyDescent="0.3">
      <c r="A13" s="93">
        <v>2013</v>
      </c>
      <c r="B13" s="102" t="s">
        <v>102</v>
      </c>
      <c r="C13" s="95" t="s">
        <v>96</v>
      </c>
      <c r="D13" s="96" t="s">
        <v>94</v>
      </c>
      <c r="E13" s="97">
        <v>3.5</v>
      </c>
      <c r="F13" s="98">
        <v>2700000</v>
      </c>
      <c r="G13" s="99">
        <f t="shared" ref="G13:G21" si="0">F13*E13</f>
        <v>9450000</v>
      </c>
      <c r="H13" s="99">
        <f t="shared" ref="H13:H21" si="1">G13*(1-$E$4)</f>
        <v>5670000</v>
      </c>
      <c r="I13" s="100">
        <f>H13/$E$7</f>
        <v>48711.340206185574</v>
      </c>
      <c r="J13" s="10"/>
      <c r="K13" s="10"/>
      <c r="L13" s="10"/>
      <c r="M13" s="9" t="s">
        <v>5</v>
      </c>
    </row>
    <row r="14" spans="1:17" s="9" customFormat="1" ht="43.2" x14ac:dyDescent="0.3">
      <c r="A14" s="93">
        <v>2013</v>
      </c>
      <c r="B14" s="94" t="s">
        <v>103</v>
      </c>
      <c r="C14" s="95" t="s">
        <v>97</v>
      </c>
      <c r="D14" s="96" t="s">
        <v>95</v>
      </c>
      <c r="E14" s="97">
        <f>'[2]DAVID1 2013 SAP Numbers'!$F30</f>
        <v>10</v>
      </c>
      <c r="F14" s="98">
        <v>3100000</v>
      </c>
      <c r="G14" s="99">
        <f t="shared" si="0"/>
        <v>31000000</v>
      </c>
      <c r="H14" s="99">
        <f t="shared" si="1"/>
        <v>18600000</v>
      </c>
      <c r="I14" s="100">
        <f t="shared" ref="I14:I21" si="2">H14/$E$7</f>
        <v>159793.81443298969</v>
      </c>
      <c r="J14" s="10"/>
      <c r="K14" s="10"/>
      <c r="L14" s="10"/>
      <c r="M14" s="9" t="s">
        <v>5</v>
      </c>
      <c r="O14" s="11" t="s">
        <v>18</v>
      </c>
    </row>
    <row r="15" spans="1:17" s="9" customFormat="1" ht="43.2" x14ac:dyDescent="0.3">
      <c r="A15" s="93">
        <v>2013</v>
      </c>
      <c r="B15" s="94" t="s">
        <v>104</v>
      </c>
      <c r="C15" s="95" t="s">
        <v>96</v>
      </c>
      <c r="D15" s="96" t="s">
        <v>98</v>
      </c>
      <c r="E15" s="97">
        <v>6.2637621287794865</v>
      </c>
      <c r="F15" s="98">
        <v>1000000</v>
      </c>
      <c r="G15" s="99">
        <f t="shared" si="0"/>
        <v>6263762.1287794868</v>
      </c>
      <c r="H15" s="99">
        <f t="shared" si="1"/>
        <v>3758257.2772676921</v>
      </c>
      <c r="I15" s="100">
        <f t="shared" si="2"/>
        <v>32287.43365350251</v>
      </c>
      <c r="J15" s="10"/>
      <c r="K15" s="10"/>
      <c r="L15" s="10"/>
      <c r="M15" s="9" t="s">
        <v>5</v>
      </c>
    </row>
    <row r="16" spans="1:17" s="9" customFormat="1" ht="43.2" x14ac:dyDescent="0.3">
      <c r="A16" s="93">
        <v>2013</v>
      </c>
      <c r="B16" s="94" t="s">
        <v>105</v>
      </c>
      <c r="C16" s="95" t="s">
        <v>97</v>
      </c>
      <c r="D16" s="96" t="s">
        <v>95</v>
      </c>
      <c r="E16" s="97">
        <f>'[2]DAVID1 2013 SAP Numbers'!$F33</f>
        <v>3.9</v>
      </c>
      <c r="F16" s="98">
        <v>3803805</v>
      </c>
      <c r="G16" s="99">
        <f t="shared" si="0"/>
        <v>14834839.5</v>
      </c>
      <c r="H16" s="99">
        <f t="shared" si="1"/>
        <v>8900903.6999999993</v>
      </c>
      <c r="I16" s="100">
        <f t="shared" si="2"/>
        <v>76468.244845360823</v>
      </c>
      <c r="J16" s="10"/>
      <c r="K16" s="10"/>
      <c r="L16" s="10"/>
      <c r="M16" s="9" t="s">
        <v>5</v>
      </c>
      <c r="O16" s="11" t="s">
        <v>18</v>
      </c>
    </row>
    <row r="17" spans="1:15" s="9" customFormat="1" ht="28.8" x14ac:dyDescent="0.3">
      <c r="A17" s="93">
        <v>2013</v>
      </c>
      <c r="B17" s="94" t="s">
        <v>106</v>
      </c>
      <c r="C17" s="95" t="s">
        <v>96</v>
      </c>
      <c r="D17" s="96" t="s">
        <v>99</v>
      </c>
      <c r="E17" s="97">
        <v>1.8</v>
      </c>
      <c r="F17" s="99">
        <v>618000</v>
      </c>
      <c r="G17" s="99">
        <f t="shared" si="0"/>
        <v>1112400</v>
      </c>
      <c r="H17" s="99">
        <f t="shared" si="1"/>
        <v>667440</v>
      </c>
      <c r="I17" s="100">
        <f t="shared" si="2"/>
        <v>5734.0206185567013</v>
      </c>
      <c r="J17" s="10"/>
      <c r="K17" s="10"/>
      <c r="L17" s="10"/>
      <c r="M17" s="9" t="s">
        <v>5</v>
      </c>
    </row>
    <row r="18" spans="1:15" s="9" customFormat="1" ht="28.8" x14ac:dyDescent="0.3">
      <c r="A18" s="93">
        <v>2013</v>
      </c>
      <c r="B18" s="94" t="s">
        <v>107</v>
      </c>
      <c r="C18" s="95" t="s">
        <v>100</v>
      </c>
      <c r="D18" s="96" t="s">
        <v>101</v>
      </c>
      <c r="E18" s="97">
        <v>3</v>
      </c>
      <c r="F18" s="98">
        <v>420000</v>
      </c>
      <c r="G18" s="99">
        <f t="shared" si="0"/>
        <v>1260000</v>
      </c>
      <c r="H18" s="99">
        <f t="shared" si="1"/>
        <v>756000</v>
      </c>
      <c r="I18" s="100">
        <f t="shared" si="2"/>
        <v>6494.8453608247428</v>
      </c>
      <c r="J18" s="10"/>
      <c r="K18" s="10"/>
      <c r="L18" s="10"/>
      <c r="M18" s="9" t="s">
        <v>5</v>
      </c>
    </row>
    <row r="19" spans="1:15" s="9" customFormat="1" ht="28.8" x14ac:dyDescent="0.3">
      <c r="A19" s="93">
        <v>2013</v>
      </c>
      <c r="B19" s="94" t="s">
        <v>108</v>
      </c>
      <c r="C19" s="95" t="s">
        <v>96</v>
      </c>
      <c r="D19" s="101" t="s">
        <v>99</v>
      </c>
      <c r="E19" s="97">
        <v>1.4</v>
      </c>
      <c r="F19" s="98">
        <v>2750000</v>
      </c>
      <c r="G19" s="99">
        <f t="shared" si="0"/>
        <v>3849999.9999999995</v>
      </c>
      <c r="H19" s="99">
        <f t="shared" si="1"/>
        <v>2309999.9999999995</v>
      </c>
      <c r="I19" s="100">
        <f t="shared" si="2"/>
        <v>19845.360824742267</v>
      </c>
      <c r="J19" s="10"/>
      <c r="K19" s="10"/>
      <c r="L19" s="10"/>
      <c r="M19" s="9" t="s">
        <v>5</v>
      </c>
      <c r="O19" s="11" t="s">
        <v>18</v>
      </c>
    </row>
    <row r="20" spans="1:15" s="9" customFormat="1" ht="28.8" x14ac:dyDescent="0.3">
      <c r="A20" s="93">
        <v>2013</v>
      </c>
      <c r="B20" s="94" t="s">
        <v>109</v>
      </c>
      <c r="C20" s="95" t="s">
        <v>100</v>
      </c>
      <c r="D20" s="96" t="s">
        <v>101</v>
      </c>
      <c r="E20" s="97">
        <v>3.5</v>
      </c>
      <c r="F20" s="98">
        <v>318000</v>
      </c>
      <c r="G20" s="99">
        <f t="shared" si="0"/>
        <v>1113000</v>
      </c>
      <c r="H20" s="99">
        <f t="shared" si="1"/>
        <v>667800</v>
      </c>
      <c r="I20" s="100">
        <f t="shared" si="2"/>
        <v>5737.1134020618565</v>
      </c>
      <c r="J20" s="10"/>
      <c r="K20" s="10"/>
      <c r="L20" s="10"/>
      <c r="M20" s="9" t="s">
        <v>5</v>
      </c>
    </row>
    <row r="21" spans="1:15" s="9" customFormat="1" ht="28.8" x14ac:dyDescent="0.3">
      <c r="A21" s="93">
        <v>2013</v>
      </c>
      <c r="B21" s="102" t="s">
        <v>110</v>
      </c>
      <c r="C21" s="95" t="s">
        <v>111</v>
      </c>
      <c r="D21" s="96" t="s">
        <v>112</v>
      </c>
      <c r="E21" s="97">
        <v>3</v>
      </c>
      <c r="F21" s="98">
        <v>185500</v>
      </c>
      <c r="G21" s="99">
        <f t="shared" si="0"/>
        <v>556500</v>
      </c>
      <c r="H21" s="99">
        <f t="shared" si="1"/>
        <v>333900</v>
      </c>
      <c r="I21" s="100">
        <f t="shared" si="2"/>
        <v>2868.5567010309283</v>
      </c>
      <c r="J21" s="10"/>
      <c r="K21" s="10"/>
      <c r="L21" s="10"/>
      <c r="M21" s="9" t="s">
        <v>5</v>
      </c>
    </row>
    <row r="22" spans="1:15" x14ac:dyDescent="0.3">
      <c r="A22" s="12" t="s">
        <v>22</v>
      </c>
      <c r="B22" s="12"/>
      <c r="C22" s="12"/>
      <c r="D22" s="12"/>
      <c r="E22" s="14">
        <f>SUMPRODUCT(E13:E21,F13:F21)/SUM(F13:F21)</f>
        <v>4.6619053204200576</v>
      </c>
      <c r="F22" s="13">
        <f>SUM(F13:F21)</f>
        <v>14895305</v>
      </c>
      <c r="G22" s="13">
        <f>SUM(G13:G21)</f>
        <v>69440501.628779486</v>
      </c>
      <c r="H22" s="13">
        <f>SUM(H13:H21)</f>
        <v>41664300.97726769</v>
      </c>
      <c r="I22" s="16">
        <f>SUM(I13:I21)</f>
        <v>357940.73004525516</v>
      </c>
      <c r="J22" s="12"/>
      <c r="K22" s="12"/>
      <c r="L22" s="12"/>
      <c r="N22" t="s">
        <v>21</v>
      </c>
    </row>
    <row r="23" spans="1:15" x14ac:dyDescent="0.3">
      <c r="I23" s="15">
        <f>I22/H5</f>
        <v>2.4434482220305493E-2</v>
      </c>
    </row>
    <row r="25" spans="1:15" x14ac:dyDescent="0.3">
      <c r="A25" t="s">
        <v>17</v>
      </c>
    </row>
    <row r="26" spans="1:15" x14ac:dyDescent="0.3">
      <c r="B26" s="1">
        <v>15700000</v>
      </c>
      <c r="D26" t="s">
        <v>19</v>
      </c>
      <c r="F26" s="1"/>
    </row>
    <row r="30" spans="1:15" x14ac:dyDescent="0.3">
      <c r="A30" s="92" t="s">
        <v>91</v>
      </c>
    </row>
    <row r="31" spans="1:15" x14ac:dyDescent="0.3">
      <c r="A31">
        <v>1</v>
      </c>
      <c r="B31" s="17" t="s">
        <v>92</v>
      </c>
    </row>
    <row r="32" spans="1:15" x14ac:dyDescent="0.3">
      <c r="A32">
        <v>2</v>
      </c>
      <c r="B32" s="17" t="s">
        <v>93</v>
      </c>
    </row>
  </sheetData>
  <mergeCells count="3">
    <mergeCell ref="A1:M1"/>
    <mergeCell ref="K3:N3"/>
    <mergeCell ref="O3:P3"/>
  </mergeCells>
  <pageMargins left="0.7" right="0.7" top="0.75" bottom="0.75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2"/>
  <sheetViews>
    <sheetView tabSelected="1" workbookViewId="0">
      <selection activeCell="G15" sqref="G15"/>
    </sheetView>
  </sheetViews>
  <sheetFormatPr defaultRowHeight="13.8" x14ac:dyDescent="0.3"/>
  <cols>
    <col min="1" max="1" width="12.109375" style="33" customWidth="1"/>
    <col min="2" max="2" width="13.5546875" style="33" customWidth="1"/>
    <col min="3" max="3" width="12.5546875" style="33" customWidth="1"/>
    <col min="4" max="4" width="13.77734375" style="33" customWidth="1"/>
    <col min="5" max="6" width="12.44140625" style="33" customWidth="1"/>
    <col min="7" max="7" width="12" style="33" customWidth="1"/>
    <col min="8" max="8" width="10.33203125" style="33" customWidth="1"/>
    <col min="9" max="9" width="12.77734375" style="33" customWidth="1"/>
    <col min="10" max="10" width="12.5546875" style="33" customWidth="1"/>
    <col min="11" max="11" width="14.33203125" style="33" bestFit="1" customWidth="1"/>
    <col min="12" max="13" width="12" style="33" bestFit="1" customWidth="1"/>
    <col min="14" max="14" width="11.44140625" style="33" bestFit="1" customWidth="1"/>
    <col min="15" max="15" width="11.109375" style="33" customWidth="1"/>
    <col min="16" max="16384" width="8.88671875" style="33"/>
  </cols>
  <sheetData>
    <row r="1" spans="1:15" ht="14.4" thickBot="1" x14ac:dyDescent="0.35">
      <c r="A1" s="32" t="s">
        <v>38</v>
      </c>
      <c r="B1" s="33" t="s">
        <v>39</v>
      </c>
    </row>
    <row r="2" spans="1:15" x14ac:dyDescent="0.3">
      <c r="A2" s="34" t="s">
        <v>40</v>
      </c>
      <c r="B2" s="35" t="s">
        <v>41</v>
      </c>
      <c r="C2" s="36" t="s">
        <v>42</v>
      </c>
      <c r="D2" s="37" t="s">
        <v>43</v>
      </c>
      <c r="H2" s="38" t="s">
        <v>44</v>
      </c>
      <c r="I2" s="39"/>
      <c r="J2" s="39"/>
      <c r="K2" s="39"/>
      <c r="L2" s="40"/>
    </row>
    <row r="3" spans="1:15" ht="14.4" thickBot="1" x14ac:dyDescent="0.35">
      <c r="A3" s="41" t="s">
        <v>45</v>
      </c>
      <c r="B3" s="42" t="s">
        <v>46</v>
      </c>
      <c r="C3" s="32" t="s">
        <v>47</v>
      </c>
      <c r="D3" s="43" t="s">
        <v>85</v>
      </c>
      <c r="E3" s="32" t="s">
        <v>48</v>
      </c>
      <c r="F3" s="43" t="s">
        <v>86</v>
      </c>
    </row>
    <row r="4" spans="1:15" ht="15" customHeight="1" thickBot="1" x14ac:dyDescent="0.35">
      <c r="A4" s="44" t="s">
        <v>49</v>
      </c>
      <c r="B4" s="72" t="s">
        <v>50</v>
      </c>
      <c r="C4" s="72"/>
      <c r="D4" s="72"/>
      <c r="E4" s="72"/>
      <c r="F4" s="73"/>
      <c r="H4" s="33" t="s">
        <v>51</v>
      </c>
    </row>
    <row r="5" spans="1:15" x14ac:dyDescent="0.3">
      <c r="H5" s="33" t="s">
        <v>87</v>
      </c>
    </row>
    <row r="6" spans="1:15" ht="14.4" thickBot="1" x14ac:dyDescent="0.35">
      <c r="B6" s="45">
        <v>0.5</v>
      </c>
      <c r="C6" s="45">
        <v>1.5</v>
      </c>
    </row>
    <row r="7" spans="1:15" ht="27.6" customHeight="1" x14ac:dyDescent="0.3">
      <c r="A7" s="74" t="s">
        <v>52</v>
      </c>
      <c r="B7" s="77" t="s">
        <v>53</v>
      </c>
      <c r="C7" s="78"/>
      <c r="D7" s="79" t="s">
        <v>54</v>
      </c>
      <c r="E7" s="80"/>
      <c r="F7" s="81" t="s">
        <v>55</v>
      </c>
      <c r="G7" s="82"/>
    </row>
    <row r="8" spans="1:15" ht="27.6" x14ac:dyDescent="0.3">
      <c r="A8" s="75"/>
      <c r="B8" s="46" t="s">
        <v>56</v>
      </c>
      <c r="C8" s="47" t="s">
        <v>57</v>
      </c>
      <c r="D8" s="48" t="s">
        <v>58</v>
      </c>
      <c r="E8" s="47" t="s">
        <v>59</v>
      </c>
      <c r="F8" s="49" t="s">
        <v>60</v>
      </c>
      <c r="G8" s="50" t="s">
        <v>61</v>
      </c>
    </row>
    <row r="9" spans="1:15" ht="14.4" thickBot="1" x14ac:dyDescent="0.35">
      <c r="A9" s="76"/>
      <c r="B9" s="51">
        <f>B6*B12</f>
        <v>7447652.5</v>
      </c>
      <c r="C9" s="51">
        <f>C6*B12</f>
        <v>22342957.5</v>
      </c>
      <c r="D9" s="52">
        <f>F9</f>
        <v>14895305</v>
      </c>
      <c r="E9" s="53">
        <f>(($O$12/(1+EXP($M$12+$N$12*D9)))-1) - ($F$12-$C$12)</f>
        <v>357940.73004525341</v>
      </c>
      <c r="F9" s="51">
        <f>B12</f>
        <v>14895305</v>
      </c>
      <c r="G9" s="54">
        <f>C12</f>
        <v>357940.73004525516</v>
      </c>
    </row>
    <row r="10" spans="1:15" ht="14.4" thickBot="1" x14ac:dyDescent="0.35"/>
    <row r="11" spans="1:15" ht="51.6" customHeight="1" x14ac:dyDescent="0.3">
      <c r="A11" s="74" t="s">
        <v>62</v>
      </c>
      <c r="B11" s="55" t="s">
        <v>63</v>
      </c>
      <c r="C11" s="55" t="s">
        <v>64</v>
      </c>
      <c r="D11" s="55" t="s">
        <v>65</v>
      </c>
      <c r="E11" s="55" t="s">
        <v>66</v>
      </c>
      <c r="F11" s="56" t="s">
        <v>67</v>
      </c>
      <c r="H11" s="83" t="s">
        <v>68</v>
      </c>
      <c r="I11" s="55" t="s">
        <v>69</v>
      </c>
      <c r="J11" s="55" t="s">
        <v>70</v>
      </c>
      <c r="K11" s="55" t="s">
        <v>71</v>
      </c>
      <c r="L11" s="55" t="s">
        <v>72</v>
      </c>
      <c r="M11" s="55" t="s">
        <v>73</v>
      </c>
      <c r="N11" s="55" t="s">
        <v>74</v>
      </c>
      <c r="O11" s="56" t="s">
        <v>75</v>
      </c>
    </row>
    <row r="12" spans="1:15" ht="15" customHeight="1" thickBot="1" x14ac:dyDescent="0.35">
      <c r="A12" s="76"/>
      <c r="B12" s="51">
        <v>14895305</v>
      </c>
      <c r="C12" s="54">
        <v>357940.73004525516</v>
      </c>
      <c r="D12" s="57">
        <v>0</v>
      </c>
      <c r="E12" s="54">
        <v>1098675</v>
      </c>
      <c r="F12" s="58">
        <v>14649000</v>
      </c>
      <c r="H12" s="84"/>
      <c r="I12" s="59">
        <f>F12-C12</f>
        <v>14291059.269954745</v>
      </c>
      <c r="J12" s="59">
        <f>I12+E12</f>
        <v>15389734.269954745</v>
      </c>
      <c r="K12" s="60">
        <f>B12</f>
        <v>14895305</v>
      </c>
      <c r="L12" s="59">
        <f>F12</f>
        <v>14649000</v>
      </c>
      <c r="M12" s="61">
        <f>LN((($J$12+1)/($I$12+1))-1)</f>
        <v>-2.5655292775253753</v>
      </c>
      <c r="N12" s="62">
        <f>(LN((($J$12+1)/($L$12+1))-1)-$M$12)/$K$12</f>
        <v>-2.8126728021741543E-8</v>
      </c>
      <c r="O12" s="63">
        <f>J12+1</f>
        <v>15389735.269954745</v>
      </c>
    </row>
    <row r="13" spans="1:15" ht="34.200000000000003" customHeight="1" x14ac:dyDescent="0.3">
      <c r="A13" s="85" t="s">
        <v>76</v>
      </c>
      <c r="B13" s="86"/>
      <c r="C13" s="86"/>
      <c r="D13" s="86"/>
      <c r="E13" s="86"/>
      <c r="F13" s="87"/>
      <c r="H13" s="85" t="s">
        <v>77</v>
      </c>
      <c r="I13" s="86"/>
      <c r="J13" s="86"/>
      <c r="K13" s="86"/>
      <c r="L13" s="86"/>
      <c r="M13" s="86"/>
      <c r="N13" s="86"/>
      <c r="O13" s="87"/>
    </row>
    <row r="14" spans="1:15" ht="33.6" customHeight="1" x14ac:dyDescent="0.3">
      <c r="A14" s="88"/>
      <c r="B14" s="89"/>
      <c r="C14" s="89"/>
      <c r="D14" s="89"/>
      <c r="E14" s="89"/>
      <c r="F14" s="90"/>
      <c r="H14" s="88"/>
      <c r="I14" s="89"/>
      <c r="J14" s="89"/>
      <c r="K14" s="89"/>
      <c r="L14" s="89"/>
      <c r="M14" s="89"/>
      <c r="N14" s="89"/>
      <c r="O14" s="90"/>
    </row>
    <row r="16" spans="1:15" ht="14.4" thickBot="1" x14ac:dyDescent="0.35"/>
    <row r="17" spans="1:4" ht="16.8" customHeight="1" x14ac:dyDescent="0.3">
      <c r="A17" s="83" t="s">
        <v>78</v>
      </c>
      <c r="B17" s="55" t="s">
        <v>79</v>
      </c>
      <c r="C17" s="55" t="s">
        <v>80</v>
      </c>
      <c r="D17" s="56" t="s">
        <v>81</v>
      </c>
    </row>
    <row r="18" spans="1:4" ht="23.4" customHeight="1" thickBot="1" x14ac:dyDescent="0.35">
      <c r="A18" s="84"/>
      <c r="B18" s="64">
        <v>0</v>
      </c>
      <c r="C18" s="65">
        <v>100000000</v>
      </c>
      <c r="D18" s="66">
        <v>20</v>
      </c>
    </row>
    <row r="20" spans="1:4" x14ac:dyDescent="0.3">
      <c r="A20" s="91" t="s">
        <v>82</v>
      </c>
      <c r="B20" s="91"/>
    </row>
    <row r="21" spans="1:4" x14ac:dyDescent="0.3">
      <c r="A21" s="46" t="s">
        <v>83</v>
      </c>
      <c r="B21" s="46" t="s">
        <v>84</v>
      </c>
    </row>
    <row r="22" spans="1:4" x14ac:dyDescent="0.3">
      <c r="A22" s="67">
        <f>B18</f>
        <v>0</v>
      </c>
      <c r="B22" s="67">
        <f>(($O$12/(1+EXP($M$12+$N$12*A22)))-1) - ($F$12-$C$12)</f>
        <v>0</v>
      </c>
    </row>
    <row r="23" spans="1:4" x14ac:dyDescent="0.3">
      <c r="A23" s="67">
        <f>A22+(($C$18-$B$18)/$D$18)</f>
        <v>5000000</v>
      </c>
      <c r="B23" s="67">
        <f t="shared" ref="B23:B42" si="0">(($O$12/(1+EXP($M$12+$N$12*A23)))-1) - ($F$12-$C$12)</f>
        <v>135113.29644636251</v>
      </c>
      <c r="C23" s="68">
        <f>(B23-B22)/A23</f>
        <v>2.7022659289272503E-2</v>
      </c>
    </row>
    <row r="24" spans="1:4" x14ac:dyDescent="0.3">
      <c r="A24" s="67">
        <f t="shared" ref="A24:A42" si="1">A23+(($C$18-$B$18)/$D$18)</f>
        <v>10000000</v>
      </c>
      <c r="B24" s="67">
        <f t="shared" si="0"/>
        <v>254591.97913881578</v>
      </c>
      <c r="C24" s="68">
        <f t="shared" ref="C24:C42" si="2">(B24-B23)/A24</f>
        <v>1.1947868269245326E-2</v>
      </c>
    </row>
    <row r="25" spans="1:4" x14ac:dyDescent="0.3">
      <c r="A25" s="67">
        <f t="shared" si="1"/>
        <v>15000000</v>
      </c>
      <c r="B25" s="67">
        <f t="shared" si="0"/>
        <v>360014.24244978279</v>
      </c>
      <c r="C25" s="68">
        <f t="shared" si="2"/>
        <v>7.0281508873978006E-3</v>
      </c>
    </row>
    <row r="26" spans="1:4" x14ac:dyDescent="0.3">
      <c r="A26" s="67">
        <f t="shared" si="1"/>
        <v>20000000</v>
      </c>
      <c r="B26" s="67">
        <f t="shared" si="0"/>
        <v>452854.32718004286</v>
      </c>
      <c r="C26" s="68">
        <f t="shared" si="2"/>
        <v>4.6420042365130035E-3</v>
      </c>
    </row>
    <row r="27" spans="1:4" x14ac:dyDescent="0.3">
      <c r="A27" s="67">
        <f t="shared" si="1"/>
        <v>25000000</v>
      </c>
      <c r="B27" s="67">
        <f t="shared" si="0"/>
        <v>534474.97147820704</v>
      </c>
      <c r="C27" s="68">
        <f t="shared" si="2"/>
        <v>3.2648257719265668E-3</v>
      </c>
    </row>
    <row r="28" spans="1:4" x14ac:dyDescent="0.3">
      <c r="A28" s="67">
        <f t="shared" si="1"/>
        <v>30000000</v>
      </c>
      <c r="B28" s="67">
        <f t="shared" si="0"/>
        <v>606124.7761241179</v>
      </c>
      <c r="C28" s="68">
        <f t="shared" si="2"/>
        <v>2.388326821530362E-3</v>
      </c>
    </row>
    <row r="29" spans="1:4" x14ac:dyDescent="0.3">
      <c r="A29" s="67">
        <f t="shared" si="1"/>
        <v>35000000</v>
      </c>
      <c r="B29" s="67">
        <f t="shared" si="0"/>
        <v>668939.25991971605</v>
      </c>
      <c r="C29" s="68">
        <f t="shared" si="2"/>
        <v>1.7946995370170899E-3</v>
      </c>
    </row>
    <row r="30" spans="1:4" x14ac:dyDescent="0.3">
      <c r="A30" s="67">
        <f t="shared" si="1"/>
        <v>40000000</v>
      </c>
      <c r="B30" s="67">
        <f t="shared" si="0"/>
        <v>723944.57357360981</v>
      </c>
      <c r="C30" s="68">
        <f t="shared" si="2"/>
        <v>1.3751328413473443E-3</v>
      </c>
    </row>
    <row r="31" spans="1:4" x14ac:dyDescent="0.3">
      <c r="A31" s="67">
        <f t="shared" si="1"/>
        <v>45000000</v>
      </c>
      <c r="B31" s="67">
        <f t="shared" si="0"/>
        <v>772063.02949445881</v>
      </c>
      <c r="C31" s="68">
        <f t="shared" si="2"/>
        <v>1.0692990204633111E-3</v>
      </c>
    </row>
    <row r="32" spans="1:4" x14ac:dyDescent="0.3">
      <c r="A32" s="67">
        <f t="shared" si="1"/>
        <v>50000000</v>
      </c>
      <c r="B32" s="67">
        <f t="shared" si="0"/>
        <v>814119.77849387564</v>
      </c>
      <c r="C32" s="68">
        <f t="shared" si="2"/>
        <v>8.4113497998833657E-4</v>
      </c>
    </row>
    <row r="33" spans="1:3" x14ac:dyDescent="0.3">
      <c r="A33" s="67">
        <f t="shared" si="1"/>
        <v>55000000</v>
      </c>
      <c r="B33" s="67">
        <f t="shared" si="0"/>
        <v>850850.11652806774</v>
      </c>
      <c r="C33" s="68">
        <f t="shared" si="2"/>
        <v>6.6782432789440186E-4</v>
      </c>
    </row>
    <row r="34" spans="1:3" x14ac:dyDescent="0.3">
      <c r="A34" s="67">
        <f>A33+(($C$18-$B$18)/$D$18)</f>
        <v>60000000</v>
      </c>
      <c r="B34" s="67">
        <f t="shared" si="0"/>
        <v>882907.0332507249</v>
      </c>
      <c r="C34" s="68">
        <f t="shared" si="2"/>
        <v>5.3428194537761934E-4</v>
      </c>
    </row>
    <row r="35" spans="1:3" x14ac:dyDescent="0.3">
      <c r="A35" s="67">
        <f t="shared" si="1"/>
        <v>65000000</v>
      </c>
      <c r="B35" s="67">
        <f t="shared" si="0"/>
        <v>910868.71980837546</v>
      </c>
      <c r="C35" s="68">
        <f t="shared" si="2"/>
        <v>4.3017979319462412E-4</v>
      </c>
    </row>
    <row r="36" spans="1:3" x14ac:dyDescent="0.3">
      <c r="A36" s="67">
        <f t="shared" si="1"/>
        <v>70000000</v>
      </c>
      <c r="B36" s="67">
        <f t="shared" si="0"/>
        <v>935245.83793615736</v>
      </c>
      <c r="C36" s="68">
        <f t="shared" si="2"/>
        <v>3.4824454468259855E-4</v>
      </c>
    </row>
    <row r="37" spans="1:3" x14ac:dyDescent="0.3">
      <c r="A37" s="67">
        <f t="shared" si="1"/>
        <v>75000000</v>
      </c>
      <c r="B37" s="67">
        <f t="shared" si="0"/>
        <v>956488.41865856946</v>
      </c>
      <c r="C37" s="68">
        <f t="shared" si="2"/>
        <v>2.8323440963216125E-4</v>
      </c>
    </row>
    <row r="38" spans="1:3" x14ac:dyDescent="0.3">
      <c r="A38" s="67">
        <f t="shared" si="1"/>
        <v>80000000</v>
      </c>
      <c r="B38" s="67">
        <f t="shared" si="0"/>
        <v>974992.30962446891</v>
      </c>
      <c r="C38" s="68">
        <f t="shared" si="2"/>
        <v>2.3129863707374316E-4</v>
      </c>
    </row>
    <row r="39" spans="1:3" x14ac:dyDescent="0.3">
      <c r="A39" s="67">
        <f t="shared" si="1"/>
        <v>85000000</v>
      </c>
      <c r="B39" s="67">
        <f t="shared" si="0"/>
        <v>991105.12807348929</v>
      </c>
      <c r="C39" s="68">
        <f t="shared" si="2"/>
        <v>1.8956256998847512E-4</v>
      </c>
    </row>
    <row r="40" spans="1:3" x14ac:dyDescent="0.3">
      <c r="A40" s="67">
        <f t="shared" si="1"/>
        <v>90000000</v>
      </c>
      <c r="B40" s="67">
        <f t="shared" si="0"/>
        <v>1005131.7041497529</v>
      </c>
      <c r="C40" s="68">
        <f t="shared" si="2"/>
        <v>1.5585084529181736E-4</v>
      </c>
    </row>
    <row r="41" spans="1:3" x14ac:dyDescent="0.3">
      <c r="A41" s="67">
        <f>A40+(($C$18-$B$18)/$D$18)</f>
        <v>95000000</v>
      </c>
      <c r="B41" s="67">
        <f t="shared" si="0"/>
        <v>1017339.0189256109</v>
      </c>
      <c r="C41" s="68">
        <f t="shared" si="2"/>
        <v>1.2849805027219025E-4</v>
      </c>
    </row>
    <row r="42" spans="1:3" x14ac:dyDescent="0.3">
      <c r="A42" s="67">
        <f t="shared" si="1"/>
        <v>100000000</v>
      </c>
      <c r="B42" s="67">
        <f t="shared" si="0"/>
        <v>1027960.6549040452</v>
      </c>
      <c r="C42" s="68">
        <f t="shared" si="2"/>
        <v>1.0621635978434235E-4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Adherence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2013-07-19T21:36:27Z</dcterms:modified>
</cp:coreProperties>
</file>