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-240" windowWidth="15576" windowHeight="5136"/>
  </bookViews>
  <sheets>
    <sheet name="Data" sheetId="1" r:id="rId1"/>
    <sheet name="Desktop Paid Search" sheetId="2" r:id="rId2"/>
  </sheets>
  <externalReferences>
    <externalReference r:id="rId3"/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K8" i="1" l="1"/>
  <c r="J8" i="1"/>
  <c r="J11" i="1" l="1"/>
  <c r="K11" i="1" l="1"/>
  <c r="E14" i="2"/>
  <c r="E4" i="2"/>
  <c r="D11" i="2"/>
  <c r="D13" i="2"/>
  <c r="D10" i="2"/>
  <c r="D9" i="2"/>
  <c r="D6" i="2"/>
  <c r="D4" i="2"/>
  <c r="D5" i="2"/>
  <c r="D7" i="2"/>
  <c r="D8" i="2"/>
  <c r="D14" i="2"/>
  <c r="D12" i="2"/>
  <c r="H24" i="1"/>
  <c r="G24" i="1"/>
  <c r="F24" i="1"/>
  <c r="E24" i="1"/>
  <c r="E6" i="1"/>
  <c r="H23" i="1"/>
  <c r="G23" i="1" s="1"/>
  <c r="F23" i="1"/>
  <c r="E23" i="1" l="1"/>
  <c r="I23" i="1"/>
  <c r="H11" i="1"/>
  <c r="H12" i="1"/>
  <c r="H13" i="1"/>
  <c r="H14" i="1"/>
  <c r="H15" i="1"/>
  <c r="H16" i="1"/>
  <c r="H17" i="1"/>
  <c r="H18" i="1"/>
  <c r="E5" i="1" l="1"/>
  <c r="I24" i="1" l="1"/>
  <c r="I16" i="1"/>
  <c r="I12" i="1"/>
  <c r="I13" i="1"/>
  <c r="I15" i="1"/>
  <c r="I14" i="1"/>
  <c r="I17" i="1"/>
  <c r="I11" i="1"/>
  <c r="I18" i="1" l="1"/>
</calcChain>
</file>

<file path=xl/comments1.xml><?xml version="1.0" encoding="utf-8"?>
<comments xmlns="http://schemas.openxmlformats.org/spreadsheetml/2006/main">
  <authors>
    <author>Merck &amp; Co., Inc.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</commentList>
</comments>
</file>

<file path=xl/sharedStrings.xml><?xml version="1.0" encoding="utf-8"?>
<sst xmlns="http://schemas.openxmlformats.org/spreadsheetml/2006/main" count="106" uniqueCount="56">
  <si>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</si>
  <si>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</si>
  <si>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</si>
  <si>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</si>
  <si>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</si>
  <si>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</si>
  <si>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</si>
  <si>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</si>
  <si>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</si>
  <si>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</si>
  <si>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ER</t>
  </si>
  <si>
    <t>PRE-TAX REVENUE</t>
  </si>
  <si>
    <t>Mobile Paid Search</t>
  </si>
  <si>
    <t>Hispanic Paid Search</t>
  </si>
  <si>
    <t>Display</t>
  </si>
  <si>
    <t>Relationship Marketing</t>
  </si>
  <si>
    <t>Phreesia</t>
  </si>
  <si>
    <t>Real Age</t>
  </si>
  <si>
    <t>Desktop Paid Search</t>
  </si>
  <si>
    <t>actuals through Nov, Dec projections</t>
  </si>
  <si>
    <t>MIN PT SPEND</t>
  </si>
  <si>
    <t>MAX PT SPEND</t>
  </si>
  <si>
    <t>MAX Y</t>
  </si>
  <si>
    <t>tax rate on revenue</t>
  </si>
  <si>
    <t>Total E-Marketing/RM</t>
  </si>
  <si>
    <t>Merck Diabetes Franchise HCC Media Mix: Incremental NRx per Tactic with ROI, Spend and Incremental Revenue</t>
  </si>
  <si>
    <t>Parameters for back-calculation of Incremental NRx</t>
  </si>
  <si>
    <t>e-Marketing</t>
  </si>
  <si>
    <t>In-Office</t>
  </si>
  <si>
    <t>AccentHealth</t>
  </si>
  <si>
    <t>PRA</t>
  </si>
  <si>
    <t>pre-tax 3-year NPV/new patient</t>
  </si>
  <si>
    <t>after-tax 3-year NPV/new patient</t>
  </si>
  <si>
    <t>PatientPoint Exam Room</t>
  </si>
  <si>
    <t>2012 Month</t>
  </si>
  <si>
    <t>Spend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</si>
  <si>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</si>
  <si>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</si>
  <si>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</si>
  <si>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</si>
  <si>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</si>
  <si>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</si>
  <si>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</si>
  <si>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</si>
  <si>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</si>
  <si>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</si>
  <si>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</si>
  <si>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</si>
  <si>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Desktop paid search month-over-month spend and revenue may suggest a curve. This approach has pitfalls related to lack of control for seasonality and market events.</t>
  </si>
  <si>
    <t>Annualized</t>
  </si>
  <si>
    <t>min</t>
  </si>
  <si>
    <t>max</t>
  </si>
  <si>
    <t>NOTES</t>
  </si>
  <si>
    <t xml:space="preserve">Min and max spend derived from annualization of min and max monthly spend in 2012. </t>
  </si>
  <si>
    <t>Print</t>
  </si>
  <si>
    <t>Total planned 2013 spend (Ennis):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</si>
</sst>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3" fillId="2" borderId="0" xfId="3"/>
    <xf numFmtId="5" fontId="3" fillId="2" borderId="0" xfId="3" applyNumberFormat="1"/>
    <xf numFmtId="0" fontId="3" fillId="4" borderId="0" xfId="5"/>
    <xf numFmtId="164" fontId="3" fillId="4" borderId="0" xfId="5" applyNumberFormat="1"/>
    <xf numFmtId="165" fontId="3" fillId="4" borderId="0" xfId="5" applyNumberFormat="1"/>
    <xf numFmtId="0" fontId="0" fillId="0" borderId="0" xfId="0" applyFill="1"/>
    <xf numFmtId="0" fontId="3" fillId="0" borderId="0" xfId="3" applyFill="1"/>
    <xf numFmtId="5" fontId="3" fillId="0" borderId="0" xfId="3" applyNumberFormat="1" applyFill="1"/>
    <xf numFmtId="166" fontId="0" fillId="0" borderId="0" xfId="0" applyNumberFormat="1"/>
    <xf numFmtId="164" fontId="3" fillId="4" borderId="0" xfId="2" applyNumberFormat="1" applyFont="1" applyFill="1"/>
    <xf numFmtId="164" fontId="0" fillId="0" borderId="0" xfId="0" applyNumberFormat="1"/>
    <xf numFmtId="0" fontId="2" fillId="3" borderId="0" xfId="4" applyFont="1" applyAlignment="1">
      <alignment horizontal="center"/>
    </xf>
  </cellXfs>
  <cellStyles count="6">
    <cellStyle name="60% - Accent1" xfId="3" builtinId="32"/>
    <cellStyle name="60% - Accent4" xfId="4" builtinId="44"/>
    <cellStyle name="60% - Accent6" xfId="5" builtinId="52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-4.5351473922902494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60544217687074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81357687431931E-2"/>
                  <c:y val="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8730158730157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829931972789115E-2"/>
                  <c:y val="-5.8866813833701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4421768707482991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605442176870748E-2"/>
                  <c:y val="1.471647169931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2154195011337869E-2"/>
                  <c:y val="-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43310657596373E-2"/>
                  <c:y val="-1.471670345842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MAR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3015873015872E-2"/>
                  <c:y val="-2.9433406916850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-0.49567857589229919"/>
                  <c:y val="-1.5625538769068657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tx2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49649490242291144"/>
                  <c:y val="7.683404526202714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46467405859982"/>
                  <c:y val="0.1828442666531635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spPr>
              <a:ln w="9525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0.55189154927062689"/>
                  <c:y val="0.2906062787167681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spPr>
              <a:ln w="9525">
                <a:solidFill>
                  <a:schemeClr val="accent6">
                    <a:lumMod val="50000"/>
                  </a:schemeClr>
                </a:solidFill>
                <a:prstDash val="sys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3485082221865126"/>
                  <c:y val="0.50833468967504469"/>
                </c:manualLayout>
              </c:layout>
              <c:numFmt formatCode="General" sourceLinked="0"/>
            </c:trendlineLbl>
          </c:trendline>
          <c:xVal>
            <c:numRef>
              <c:f>'Desktop Paid Search'!$B$4:$B$14</c:f>
              <c:numCache>
                <c:formatCode>_("$"* #,##0_);_("$"* \(#,##0\);_("$"* "-"??_);_(@_)</c:formatCode>
                <c:ptCount val="11"/>
                <c:pt idx="0">
                  <c:v>409</c:v>
                </c:pt>
                <c:pt idx="1">
                  <c:v>409</c:v>
                </c:pt>
                <c:pt idx="2">
                  <c:v>512</c:v>
                </c:pt>
                <c:pt idx="3">
                  <c:v>716</c:v>
                </c:pt>
                <c:pt idx="4">
                  <c:v>759</c:v>
                </c:pt>
                <c:pt idx="5">
                  <c:v>773</c:v>
                </c:pt>
                <c:pt idx="6">
                  <c:v>790</c:v>
                </c:pt>
                <c:pt idx="7">
                  <c:v>799</c:v>
                </c:pt>
                <c:pt idx="8">
                  <c:v>829</c:v>
                </c:pt>
                <c:pt idx="9">
                  <c:v>891</c:v>
                </c:pt>
                <c:pt idx="10">
                  <c:v>904</c:v>
                </c:pt>
              </c:numCache>
            </c:numRef>
          </c:xVal>
          <c:yVal>
            <c:numRef>
              <c:f>'Desktop Paid Search'!$D$4:$D$14</c:f>
              <c:numCache>
                <c:formatCode>_("$"* #,##0_);_("$"* \(#,##0\);_("$"* "-"??_);_(@_)</c:formatCode>
                <c:ptCount val="11"/>
                <c:pt idx="0">
                  <c:v>10429.5</c:v>
                </c:pt>
                <c:pt idx="1">
                  <c:v>9652.4000000000015</c:v>
                </c:pt>
                <c:pt idx="2">
                  <c:v>12032</c:v>
                </c:pt>
                <c:pt idx="3">
                  <c:v>15107.6</c:v>
                </c:pt>
                <c:pt idx="4">
                  <c:v>15255.900000000001</c:v>
                </c:pt>
                <c:pt idx="5">
                  <c:v>17237.900000000001</c:v>
                </c:pt>
                <c:pt idx="6">
                  <c:v>17933</c:v>
                </c:pt>
                <c:pt idx="7">
                  <c:v>16858.900000000001</c:v>
                </c:pt>
                <c:pt idx="8">
                  <c:v>18320.900000000001</c:v>
                </c:pt>
                <c:pt idx="9">
                  <c:v>18711</c:v>
                </c:pt>
                <c:pt idx="10">
                  <c:v>17628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59744"/>
        <c:axId val="150061440"/>
      </c:scatterChart>
      <c:valAx>
        <c:axId val="90159744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50061440"/>
        <c:crosses val="autoZero"/>
        <c:crossBetween val="midCat"/>
      </c:valAx>
      <c:valAx>
        <c:axId val="15006144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90159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123825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AccentHealth/Summary%20of%20AccentHealth%20In-Office%20DTC%20ROI%20Resul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Healthy%20Advice%20-%20PracticeWire/Jantot/Dollarizing%20Januvia%20PatientPoint%20Exam%20Room%20-%20Internal%20ROI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46">
          <cell r="D46">
            <v>1876.1772523665049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Zetia Vytorin"/>
      <sheetName val="Januvia"/>
      <sheetName val="Singulair"/>
      <sheetName val="MerckEngage AccentHealth"/>
      <sheetName val="Nasonex"/>
    </sheetNames>
    <sheetDataSet>
      <sheetData sheetId="0"/>
      <sheetData sheetId="1"/>
      <sheetData sheetId="2">
        <row r="7">
          <cell r="C7">
            <v>811.15607570544375</v>
          </cell>
        </row>
        <row r="10">
          <cell r="C10">
            <v>6460405.7555842344</v>
          </cell>
        </row>
        <row r="13">
          <cell r="C13">
            <v>1822215.5999999999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k calculated ROI"/>
      <sheetName val="benchmarks"/>
    </sheetNames>
    <sheetDataSet>
      <sheetData sheetId="0">
        <row r="9">
          <cell r="D9">
            <v>3327048.781880701</v>
          </cell>
        </row>
        <row r="11">
          <cell r="D11">
            <v>875000</v>
          </cell>
        </row>
        <row r="18">
          <cell r="D18">
            <v>5584404.0681238547</v>
          </cell>
        </row>
      </sheetData>
      <sheetData sheetId="1">
        <row r="10">
          <cell r="F10">
            <v>6.3372357750108588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topLeftCell="D1" zoomScaleNormal="100" workbookViewId="0">
      <selection activeCell="G12" sqref="G12"/>
    </sheetView>
  </sheetViews>
  <sheetFormatPr defaultRowHeight="14.4" x14ac:dyDescent="0.3"/>
  <cols>
    <col min="1" max="1" width="6" bestFit="1" customWidth="1"/>
    <col min="2" max="2" width="23.33203125" bestFit="1" customWidth="1"/>
    <col min="3" max="3" width="8" bestFit="1" customWidth="1"/>
    <col min="4" max="4" width="34.109375" customWidth="1"/>
    <col min="5" max="5" width="7.33203125" bestFit="1" customWidth="1"/>
    <col min="6" max="6" width="14.88671875" bestFit="1" customWidth="1"/>
    <col min="7" max="7" width="17.33203125" bestFit="1" customWidth="1"/>
    <col min="8" max="8" width="19.44140625" customWidth="1"/>
    <col min="9" max="9" width="18" bestFit="1" customWidth="1"/>
    <col min="10" max="10" width="13.6640625" bestFit="1" customWidth="1"/>
    <col min="11" max="11" width="14.109375" bestFit="1" customWidth="1"/>
    <col min="12" max="12" width="12.33203125" customWidth="1"/>
    <col min="13" max="13" width="12.109375" customWidth="1"/>
    <col min="14" max="14" width="68.6640625" customWidth="1"/>
  </cols>
  <sheetData>
    <row r="1" spans="1:14" ht="15" x14ac:dyDescent="0.25">
      <c r="A1" s="14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4" ht="15" x14ac:dyDescent="0.25">
      <c r="C3" s="3" t="s">
        <v>26</v>
      </c>
      <c r="D3" s="3"/>
      <c r="E3" s="3"/>
    </row>
    <row r="4" spans="1:14" ht="15" x14ac:dyDescent="0.25">
      <c r="C4" s="3"/>
      <c r="D4" s="3" t="s">
        <v>23</v>
      </c>
      <c r="E4" s="3">
        <v>0.4</v>
      </c>
    </row>
    <row r="5" spans="1:14" ht="15" x14ac:dyDescent="0.25">
      <c r="C5" s="3">
        <v>2012</v>
      </c>
      <c r="D5" s="3" t="s">
        <v>31</v>
      </c>
      <c r="E5" s="4">
        <f>'[1] Summary'!$D$46</f>
        <v>1876.1772523665049</v>
      </c>
    </row>
    <row r="6" spans="1:14" s="8" customFormat="1" ht="15" x14ac:dyDescent="0.25">
      <c r="C6" s="3">
        <v>2009</v>
      </c>
      <c r="D6" s="3" t="s">
        <v>32</v>
      </c>
      <c r="E6" s="4">
        <f>[2]Januvia!$C$7</f>
        <v>811.15607570544375</v>
      </c>
    </row>
    <row r="7" spans="1:14" s="8" customFormat="1" ht="15" x14ac:dyDescent="0.25">
      <c r="C7" s="9"/>
      <c r="D7" s="9"/>
      <c r="E7" s="10"/>
    </row>
    <row r="8" spans="1:14" s="8" customFormat="1" ht="15" x14ac:dyDescent="0.25">
      <c r="A8" s="8" t="s">
        <v>27</v>
      </c>
      <c r="C8" s="9"/>
      <c r="D8" s="9"/>
      <c r="E8" s="10"/>
      <c r="J8" s="8">
        <f>J11/F11</f>
        <v>0.5913253012048193</v>
      </c>
      <c r="K8" s="8">
        <f>K11/F11</f>
        <v>1.3069879518072289</v>
      </c>
    </row>
    <row r="10" spans="1:14" ht="15" x14ac:dyDescent="0.25">
      <c r="A10" s="5" t="s">
        <v>0</v>
      </c>
      <c r="B10" s="5" t="s">
        <v>1</v>
      </c>
      <c r="C10" s="5" t="s">
        <v>7</v>
      </c>
      <c r="D10" s="5" t="s">
        <v>9</v>
      </c>
      <c r="E10" s="5" t="s">
        <v>8</v>
      </c>
      <c r="F10" s="5" t="s">
        <v>2</v>
      </c>
      <c r="G10" s="5" t="s">
        <v>11</v>
      </c>
      <c r="H10" s="5" t="s">
        <v>3</v>
      </c>
      <c r="I10" s="5" t="s">
        <v>4</v>
      </c>
      <c r="J10" s="5" t="s">
        <v>20</v>
      </c>
      <c r="K10" s="5" t="s">
        <v>21</v>
      </c>
      <c r="L10" s="5" t="s">
        <v>22</v>
      </c>
      <c r="M10" s="5" t="s">
        <v>5</v>
      </c>
      <c r="N10" s="5" t="s">
        <v>52</v>
      </c>
    </row>
    <row r="11" spans="1:14" ht="15" x14ac:dyDescent="0.25">
      <c r="A11">
        <v>2012</v>
      </c>
      <c r="B11" t="s">
        <v>18</v>
      </c>
      <c r="C11" t="s">
        <v>10</v>
      </c>
      <c r="D11" t="s">
        <v>19</v>
      </c>
      <c r="E11">
        <v>22.7</v>
      </c>
      <c r="F11" s="1">
        <v>8300000</v>
      </c>
      <c r="G11" s="1">
        <v>188100000</v>
      </c>
      <c r="H11" s="1">
        <f t="shared" ref="H11:H18" si="0">$G11*(1-$E$4)</f>
        <v>112860000</v>
      </c>
      <c r="I11" s="2">
        <f t="shared" ref="I11:I17" si="1">$G11/$E$5</f>
        <v>100257.05181253061</v>
      </c>
      <c r="J11" s="1">
        <f>'Desktop Paid Search'!E4*1000</f>
        <v>4908000</v>
      </c>
      <c r="K11" s="1">
        <f>'Desktop Paid Search'!E14*1000</f>
        <v>10848000</v>
      </c>
      <c r="L11" s="1"/>
      <c r="M11" t="s">
        <v>6</v>
      </c>
      <c r="N11" t="s">
        <v>53</v>
      </c>
    </row>
    <row r="12" spans="1:14" ht="15" x14ac:dyDescent="0.25">
      <c r="A12">
        <v>2012</v>
      </c>
      <c r="B12" t="s">
        <v>12</v>
      </c>
      <c r="C12" t="s">
        <v>10</v>
      </c>
      <c r="D12" t="s">
        <v>19</v>
      </c>
      <c r="E12">
        <v>10.5</v>
      </c>
      <c r="F12" s="1">
        <v>900000</v>
      </c>
      <c r="G12" s="1">
        <v>9300000</v>
      </c>
      <c r="H12" s="1">
        <f t="shared" si="0"/>
        <v>5580000</v>
      </c>
      <c r="I12" s="2">
        <f t="shared" si="1"/>
        <v>4956.8877291681802</v>
      </c>
      <c r="J12" s="1"/>
      <c r="K12" s="1"/>
      <c r="L12" s="1"/>
      <c r="M12" t="s">
        <v>6</v>
      </c>
    </row>
    <row r="13" spans="1:14" ht="15" x14ac:dyDescent="0.25">
      <c r="A13">
        <v>2012</v>
      </c>
      <c r="B13" t="s">
        <v>13</v>
      </c>
      <c r="C13" t="s">
        <v>10</v>
      </c>
      <c r="D13" t="s">
        <v>19</v>
      </c>
      <c r="E13">
        <v>11.6</v>
      </c>
      <c r="F13" s="1">
        <v>400000</v>
      </c>
      <c r="G13" s="1">
        <v>4200000</v>
      </c>
      <c r="H13" s="1">
        <f t="shared" si="0"/>
        <v>2520000</v>
      </c>
      <c r="I13" s="2">
        <f t="shared" si="1"/>
        <v>2238.594458334017</v>
      </c>
      <c r="J13" s="1"/>
      <c r="K13" s="1"/>
      <c r="L13" s="1"/>
      <c r="M13" t="s">
        <v>6</v>
      </c>
    </row>
    <row r="14" spans="1:14" ht="15" x14ac:dyDescent="0.25">
      <c r="A14">
        <v>2012</v>
      </c>
      <c r="B14" t="s">
        <v>14</v>
      </c>
      <c r="C14" t="s">
        <v>10</v>
      </c>
      <c r="D14" t="s">
        <v>19</v>
      </c>
      <c r="E14">
        <v>6.5</v>
      </c>
      <c r="F14" s="1">
        <v>1500000</v>
      </c>
      <c r="G14" s="1">
        <v>9700000</v>
      </c>
      <c r="H14" s="1">
        <f t="shared" si="0"/>
        <v>5820000</v>
      </c>
      <c r="I14" s="2">
        <f t="shared" si="1"/>
        <v>5170.0872013904673</v>
      </c>
      <c r="J14" s="1"/>
      <c r="K14" s="1"/>
      <c r="L14" s="1"/>
      <c r="M14" t="s">
        <v>6</v>
      </c>
    </row>
    <row r="15" spans="1:14" ht="15" x14ac:dyDescent="0.25">
      <c r="A15">
        <v>2012</v>
      </c>
      <c r="B15" t="s">
        <v>15</v>
      </c>
      <c r="C15" t="s">
        <v>10</v>
      </c>
      <c r="D15" t="s">
        <v>19</v>
      </c>
      <c r="E15">
        <v>3.4</v>
      </c>
      <c r="F15" s="1">
        <v>500000</v>
      </c>
      <c r="G15" s="1">
        <v>1600000</v>
      </c>
      <c r="H15" s="1">
        <f t="shared" si="0"/>
        <v>960000</v>
      </c>
      <c r="I15" s="2">
        <f t="shared" si="1"/>
        <v>852.79788888914925</v>
      </c>
      <c r="J15" s="1"/>
      <c r="K15" s="1"/>
      <c r="L15" s="1"/>
      <c r="M15" t="s">
        <v>6</v>
      </c>
    </row>
    <row r="16" spans="1:14" ht="15" x14ac:dyDescent="0.25">
      <c r="A16">
        <v>2012</v>
      </c>
      <c r="B16" t="s">
        <v>16</v>
      </c>
      <c r="C16" t="s">
        <v>10</v>
      </c>
      <c r="D16" t="s">
        <v>19</v>
      </c>
      <c r="E16">
        <v>3.9</v>
      </c>
      <c r="F16" s="1">
        <v>600000</v>
      </c>
      <c r="G16" s="1">
        <v>2200000</v>
      </c>
      <c r="H16" s="1">
        <f t="shared" si="0"/>
        <v>1320000</v>
      </c>
      <c r="I16" s="2">
        <f t="shared" si="1"/>
        <v>1172.5970972225803</v>
      </c>
      <c r="J16" s="1"/>
      <c r="K16" s="1"/>
      <c r="L16" s="1"/>
      <c r="M16" t="s">
        <v>6</v>
      </c>
    </row>
    <row r="17" spans="1:14" ht="15" x14ac:dyDescent="0.25">
      <c r="A17">
        <v>2012</v>
      </c>
      <c r="B17" t="s">
        <v>17</v>
      </c>
      <c r="C17" t="s">
        <v>10</v>
      </c>
      <c r="D17" t="s">
        <v>19</v>
      </c>
      <c r="E17">
        <v>8.8000000000000007</v>
      </c>
      <c r="F17" s="1">
        <v>400000</v>
      </c>
      <c r="G17" s="1">
        <v>3300000</v>
      </c>
      <c r="H17" s="1">
        <f t="shared" si="0"/>
        <v>1980000</v>
      </c>
      <c r="I17" s="2">
        <f t="shared" si="1"/>
        <v>1758.8956458338703</v>
      </c>
      <c r="J17" s="1"/>
      <c r="K17" s="1"/>
      <c r="L17" s="1"/>
      <c r="M17" t="s">
        <v>6</v>
      </c>
    </row>
    <row r="18" spans="1:14" ht="15" x14ac:dyDescent="0.25">
      <c r="A18" s="5">
        <v>2012</v>
      </c>
      <c r="B18" s="5" t="s">
        <v>24</v>
      </c>
      <c r="C18" s="5" t="s">
        <v>10</v>
      </c>
      <c r="D18" s="5" t="s">
        <v>19</v>
      </c>
      <c r="E18" s="5">
        <v>18.600000000000001</v>
      </c>
      <c r="F18" s="6">
        <v>12600000</v>
      </c>
      <c r="G18" s="6">
        <v>243300000</v>
      </c>
      <c r="H18" s="6">
        <f t="shared" si="0"/>
        <v>145980000</v>
      </c>
      <c r="I18" s="7">
        <f>SUM(I11:I17)</f>
        <v>116406.91183336888</v>
      </c>
      <c r="J18" s="12"/>
      <c r="K18" s="12"/>
      <c r="L18" s="12"/>
      <c r="M18" s="5"/>
      <c r="N18" s="5"/>
    </row>
    <row r="19" spans="1:14" ht="15" x14ac:dyDescent="0.25">
      <c r="G19" s="13"/>
      <c r="H19" s="13"/>
    </row>
    <row r="20" spans="1:14" ht="15" x14ac:dyDescent="0.25">
      <c r="A20" t="s">
        <v>28</v>
      </c>
    </row>
    <row r="22" spans="1:14" ht="15" x14ac:dyDescent="0.25">
      <c r="A22" s="5" t="s">
        <v>0</v>
      </c>
      <c r="B22" s="5" t="s">
        <v>1</v>
      </c>
      <c r="C22" s="5" t="s">
        <v>7</v>
      </c>
      <c r="D22" s="5" t="s">
        <v>9</v>
      </c>
      <c r="E22" s="5" t="s">
        <v>8</v>
      </c>
      <c r="F22" s="5" t="s">
        <v>2</v>
      </c>
      <c r="G22" s="5" t="s">
        <v>11</v>
      </c>
      <c r="H22" s="5" t="s">
        <v>3</v>
      </c>
      <c r="I22" s="5" t="s">
        <v>4</v>
      </c>
      <c r="J22" s="5" t="s">
        <v>20</v>
      </c>
      <c r="K22" s="5" t="s">
        <v>21</v>
      </c>
      <c r="L22" s="5" t="s">
        <v>22</v>
      </c>
      <c r="M22" s="5" t="s">
        <v>5</v>
      </c>
      <c r="N22" s="5" t="s">
        <v>52</v>
      </c>
    </row>
    <row r="23" spans="1:14" ht="15" x14ac:dyDescent="0.25">
      <c r="A23">
        <v>2009</v>
      </c>
      <c r="B23" t="s">
        <v>29</v>
      </c>
      <c r="C23" t="s">
        <v>30</v>
      </c>
      <c r="E23" s="11">
        <f>H23/(F23*(1-E4))</f>
        <v>3.5453575063149687</v>
      </c>
      <c r="F23" s="1">
        <f>[2]Januvia!$C$13/(1-0.4)</f>
        <v>3037026</v>
      </c>
      <c r="G23" s="1">
        <f>H23/(1-$E$4)</f>
        <v>10767342.925973725</v>
      </c>
      <c r="H23" s="1">
        <f>[2]Januvia!$C$10</f>
        <v>6460405.7555842344</v>
      </c>
      <c r="I23" s="2">
        <f>H23/$E$6</f>
        <v>7964.4422930146557</v>
      </c>
      <c r="J23" s="1"/>
      <c r="K23" s="1"/>
      <c r="L23" s="1"/>
    </row>
    <row r="24" spans="1:14" ht="15" x14ac:dyDescent="0.25">
      <c r="A24">
        <v>2012</v>
      </c>
      <c r="B24" t="s">
        <v>33</v>
      </c>
      <c r="C24" t="s">
        <v>30</v>
      </c>
      <c r="E24" s="11">
        <f>[3]benchmarks!$F$10</f>
        <v>6.3372357750108588</v>
      </c>
      <c r="F24" s="1">
        <f>'[3]Merck calculated ROI'!$D$11</f>
        <v>875000</v>
      </c>
      <c r="G24" s="1">
        <f>'[3]Merck calculated ROI'!$D$18</f>
        <v>5584404.0681238547</v>
      </c>
      <c r="H24" s="1">
        <f>'[3]Merck calculated ROI'!$D$9</f>
        <v>3327048.781880701</v>
      </c>
      <c r="I24" s="2">
        <f>G24/E5</f>
        <v>2976.48</v>
      </c>
      <c r="J24" s="1"/>
      <c r="K24" s="1"/>
      <c r="L24" s="1"/>
    </row>
    <row r="26" spans="1:14" x14ac:dyDescent="0.3">
      <c r="A26" t="s">
        <v>54</v>
      </c>
    </row>
    <row r="28" spans="1:14" x14ac:dyDescent="0.3">
      <c r="A28" s="5" t="s">
        <v>0</v>
      </c>
      <c r="B28" s="5" t="s">
        <v>1</v>
      </c>
      <c r="C28" s="5" t="s">
        <v>7</v>
      </c>
      <c r="D28" s="5" t="s">
        <v>9</v>
      </c>
      <c r="E28" s="5" t="s">
        <v>8</v>
      </c>
      <c r="F28" s="5" t="s">
        <v>2</v>
      </c>
      <c r="G28" s="5" t="s">
        <v>11</v>
      </c>
      <c r="H28" s="5" t="s">
        <v>3</v>
      </c>
      <c r="I28" s="5" t="s">
        <v>4</v>
      </c>
      <c r="J28" s="5" t="s">
        <v>20</v>
      </c>
      <c r="K28" s="5" t="s">
        <v>21</v>
      </c>
      <c r="L28" s="5" t="s">
        <v>22</v>
      </c>
      <c r="M28" s="5" t="s">
        <v>5</v>
      </c>
      <c r="N28" s="5" t="s">
        <v>52</v>
      </c>
    </row>
    <row r="29" spans="1:14" x14ac:dyDescent="0.3">
      <c r="E29" s="11"/>
      <c r="F29" s="1"/>
      <c r="G29" s="1"/>
      <c r="H29" s="1"/>
      <c r="I29" s="2"/>
      <c r="J29" s="1"/>
      <c r="K29" s="1"/>
      <c r="L29" s="1"/>
    </row>
    <row r="32" spans="1:14" x14ac:dyDescent="0.3">
      <c r="A32" t="s">
        <v>55</v>
      </c>
    </row>
  </sheetData>
  <mergeCells count="1">
    <mergeCell ref="A1:M1"/>
  </mergeCells>
  <pageMargins left="0.7" right="0.7" top="0.75" bottom="0.7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S9" sqref="S9"/>
    </sheetView>
  </sheetViews>
  <sheetFormatPr defaultRowHeight="14.4" x14ac:dyDescent="0.3"/>
  <cols>
    <col min="1" max="1" width="12.5546875" customWidth="1"/>
    <col min="4" max="4" width="11.5546875" bestFit="1" customWidth="1"/>
    <col min="5" max="6" width="11.5546875" customWidth="1"/>
  </cols>
  <sheetData>
    <row r="1" spans="1:6" x14ac:dyDescent="0.25">
      <c r="A1" t="s">
        <v>48</v>
      </c>
    </row>
    <row r="3" spans="1:6" x14ac:dyDescent="0.25">
      <c r="A3" t="s">
        <v>34</v>
      </c>
      <c r="B3" t="s">
        <v>35</v>
      </c>
      <c r="C3" t="s">
        <v>8</v>
      </c>
      <c r="D3" t="s">
        <v>36</v>
      </c>
      <c r="E3" t="s">
        <v>49</v>
      </c>
    </row>
    <row r="4" spans="1:6" x14ac:dyDescent="0.25">
      <c r="A4" t="s">
        <v>43</v>
      </c>
      <c r="B4" s="1">
        <v>409</v>
      </c>
      <c r="C4">
        <v>25.5</v>
      </c>
      <c r="D4" s="1">
        <f t="shared" ref="D4:D14" si="0">B4*C4</f>
        <v>10429.5</v>
      </c>
      <c r="E4" s="1">
        <f>B4*12</f>
        <v>4908</v>
      </c>
      <c r="F4" s="1" t="s">
        <v>50</v>
      </c>
    </row>
    <row r="5" spans="1:6" x14ac:dyDescent="0.25">
      <c r="A5" t="s">
        <v>44</v>
      </c>
      <c r="B5" s="1">
        <v>409</v>
      </c>
      <c r="C5">
        <v>23.6</v>
      </c>
      <c r="D5" s="1">
        <f t="shared" si="0"/>
        <v>9652.4000000000015</v>
      </c>
      <c r="E5" s="1"/>
      <c r="F5" s="1"/>
    </row>
    <row r="6" spans="1:6" x14ac:dyDescent="0.25">
      <c r="A6" t="s">
        <v>42</v>
      </c>
      <c r="B6" s="1">
        <v>512</v>
      </c>
      <c r="C6">
        <v>23.5</v>
      </c>
      <c r="D6" s="1">
        <f t="shared" si="0"/>
        <v>12032</v>
      </c>
      <c r="E6" s="1"/>
      <c r="F6" s="1"/>
    </row>
    <row r="7" spans="1:6" x14ac:dyDescent="0.25">
      <c r="A7" t="s">
        <v>45</v>
      </c>
      <c r="B7" s="1">
        <v>716</v>
      </c>
      <c r="C7">
        <v>21.1</v>
      </c>
      <c r="D7" s="1">
        <f t="shared" si="0"/>
        <v>15107.6</v>
      </c>
      <c r="E7" s="1"/>
      <c r="F7" s="1"/>
    </row>
    <row r="8" spans="1:6" x14ac:dyDescent="0.25">
      <c r="A8" t="s">
        <v>46</v>
      </c>
      <c r="B8" s="1">
        <v>759</v>
      </c>
      <c r="C8">
        <v>20.100000000000001</v>
      </c>
      <c r="D8" s="1">
        <f t="shared" si="0"/>
        <v>15255.900000000001</v>
      </c>
      <c r="E8" s="1"/>
      <c r="F8" s="1"/>
    </row>
    <row r="9" spans="1:6" x14ac:dyDescent="0.25">
      <c r="A9" t="s">
        <v>41</v>
      </c>
      <c r="B9" s="1">
        <v>773</v>
      </c>
      <c r="C9">
        <v>22.3</v>
      </c>
      <c r="D9" s="1">
        <f t="shared" si="0"/>
        <v>17237.900000000001</v>
      </c>
      <c r="E9" s="1"/>
      <c r="F9" s="1"/>
    </row>
    <row r="10" spans="1:6" x14ac:dyDescent="0.25">
      <c r="A10" t="s">
        <v>40</v>
      </c>
      <c r="B10" s="1">
        <v>790</v>
      </c>
      <c r="C10">
        <v>22.7</v>
      </c>
      <c r="D10" s="1">
        <f t="shared" si="0"/>
        <v>17933</v>
      </c>
      <c r="E10" s="1"/>
      <c r="F10" s="1"/>
    </row>
    <row r="11" spans="1:6" x14ac:dyDescent="0.25">
      <c r="A11" t="s">
        <v>38</v>
      </c>
      <c r="B11" s="1">
        <v>799</v>
      </c>
      <c r="C11">
        <v>21.1</v>
      </c>
      <c r="D11" s="1">
        <f t="shared" si="0"/>
        <v>16858.900000000001</v>
      </c>
      <c r="E11" s="1"/>
      <c r="F11" s="1"/>
    </row>
    <row r="12" spans="1:6" x14ac:dyDescent="0.25">
      <c r="A12" t="s">
        <v>37</v>
      </c>
      <c r="B12" s="1">
        <v>829</v>
      </c>
      <c r="C12">
        <v>22.1</v>
      </c>
      <c r="D12" s="1">
        <f t="shared" si="0"/>
        <v>18320.900000000001</v>
      </c>
      <c r="E12" s="1"/>
      <c r="F12" s="1"/>
    </row>
    <row r="13" spans="1:6" x14ac:dyDescent="0.25">
      <c r="A13" t="s">
        <v>39</v>
      </c>
      <c r="B13" s="1">
        <v>891</v>
      </c>
      <c r="C13">
        <v>21</v>
      </c>
      <c r="D13" s="1">
        <f t="shared" si="0"/>
        <v>18711</v>
      </c>
      <c r="E13" s="1"/>
      <c r="F13" s="1"/>
    </row>
    <row r="14" spans="1:6" x14ac:dyDescent="0.25">
      <c r="A14" t="s">
        <v>47</v>
      </c>
      <c r="B14" s="1">
        <v>904</v>
      </c>
      <c r="C14">
        <v>19.5</v>
      </c>
      <c r="D14" s="1">
        <f t="shared" si="0"/>
        <v>17628</v>
      </c>
      <c r="E14" s="1">
        <f>B14*12</f>
        <v>10848</v>
      </c>
      <c r="F14" s="1" t="s">
        <v>51</v>
      </c>
    </row>
  </sheetData>
  <sortState ref="A4:D14">
    <sortCondition ref="B4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Desktop Paid Search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2013-04-05T17:20:42Z</dcterms:modified>
</cp:coreProperties>
</file>