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8" yWindow="-12" windowWidth="11916" windowHeight="10740" tabRatio="861" activeTab="1"/>
  </bookViews>
  <sheets>
    <sheet name="Data" sheetId="1" r:id="rId1"/>
    <sheet name="Data with Reduced ROIs" sheetId="6" r:id="rId2"/>
    <sheet name="Desktop Paid Search" sheetId="2" r:id="rId3"/>
    <sheet name="HCC Response S Curve 1" sheetId="3" r:id="rId4"/>
    <sheet name="HCC Response S Curve 2" sheetId="4" r:id="rId5"/>
    <sheet name="HCC Response S Curve 3" sheetId="5" r:id="rId6"/>
  </sheets>
  <externalReferences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G12" i="6" l="1"/>
  <c r="G13" i="6"/>
  <c r="H13" i="6" s="1"/>
  <c r="G14" i="6"/>
  <c r="H14" i="6" s="1"/>
  <c r="G15" i="6"/>
  <c r="H15" i="6" s="1"/>
  <c r="G16" i="6"/>
  <c r="G17" i="6"/>
  <c r="G11" i="6"/>
  <c r="H11" i="6" s="1"/>
  <c r="K40" i="6"/>
  <c r="J40" i="6"/>
  <c r="H40" i="6"/>
  <c r="F40" i="6"/>
  <c r="G39" i="6"/>
  <c r="I39" i="6" s="1"/>
  <c r="G38" i="6"/>
  <c r="W37" i="6"/>
  <c r="G37" i="6"/>
  <c r="G40" i="6" s="1"/>
  <c r="E40" i="6" s="1"/>
  <c r="W36" i="6"/>
  <c r="O32" i="6"/>
  <c r="G32" i="6"/>
  <c r="H32" i="6" s="1"/>
  <c r="H25" i="6"/>
  <c r="H27" i="6" s="1"/>
  <c r="G25" i="6"/>
  <c r="I25" i="6" s="1"/>
  <c r="F25" i="6"/>
  <c r="E25" i="6"/>
  <c r="O24" i="6"/>
  <c r="H24" i="6"/>
  <c r="G24" i="6" s="1"/>
  <c r="F24" i="6"/>
  <c r="F27" i="6" s="1"/>
  <c r="K5" i="6" s="1"/>
  <c r="E24" i="6"/>
  <c r="F19" i="6"/>
  <c r="G18" i="6"/>
  <c r="I18" i="6" s="1"/>
  <c r="O17" i="6"/>
  <c r="H17" i="6"/>
  <c r="H16" i="6"/>
  <c r="O14" i="6"/>
  <c r="K14" i="6"/>
  <c r="O13" i="6"/>
  <c r="K13" i="6"/>
  <c r="K12" i="6"/>
  <c r="H12" i="6"/>
  <c r="W11" i="6"/>
  <c r="O11" i="6"/>
  <c r="K11" i="6"/>
  <c r="J11" i="6"/>
  <c r="J8" i="6" s="1"/>
  <c r="K8" i="6"/>
  <c r="K17" i="6" s="1"/>
  <c r="E6" i="6"/>
  <c r="I24" i="6" s="1"/>
  <c r="P5" i="6"/>
  <c r="E5" i="6"/>
  <c r="I13" i="6" l="1"/>
  <c r="G19" i="6"/>
  <c r="H19" i="6" s="1"/>
  <c r="J18" i="6"/>
  <c r="J16" i="6"/>
  <c r="J14" i="6"/>
  <c r="J19" i="6" s="1"/>
  <c r="J27" i="6" s="1"/>
  <c r="J13" i="6"/>
  <c r="J12" i="6"/>
  <c r="J17" i="6"/>
  <c r="J15" i="6"/>
  <c r="E26" i="6"/>
  <c r="G26" i="6" s="1"/>
  <c r="I26" i="6" s="1"/>
  <c r="I27" i="6" s="1"/>
  <c r="I28" i="6" s="1"/>
  <c r="G27" i="6"/>
  <c r="E27" i="6" s="1"/>
  <c r="I15" i="6"/>
  <c r="I32" i="6"/>
  <c r="I33" i="6" s="1"/>
  <c r="I38" i="6"/>
  <c r="I14" i="6"/>
  <c r="K18" i="6"/>
  <c r="I11" i="6"/>
  <c r="I16" i="6"/>
  <c r="I17" i="6"/>
  <c r="I37" i="6"/>
  <c r="I40" i="6" s="1"/>
  <c r="I41" i="6" s="1"/>
  <c r="I12" i="6"/>
  <c r="K15" i="6"/>
  <c r="K19" i="6" s="1"/>
  <c r="K27" i="6" s="1"/>
  <c r="K16" i="6"/>
  <c r="G37" i="1"/>
  <c r="G40" i="1"/>
  <c r="E19" i="6" l="1"/>
  <c r="I19" i="6"/>
  <c r="H12" i="5"/>
  <c r="I20" i="6" l="1"/>
  <c r="L5" i="6"/>
  <c r="N12" i="5"/>
  <c r="M12" i="5"/>
  <c r="K12" i="5"/>
  <c r="L12" i="5" s="1"/>
  <c r="A22" i="5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H9" i="5"/>
  <c r="G9" i="5"/>
  <c r="D9" i="5" s="1"/>
  <c r="C9" i="5"/>
  <c r="B9" i="5"/>
  <c r="G9" i="4"/>
  <c r="M12" i="4"/>
  <c r="N12" i="4" s="1"/>
  <c r="O12" i="4" s="1"/>
  <c r="L12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22" i="4"/>
  <c r="J12" i="4"/>
  <c r="H12" i="4"/>
  <c r="I12" i="4" s="1"/>
  <c r="F9" i="4"/>
  <c r="D9" i="4"/>
  <c r="C9" i="4"/>
  <c r="B9" i="4"/>
  <c r="M5" i="6" l="1"/>
  <c r="S5" i="6"/>
  <c r="T5" i="6" s="1"/>
  <c r="N5" i="6"/>
  <c r="Q12" i="5"/>
  <c r="O12" i="5"/>
  <c r="P12" i="5" s="1"/>
  <c r="C23" i="4"/>
  <c r="C22" i="4"/>
  <c r="C37" i="4"/>
  <c r="C29" i="4"/>
  <c r="C36" i="4"/>
  <c r="B22" i="4"/>
  <c r="C40" i="4"/>
  <c r="C33" i="4"/>
  <c r="C25" i="4"/>
  <c r="C41" i="4"/>
  <c r="C28" i="4"/>
  <c r="M15" i="4"/>
  <c r="C39" i="4"/>
  <c r="C32" i="4"/>
  <c r="C24" i="4"/>
  <c r="M14" i="4"/>
  <c r="C42" i="4"/>
  <c r="C38" i="4"/>
  <c r="C34" i="4"/>
  <c r="C30" i="4"/>
  <c r="C26" i="4"/>
  <c r="C35" i="4"/>
  <c r="C31" i="4"/>
  <c r="C27" i="4"/>
  <c r="B42" i="4"/>
  <c r="E9" i="4"/>
  <c r="B23" i="4"/>
  <c r="B25" i="4"/>
  <c r="B27" i="4"/>
  <c r="B29" i="4"/>
  <c r="B31" i="4"/>
  <c r="B33" i="4"/>
  <c r="B35" i="4"/>
  <c r="B37" i="4"/>
  <c r="B39" i="4"/>
  <c r="B41" i="4"/>
  <c r="B24" i="4"/>
  <c r="B26" i="4"/>
  <c r="B28" i="4"/>
  <c r="B30" i="4"/>
  <c r="B32" i="4"/>
  <c r="B34" i="4"/>
  <c r="B36" i="4"/>
  <c r="B38" i="4"/>
  <c r="B40" i="4"/>
  <c r="C9" i="3"/>
  <c r="B9" i="3"/>
  <c r="F9" i="3"/>
  <c r="G9" i="3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J12" i="3"/>
  <c r="H12" i="3"/>
  <c r="I12" i="3" s="1"/>
  <c r="D9" i="3"/>
  <c r="B29" i="5" l="1"/>
  <c r="C29" i="5" s="1"/>
  <c r="B34" i="5"/>
  <c r="C34" i="5" s="1"/>
  <c r="B32" i="5"/>
  <c r="B30" i="5"/>
  <c r="B31" i="5"/>
  <c r="C31" i="5" s="1"/>
  <c r="B33" i="5"/>
  <c r="C33" i="5" s="1"/>
  <c r="B27" i="5"/>
  <c r="C27" i="5" s="1"/>
  <c r="B26" i="5"/>
  <c r="B25" i="5"/>
  <c r="C25" i="5" s="1"/>
  <c r="B28" i="5"/>
  <c r="C28" i="5" s="1"/>
  <c r="E9" i="5"/>
  <c r="F9" i="5" s="1"/>
  <c r="B39" i="5"/>
  <c r="B23" i="5"/>
  <c r="C23" i="5" s="1"/>
  <c r="B41" i="5"/>
  <c r="C41" i="5" s="1"/>
  <c r="B40" i="5"/>
  <c r="C40" i="5" s="1"/>
  <c r="B24" i="5"/>
  <c r="B22" i="5"/>
  <c r="C22" i="5" s="1"/>
  <c r="B35" i="5"/>
  <c r="B38" i="5"/>
  <c r="C38" i="5" s="1"/>
  <c r="B37" i="5"/>
  <c r="B36" i="5"/>
  <c r="C36" i="5" s="1"/>
  <c r="B42" i="5"/>
  <c r="B42" i="3"/>
  <c r="E9" i="3"/>
  <c r="B23" i="3"/>
  <c r="B25" i="3"/>
  <c r="B27" i="3"/>
  <c r="B29" i="3"/>
  <c r="B31" i="3"/>
  <c r="B33" i="3"/>
  <c r="B35" i="3"/>
  <c r="B37" i="3"/>
  <c r="B39" i="3"/>
  <c r="B41" i="3"/>
  <c r="B22" i="3"/>
  <c r="B24" i="3"/>
  <c r="B26" i="3"/>
  <c r="B28" i="3"/>
  <c r="B30" i="3"/>
  <c r="B32" i="3"/>
  <c r="B34" i="3"/>
  <c r="B36" i="3"/>
  <c r="B38" i="3"/>
  <c r="B40" i="3"/>
  <c r="D42" i="5" l="1"/>
  <c r="C42" i="5"/>
  <c r="D35" i="5"/>
  <c r="C35" i="5"/>
  <c r="D37" i="5"/>
  <c r="C37" i="5"/>
  <c r="D24" i="5"/>
  <c r="C24" i="5"/>
  <c r="D39" i="5"/>
  <c r="C39" i="5"/>
  <c r="D26" i="5"/>
  <c r="C26" i="5"/>
  <c r="D30" i="5"/>
  <c r="C30" i="5"/>
  <c r="D32" i="5"/>
  <c r="C32" i="5"/>
  <c r="D38" i="5"/>
  <c r="D40" i="5"/>
  <c r="D27" i="5"/>
  <c r="D41" i="5"/>
  <c r="D28" i="5"/>
  <c r="D33" i="5"/>
  <c r="D34" i="5"/>
  <c r="D36" i="5"/>
  <c r="D23" i="5"/>
  <c r="D25" i="5"/>
  <c r="D31" i="5"/>
  <c r="D29" i="5"/>
  <c r="P5" i="1"/>
  <c r="H40" i="1"/>
  <c r="F40" i="1"/>
  <c r="K40" i="1"/>
  <c r="J40" i="1"/>
  <c r="G39" i="1"/>
  <c r="G38" i="1"/>
  <c r="F19" i="1"/>
  <c r="G18" i="1"/>
  <c r="E40" i="1" l="1"/>
  <c r="W11" i="1"/>
  <c r="W37" i="1"/>
  <c r="W36" i="1"/>
  <c r="O24" i="1"/>
  <c r="O32" i="1"/>
  <c r="O17" i="1"/>
  <c r="O14" i="1"/>
  <c r="O13" i="1"/>
  <c r="O11" i="1"/>
  <c r="G32" i="1" l="1"/>
  <c r="H32" i="1" s="1"/>
  <c r="G19" i="1"/>
  <c r="E19" i="1" s="1"/>
  <c r="J11" i="1" l="1"/>
  <c r="J8" i="1" l="1"/>
  <c r="J18" i="1" s="1"/>
  <c r="K11" i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H25" i="1"/>
  <c r="G25" i="1"/>
  <c r="F25" i="1"/>
  <c r="E25" i="1"/>
  <c r="E6" i="1"/>
  <c r="H24" i="1"/>
  <c r="F24" i="1"/>
  <c r="F27" i="1" s="1"/>
  <c r="K5" i="1" s="1"/>
  <c r="G24" i="1" l="1"/>
  <c r="H27" i="1"/>
  <c r="J13" i="1"/>
  <c r="J17" i="1"/>
  <c r="J14" i="1"/>
  <c r="J16" i="1"/>
  <c r="J12" i="1"/>
  <c r="J15" i="1"/>
  <c r="K8" i="1"/>
  <c r="K18" i="1" s="1"/>
  <c r="E24" i="1"/>
  <c r="I24" i="1"/>
  <c r="H11" i="1"/>
  <c r="H12" i="1"/>
  <c r="H13" i="1"/>
  <c r="H14" i="1"/>
  <c r="H15" i="1"/>
  <c r="H16" i="1"/>
  <c r="H17" i="1"/>
  <c r="H19" i="1"/>
  <c r="J19" i="1" l="1"/>
  <c r="J27" i="1" s="1"/>
  <c r="G27" i="1"/>
  <c r="E27" i="1" s="1"/>
  <c r="E26" i="1"/>
  <c r="G26" i="1" s="1"/>
  <c r="K13" i="1"/>
  <c r="K15" i="1"/>
  <c r="K17" i="1"/>
  <c r="K12" i="1"/>
  <c r="K14" i="1"/>
  <c r="K16" i="1"/>
  <c r="E5" i="1"/>
  <c r="I39" i="1" l="1"/>
  <c r="I38" i="1"/>
  <c r="K19" i="1"/>
  <c r="K27" i="1" s="1"/>
  <c r="I26" i="1"/>
  <c r="I37" i="1"/>
  <c r="I40" i="1" s="1"/>
  <c r="I41" i="1" s="1"/>
  <c r="I18" i="1"/>
  <c r="I32" i="1"/>
  <c r="I33" i="1" s="1"/>
  <c r="I25" i="1"/>
  <c r="I16" i="1"/>
  <c r="I12" i="1"/>
  <c r="I13" i="1"/>
  <c r="I15" i="1"/>
  <c r="I14" i="1"/>
  <c r="I17" i="1"/>
  <c r="I11" i="1"/>
  <c r="I27" i="1" l="1"/>
  <c r="I28" i="1" s="1"/>
  <c r="I19" i="1"/>
  <c r="I20" i="1" l="1"/>
  <c r="L5" i="1"/>
  <c r="S5" i="1" s="1"/>
  <c r="T5" i="1" s="1"/>
  <c r="N5" i="1" l="1"/>
  <c r="M5" i="1"/>
</calcChain>
</file>

<file path=xl/comments1.xml><?xml version="1.0" encoding="utf-8"?>
<comments xmlns="http://schemas.openxmlformats.org/spreadsheetml/2006/main">
  <authors>
    <author>Merck &amp; Co., Inc.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comments2.xml><?xml version="1.0" encoding="utf-8"?>
<comments xmlns="http://schemas.openxmlformats.org/spreadsheetml/2006/main">
  <authors>
    <author>Merck &amp; Co., Inc.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<sst xmlns="http://schemas.openxmlformats.org/spreadsheetml/2006/main" count="476" uniqueCount="172">
  <si>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</si>
  <si>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</si>
  <si>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</si>
  <si>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</si>
  <si>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</si>
  <si>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</si>
  <si>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</si>
  <si>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</si>
  <si>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</si>
  <si>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</si>
  <si>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ER</t>
  </si>
  <si>
    <t>PRE-TAX REVENUE</t>
  </si>
  <si>
    <t>Mobile Paid Search</t>
  </si>
  <si>
    <t>Hispanic Paid Search</t>
  </si>
  <si>
    <t>Display</t>
  </si>
  <si>
    <t>Relationship Marketing</t>
  </si>
  <si>
    <t>Phreesia</t>
  </si>
  <si>
    <t>Real Age</t>
  </si>
  <si>
    <t>Desktop Paid Search</t>
  </si>
  <si>
    <t>actuals through Nov, Dec projections</t>
  </si>
  <si>
    <t>MIN PT SPEND</t>
  </si>
  <si>
    <t>MAX PT SPEND</t>
  </si>
  <si>
    <t>MAX Y</t>
  </si>
  <si>
    <t>tax rate on revenue</t>
  </si>
  <si>
    <t>Total E-Marketing/RM</t>
  </si>
  <si>
    <t>Merck Diabetes Franchise HCC Media Mix: Incremental NRx per Tactic with ROI, Spend and Incremental Revenue</t>
  </si>
  <si>
    <t>Parameters for back-calculation of Incremental NRx</t>
  </si>
  <si>
    <t>e-Marketing</t>
  </si>
  <si>
    <t>In-Office</t>
  </si>
  <si>
    <t>AccentHealth</t>
  </si>
  <si>
    <t>PRA</t>
  </si>
  <si>
    <t>pre-tax 3-year NPV/new patient</t>
  </si>
  <si>
    <t>after-tax 3-year NPV/new patient</t>
  </si>
  <si>
    <t>PatientPoint Exam Room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</si>
  <si>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</si>
  <si>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</si>
  <si>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</si>
  <si>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</si>
  <si>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</si>
  <si>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</si>
  <si>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</si>
  <si>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</si>
  <si>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</si>
  <si>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</si>
  <si>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</si>
  <si>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</si>
  <si>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</si>
  <si>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</si>
  <si>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</si>
  <si>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</si>
  <si>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</si>
  <si>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</si>
  <si>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</si>
  <si>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 xml:space="preserve">Min and max spend derived from annualization of min and max monthly spend in 2012. </t>
  </si>
  <si>
    <t>Print</t>
  </si>
  <si>
    <t>Total planned 2013 spend (Ennis):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</si>
  <si>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</si>
  <si>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2010/2012</t>
  </si>
  <si>
    <t>Total In-Office</t>
  </si>
  <si>
    <t>Other Missing Programs</t>
  </si>
  <si>
    <t>Assume that 2012 has similar spend as well</t>
  </si>
  <si>
    <t>GMC</t>
  </si>
  <si>
    <t>assume 2012 Print is same as 2013</t>
  </si>
  <si>
    <t>Notes:</t>
  </si>
  <si>
    <t>includes the Consumer Media and Consumer Multicultural (MC) spends (please add this inclusion comment as a note). </t>
  </si>
  <si>
    <t>2013 Expected Spend</t>
  </si>
  <si>
    <t>subset of above</t>
  </si>
  <si>
    <t>note: 2013 includes</t>
  </si>
  <si>
    <t>F JH Lead Generation</t>
  </si>
  <si>
    <t>J GS Hispanic Cuban Resource</t>
  </si>
  <si>
    <t>J GS Hispanic Media</t>
  </si>
  <si>
    <t>Hispanic DTC (non-national Paid Search)</t>
  </si>
  <si>
    <t>Multi-Cultural Pilot</t>
  </si>
  <si>
    <t>2nd report out</t>
  </si>
  <si>
    <t>* assume 3.4 like Relationship Marketing</t>
  </si>
  <si>
    <t>assume same as MC pilot</t>
  </si>
  <si>
    <t>Assume</t>
  </si>
  <si>
    <t>Other Missing Programs: Lead Generation</t>
  </si>
  <si>
    <t>Assume lowest ROI from above ranges</t>
  </si>
  <si>
    <t>Assuming that we are missing about $1M in other program in this category. Assumed ROI is weighted average of above two programs.</t>
  </si>
  <si>
    <t>Hispanic Cuban Resource</t>
  </si>
  <si>
    <t>Hispanic Media</t>
  </si>
  <si>
    <t>Assume same as above ROI</t>
  </si>
  <si>
    <t>Total Hispanic DTC</t>
  </si>
  <si>
    <r>
      <t>$22,954,000</t>
    </r>
    <r>
      <rPr>
        <b/>
        <sz val="11"/>
        <color rgb="FFC00000"/>
        <rFont val="Calibri"/>
        <family val="2"/>
        <scheme val="minor"/>
      </rPr>
      <t> </t>
    </r>
  </si>
  <si>
    <t>2012 Summary</t>
  </si>
  <si>
    <t>Pre-Tax Spend</t>
  </si>
  <si>
    <t>Estimated Incr. NRx</t>
  </si>
  <si>
    <t>Estimated Incr. NRx (as % of NPA NRx)</t>
  </si>
  <si>
    <t>HCC Spend per Incr. NRx</t>
  </si>
  <si>
    <t>Max Y Assumptions</t>
  </si>
  <si>
    <t>Anticipated Max Incr. NRx (in %) when HCC spend is increased to infinite</t>
  </si>
  <si>
    <t>Anticipated Max Incr. NRx</t>
  </si>
  <si>
    <t>* Note: The above marron colored values are used to construct lodish type response curve for HCC</t>
  </si>
  <si>
    <t>2013 Planned Spend for HCC</t>
  </si>
  <si>
    <t>Includes the Consumer Media and Consumer Multicultural (MC) spends</t>
  </si>
  <si>
    <r>
      <t>$22,954,000</t>
    </r>
    <r>
      <rPr>
        <b/>
        <sz val="11"/>
        <color rgb="FF0000FF"/>
        <rFont val="Calibri"/>
        <family val="2"/>
        <scheme val="minor"/>
      </rPr>
      <t> </t>
    </r>
  </si>
  <si>
    <t>Purpose</t>
  </si>
  <si>
    <t>Creates a S type curve given (Xcurr,Ycurr), Ymin, Ymax. Uses equation proposed by Lodish.</t>
  </si>
  <si>
    <t>Product</t>
  </si>
  <si>
    <t>X unit</t>
  </si>
  <si>
    <t>Spend $</t>
  </si>
  <si>
    <t>Note 1: YELLOW cells need user input (some or optional)</t>
  </si>
  <si>
    <t>Channel</t>
  </si>
  <si>
    <t>Y unit</t>
  </si>
  <si>
    <t>Incr. NRx</t>
  </si>
  <si>
    <t>Function Type</t>
  </si>
  <si>
    <t>S type curve estimation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</si>
  <si>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</si>
  <si>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</si>
  <si>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</si>
  <si>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</si>
  <si>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</si>
  <si>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</si>
  <si>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</si>
  <si>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</si>
  <si>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</si>
  <si>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</si>
  <si>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</si>
  <si>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</si>
  <si>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</si>
  <si>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</si>
  <si>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</si>
  <si>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Temporary Values</t>
  </si>
  <si>
    <t>A</t>
  </si>
  <si>
    <t>B</t>
  </si>
  <si>
    <t>C</t>
  </si>
  <si>
    <t>*Note: All values are positive. Only Ymin could be zero.  Y min &lt; Y curr &lt; Ymax.</t>
  </si>
  <si>
    <t>* Note: To avoid singularity when Ymin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</si>
  <si>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</si>
  <si>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</si>
  <si>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</si>
  <si>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</si>
  <si>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</si>
  <si>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</si>
  <si>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</si>
  <si>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Jantot</t>
  </si>
  <si>
    <t>HCC</t>
  </si>
  <si>
    <t>r</t>
  </si>
  <si>
    <t>x</t>
  </si>
  <si>
    <t>y</t>
  </si>
  <si>
    <t>Logistic growth curve: y = Ymax / (1 + (((Ymax-Ymin)/Ymin)*EXP(-r*x))</t>
  </si>
  <si>
    <t>At Ymin=0 the above function does nt work, so shift y axis by 1 unit and the take away 1 unit.</t>
  </si>
  <si>
    <t>That is, Y = (Ymax/(1+(Ymax-1)*EXP(-r*x))) - 1. Here, Ymin=0 and a shifting by one unit is adjusted for.</t>
  </si>
  <si>
    <t>Now we want the above curve to pass through (Yc, Xc). To do so, r couldbe derived to be r =(1/Xc)*LN(Yc(Ymax-1) / ((Ymax-Yc)-1))</t>
  </si>
  <si>
    <t>Y (derived through Lodish's curve)</t>
  </si>
  <si>
    <t>Y derived through manipulated logistic growth curve as explained in column L</t>
  </si>
  <si>
    <t xml:space="preserve">In terms of NRx, Ybase = Curr NRx; YLmin =  Curr NRx - Curr Incr. NRx(Yc).; YLMax = Curr NRx + Max Possible Incr. NRx (Ymax); Ymin = min Incr NRx for no investmet = 0; </t>
  </si>
  <si>
    <t>Ybase</t>
  </si>
  <si>
    <t xml:space="preserve"> NRx</t>
  </si>
  <si>
    <t>S type curve estimation(Lodish). Adjusted with respect to Y base</t>
  </si>
  <si>
    <t>S type curve estimation (Adjusted Logistic Growth Curve)</t>
  </si>
  <si>
    <t>Y Base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</si>
  <si>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</si>
  <si>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In here, lodish curve is applied to YLmin = Ybase + Ymin and YLmax = YLmin + Ymax.</t>
  </si>
  <si>
    <t>YL max [=YLmin + Ymax]</t>
  </si>
  <si>
    <t>XL current [=Xcurrent]</t>
  </si>
  <si>
    <t>* Note: To avoid singularity when YLmin is 0, the whole curve is lifted up in Y axis by one unit and then in the final objective function estimation, they are brought down by one unit.</t>
  </si>
  <si>
    <t>YL current [=YBase]</t>
  </si>
  <si>
    <t>YL min [=YBase - Ycurrent]</t>
  </si>
  <si>
    <t>Incr. NRx slope</t>
  </si>
  <si>
    <t>Y (Incr. NRx)</t>
  </si>
  <si>
    <t>YT (Incr. TRx)</t>
  </si>
  <si>
    <t>Multiplication Factor (3yr Adherence Rxs)</t>
  </si>
  <si>
    <t>YT unit</t>
  </si>
  <si>
    <t>Incr. TRx</t>
  </si>
  <si>
    <t>Optimal YT value</t>
  </si>
  <si>
    <t>YT Current</t>
  </si>
  <si>
    <t>HCC Spend per Incr. TRx</t>
  </si>
  <si>
    <t>3-Year Adherence Rxs of a New patient</t>
  </si>
  <si>
    <t>Estimated Incr. TRx</t>
  </si>
  <si>
    <t>Projection to Incr. TRx scale (2012 spend)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</si>
</sst>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_(&quot;$&quot;* #,##0_);_(&quot;$&quot;* \(#,##0\);_(&quot;$&quot;* &quot;-&quot;?_);_(@_)"/>
    <numFmt numFmtId="168" formatCode="&quot;$&quot;#,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0"/>
      <color rgb="FFC00000"/>
      <name val="Segoe UI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Segoe UI"/>
      <family val="2"/>
    </font>
    <font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b/>
      <sz val="11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2" fillId="10" borderId="7" applyNumberFormat="0" applyAlignment="0" applyProtection="0"/>
    <xf numFmtId="0" fontId="1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15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64" fontId="0" fillId="0" borderId="0" xfId="0" applyNumberFormat="1"/>
    <xf numFmtId="166" fontId="19" fillId="0" borderId="0" xfId="0" applyNumberFormat="1" applyFont="1"/>
    <xf numFmtId="166" fontId="25" fillId="4" borderId="0" xfId="5" applyNumberFormat="1" applyFont="1"/>
    <xf numFmtId="165" fontId="0" fillId="0" borderId="0" xfId="1" applyNumberFormat="1" applyFont="1"/>
    <xf numFmtId="164" fontId="0" fillId="0" borderId="0" xfId="2" applyNumberFormat="1" applyFont="1"/>
    <xf numFmtId="0" fontId="0" fillId="0" borderId="0" xfId="0"/>
    <xf numFmtId="164" fontId="26" fillId="4" borderId="0" xfId="5" applyNumberFormat="1" applyFont="1"/>
    <xf numFmtId="0" fontId="0" fillId="0" borderId="0" xfId="0"/>
    <xf numFmtId="3" fontId="24" fillId="0" borderId="10" xfId="0" applyNumberFormat="1" applyFont="1" applyBorder="1"/>
    <xf numFmtId="0" fontId="22" fillId="33" borderId="10" xfId="0" applyFont="1" applyFill="1" applyBorder="1" applyAlignment="1">
      <alignment wrapText="1"/>
    </xf>
    <xf numFmtId="0" fontId="19" fillId="0" borderId="0" xfId="0" applyFont="1"/>
    <xf numFmtId="0" fontId="26" fillId="4" borderId="0" xfId="5" applyFont="1"/>
    <xf numFmtId="0" fontId="26" fillId="0" borderId="0" xfId="0" applyFont="1"/>
    <xf numFmtId="165" fontId="26" fillId="4" borderId="0" xfId="5" applyNumberFormat="1" applyFont="1"/>
    <xf numFmtId="164" fontId="26" fillId="4" borderId="0" xfId="2" applyNumberFormat="1" applyFont="1" applyFill="1"/>
    <xf numFmtId="0" fontId="26" fillId="4" borderId="0" xfId="5" applyFont="1" applyAlignment="1">
      <alignment wrapText="1"/>
    </xf>
    <xf numFmtId="0" fontId="10" fillId="5" borderId="0" xfId="12"/>
    <xf numFmtId="0" fontId="0" fillId="0" borderId="0" xfId="0" applyAlignment="1">
      <alignment wrapText="1"/>
    </xf>
    <xf numFmtId="0" fontId="19" fillId="0" borderId="0" xfId="0" applyFont="1" applyFill="1"/>
    <xf numFmtId="0" fontId="27" fillId="0" borderId="0" xfId="0" applyFont="1"/>
    <xf numFmtId="0" fontId="27" fillId="0" borderId="0" xfId="0" applyFont="1" applyAlignment="1">
      <alignment wrapText="1"/>
    </xf>
    <xf numFmtId="0" fontId="28" fillId="0" borderId="0" xfId="0" applyFont="1"/>
    <xf numFmtId="164" fontId="27" fillId="0" borderId="0" xfId="2" applyNumberFormat="1" applyFont="1"/>
    <xf numFmtId="165" fontId="27" fillId="0" borderId="0" xfId="1" applyNumberFormat="1" applyFont="1"/>
    <xf numFmtId="10" fontId="19" fillId="34" borderId="0" xfId="6" applyNumberFormat="1" applyFont="1" applyFill="1"/>
    <xf numFmtId="164" fontId="26" fillId="35" borderId="0" xfId="5" applyNumberFormat="1" applyFont="1" applyFill="1"/>
    <xf numFmtId="164" fontId="0" fillId="35" borderId="0" xfId="2" applyNumberFormat="1" applyFont="1" applyFill="1"/>
    <xf numFmtId="164" fontId="0" fillId="0" borderId="0" xfId="2" applyNumberFormat="1" applyFont="1" applyFill="1"/>
    <xf numFmtId="166" fontId="28" fillId="0" borderId="0" xfId="0" applyNumberFormat="1" applyFont="1"/>
    <xf numFmtId="167" fontId="27" fillId="0" borderId="0" xfId="0" applyNumberFormat="1" applyFont="1"/>
    <xf numFmtId="0" fontId="29" fillId="0" borderId="0" xfId="0" applyFont="1"/>
    <xf numFmtId="0" fontId="31" fillId="0" borderId="0" xfId="0" applyFont="1"/>
    <xf numFmtId="3" fontId="27" fillId="0" borderId="0" xfId="0" applyNumberFormat="1" applyFont="1"/>
    <xf numFmtId="0" fontId="19" fillId="37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wrapText="1"/>
    </xf>
    <xf numFmtId="44" fontId="19" fillId="37" borderId="10" xfId="2" applyFont="1" applyFill="1" applyBorder="1"/>
    <xf numFmtId="10" fontId="19" fillId="37" borderId="10" xfId="6" applyNumberFormat="1" applyFont="1" applyFill="1" applyBorder="1"/>
    <xf numFmtId="9" fontId="30" fillId="37" borderId="10" xfId="0" applyNumberFormat="1" applyFont="1" applyFill="1" applyBorder="1"/>
    <xf numFmtId="165" fontId="30" fillId="37" borderId="10" xfId="1" applyNumberFormat="1" applyFont="1" applyFill="1" applyBorder="1"/>
    <xf numFmtId="164" fontId="30" fillId="37" borderId="10" xfId="0" applyNumberFormat="1" applyFont="1" applyFill="1" applyBorder="1"/>
    <xf numFmtId="165" fontId="30" fillId="37" borderId="10" xfId="0" applyNumberFormat="1" applyFont="1" applyFill="1" applyBorder="1"/>
    <xf numFmtId="0" fontId="32" fillId="0" borderId="0" xfId="0" applyFont="1" applyFill="1"/>
    <xf numFmtId="0" fontId="33" fillId="37" borderId="10" xfId="0" applyFont="1" applyFill="1" applyBorder="1" applyAlignment="1">
      <alignment horizontal="center"/>
    </xf>
    <xf numFmtId="0" fontId="35" fillId="39" borderId="11" xfId="0" applyFont="1" applyFill="1" applyBorder="1"/>
    <xf numFmtId="0" fontId="36" fillId="0" borderId="0" xfId="0" applyFont="1"/>
    <xf numFmtId="0" fontId="35" fillId="39" borderId="12" xfId="0" applyFont="1" applyFill="1" applyBorder="1"/>
    <xf numFmtId="0" fontId="36" fillId="40" borderId="13" xfId="0" applyFont="1" applyFill="1" applyBorder="1"/>
    <xf numFmtId="0" fontId="35" fillId="39" borderId="13" xfId="0" applyFont="1" applyFill="1" applyBorder="1"/>
    <xf numFmtId="0" fontId="36" fillId="40" borderId="14" xfId="0" applyFont="1" applyFill="1" applyBorder="1"/>
    <xf numFmtId="0" fontId="36" fillId="40" borderId="15" xfId="0" applyFont="1" applyFill="1" applyBorder="1" applyAlignment="1">
      <alignment horizontal="left"/>
    </xf>
    <xf numFmtId="0" fontId="36" fillId="40" borderId="16" xfId="0" applyFont="1" applyFill="1" applyBorder="1" applyAlignment="1">
      <alignment horizontal="left"/>
    </xf>
    <xf numFmtId="0" fontId="36" fillId="40" borderId="17" xfId="0" applyFont="1" applyFill="1" applyBorder="1" applyAlignment="1">
      <alignment horizontal="left"/>
    </xf>
    <xf numFmtId="0" fontId="35" fillId="39" borderId="18" xfId="0" applyFont="1" applyFill="1" applyBorder="1"/>
    <xf numFmtId="0" fontId="36" fillId="40" borderId="19" xfId="0" applyFont="1" applyFill="1" applyBorder="1"/>
    <xf numFmtId="0" fontId="35" fillId="39" borderId="19" xfId="0" applyFont="1" applyFill="1" applyBorder="1"/>
    <xf numFmtId="0" fontId="36" fillId="40" borderId="20" xfId="0" applyFont="1" applyFill="1" applyBorder="1"/>
    <xf numFmtId="0" fontId="35" fillId="39" borderId="21" xfId="0" applyFont="1" applyFill="1" applyBorder="1"/>
    <xf numFmtId="0" fontId="35" fillId="39" borderId="10" xfId="0" applyFont="1" applyFill="1" applyBorder="1" applyAlignment="1">
      <alignment horizontal="center" vertical="center" wrapText="1"/>
    </xf>
    <xf numFmtId="0" fontId="35" fillId="39" borderId="30" xfId="0" applyFont="1" applyFill="1" applyBorder="1" applyAlignment="1">
      <alignment horizontal="center" vertical="center" wrapText="1"/>
    </xf>
    <xf numFmtId="0" fontId="35" fillId="39" borderId="31" xfId="0" applyFont="1" applyFill="1" applyBorder="1" applyAlignment="1">
      <alignment horizontal="center" vertical="center" wrapText="1"/>
    </xf>
    <xf numFmtId="0" fontId="35" fillId="39" borderId="17" xfId="0" applyFont="1" applyFill="1" applyBorder="1" applyAlignment="1">
      <alignment horizontal="center" vertical="center" wrapText="1"/>
    </xf>
    <xf numFmtId="0" fontId="35" fillId="39" borderId="32" xfId="0" applyFont="1" applyFill="1" applyBorder="1" applyAlignment="1">
      <alignment horizontal="center" vertical="center" wrapText="1"/>
    </xf>
    <xf numFmtId="0" fontId="35" fillId="39" borderId="13" xfId="0" applyFont="1" applyFill="1" applyBorder="1" applyAlignment="1">
      <alignment horizontal="center" vertical="center" wrapText="1"/>
    </xf>
    <xf numFmtId="0" fontId="35" fillId="39" borderId="14" xfId="0" applyFont="1" applyFill="1" applyBorder="1" applyAlignment="1">
      <alignment horizontal="center" vertical="center" wrapText="1"/>
    </xf>
    <xf numFmtId="0" fontId="36" fillId="38" borderId="19" xfId="0" applyFont="1" applyFill="1" applyBorder="1" applyAlignment="1">
      <alignment horizontal="center" vertical="center" wrapText="1"/>
    </xf>
    <xf numFmtId="0" fontId="36" fillId="38" borderId="20" xfId="0" applyFont="1" applyFill="1" applyBorder="1" applyAlignment="1">
      <alignment horizontal="center" vertical="center" wrapText="1"/>
    </xf>
    <xf numFmtId="0" fontId="36" fillId="38" borderId="20" xfId="0" applyFont="1" applyFill="1" applyBorder="1"/>
    <xf numFmtId="0" fontId="35" fillId="39" borderId="10" xfId="0" applyFont="1" applyFill="1" applyBorder="1" applyAlignment="1">
      <alignment horizontal="center" vertical="center" wrapText="1"/>
    </xf>
    <xf numFmtId="0" fontId="36" fillId="0" borderId="10" xfId="0" applyFont="1" applyBorder="1"/>
    <xf numFmtId="9" fontId="36" fillId="0" borderId="0" xfId="0" applyNumberFormat="1" applyFont="1"/>
    <xf numFmtId="164" fontId="36" fillId="40" borderId="19" xfId="2" applyNumberFormat="1" applyFont="1" applyFill="1" applyBorder="1"/>
    <xf numFmtId="3" fontId="36" fillId="40" borderId="19" xfId="0" applyNumberFormat="1" applyFont="1" applyFill="1" applyBorder="1"/>
    <xf numFmtId="3" fontId="37" fillId="41" borderId="33" xfId="0" applyNumberFormat="1" applyFont="1" applyFill="1" applyBorder="1"/>
    <xf numFmtId="164" fontId="37" fillId="41" borderId="34" xfId="2" applyNumberFormat="1" applyFont="1" applyFill="1" applyBorder="1"/>
    <xf numFmtId="168" fontId="36" fillId="40" borderId="19" xfId="2" applyNumberFormat="1" applyFont="1" applyFill="1" applyBorder="1"/>
    <xf numFmtId="168" fontId="36" fillId="40" borderId="19" xfId="0" applyNumberFormat="1" applyFont="1" applyFill="1" applyBorder="1"/>
    <xf numFmtId="0" fontId="36" fillId="0" borderId="0" xfId="0" applyNumberFormat="1" applyFont="1"/>
    <xf numFmtId="0" fontId="22" fillId="0" borderId="0" xfId="0" applyFont="1"/>
    <xf numFmtId="0" fontId="36" fillId="0" borderId="0" xfId="0" applyFont="1" applyAlignment="1">
      <alignment wrapText="1"/>
    </xf>
    <xf numFmtId="165" fontId="36" fillId="40" borderId="20" xfId="1" applyNumberFormat="1" applyFont="1" applyFill="1" applyBorder="1"/>
    <xf numFmtId="165" fontId="36" fillId="38" borderId="19" xfId="0" applyNumberFormat="1" applyFont="1" applyFill="1" applyBorder="1" applyAlignment="1">
      <alignment horizontal="center" vertical="center" wrapText="1"/>
    </xf>
    <xf numFmtId="164" fontId="36" fillId="38" borderId="19" xfId="2" applyNumberFormat="1" applyFont="1" applyFill="1" applyBorder="1" applyAlignment="1">
      <alignment horizontal="center" vertical="center" wrapText="1"/>
    </xf>
    <xf numFmtId="0" fontId="36" fillId="38" borderId="19" xfId="0" applyNumberFormat="1" applyFont="1" applyFill="1" applyBorder="1" applyAlignment="1">
      <alignment horizontal="center" vertical="center" wrapText="1"/>
    </xf>
    <xf numFmtId="165" fontId="36" fillId="38" borderId="20" xfId="0" applyNumberFormat="1" applyFont="1" applyFill="1" applyBorder="1" applyAlignment="1">
      <alignment horizontal="center" vertical="center" wrapText="1"/>
    </xf>
    <xf numFmtId="0" fontId="35" fillId="39" borderId="10" xfId="0" applyFont="1" applyFill="1" applyBorder="1" applyAlignment="1">
      <alignment horizontal="center" vertical="center" wrapText="1"/>
    </xf>
    <xf numFmtId="0" fontId="35" fillId="39" borderId="13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wrapText="1"/>
    </xf>
    <xf numFmtId="43" fontId="36" fillId="40" borderId="20" xfId="1" applyNumberFormat="1" applyFont="1" applyFill="1" applyBorder="1"/>
    <xf numFmtId="0" fontId="22" fillId="0" borderId="0" xfId="0" applyFont="1" applyFill="1" applyBorder="1"/>
    <xf numFmtId="0" fontId="35" fillId="39" borderId="46" xfId="0" applyFont="1" applyFill="1" applyBorder="1" applyAlignment="1">
      <alignment horizontal="center" vertical="center" wrapText="1"/>
    </xf>
    <xf numFmtId="3" fontId="37" fillId="41" borderId="47" xfId="0" applyNumberFormat="1" applyFont="1" applyFill="1" applyBorder="1"/>
    <xf numFmtId="3" fontId="37" fillId="41" borderId="19" xfId="0" applyNumberFormat="1" applyFont="1" applyFill="1" applyBorder="1"/>
    <xf numFmtId="3" fontId="36" fillId="40" borderId="20" xfId="0" applyNumberFormat="1" applyFont="1" applyFill="1" applyBorder="1"/>
    <xf numFmtId="0" fontId="36" fillId="0" borderId="10" xfId="0" applyNumberFormat="1" applyFont="1" applyBorder="1"/>
    <xf numFmtId="44" fontId="19" fillId="37" borderId="10" xfId="2" applyFont="1" applyFill="1" applyBorder="1" applyAlignment="1">
      <alignment wrapText="1"/>
    </xf>
    <xf numFmtId="39" fontId="19" fillId="37" borderId="10" xfId="2" applyNumberFormat="1" applyFont="1" applyFill="1" applyBorder="1"/>
    <xf numFmtId="164" fontId="19" fillId="37" borderId="10" xfId="2" applyNumberFormat="1" applyFont="1" applyFill="1" applyBorder="1"/>
    <xf numFmtId="0" fontId="35" fillId="39" borderId="42" xfId="0" applyFont="1" applyFill="1" applyBorder="1"/>
    <xf numFmtId="0" fontId="19" fillId="37" borderId="10" xfId="0" applyFont="1" applyFill="1" applyBorder="1" applyAlignment="1">
      <alignment vertical="center" wrapText="1"/>
    </xf>
    <xf numFmtId="44" fontId="19" fillId="37" borderId="10" xfId="2" applyFont="1" applyFill="1" applyBorder="1" applyAlignment="1">
      <alignment vertical="center" wrapText="1"/>
    </xf>
    <xf numFmtId="0" fontId="2" fillId="3" borderId="0" xfId="4" applyFont="1" applyAlignment="1">
      <alignment horizontal="center"/>
    </xf>
    <xf numFmtId="0" fontId="19" fillId="36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35" fillId="39" borderId="10" xfId="0" applyFont="1" applyFill="1" applyBorder="1" applyAlignment="1">
      <alignment horizontal="center" vertical="center" wrapText="1"/>
    </xf>
    <xf numFmtId="0" fontId="36" fillId="40" borderId="15" xfId="0" applyFont="1" applyFill="1" applyBorder="1" applyAlignment="1">
      <alignment horizontal="left"/>
    </xf>
    <xf numFmtId="0" fontId="36" fillId="40" borderId="16" xfId="0" applyFont="1" applyFill="1" applyBorder="1" applyAlignment="1">
      <alignment horizontal="left"/>
    </xf>
    <xf numFmtId="0" fontId="36" fillId="40" borderId="17" xfId="0" applyFont="1" applyFill="1" applyBorder="1" applyAlignment="1">
      <alignment horizontal="left"/>
    </xf>
    <xf numFmtId="0" fontId="36" fillId="39" borderId="22" xfId="0" applyFont="1" applyFill="1" applyBorder="1" applyAlignment="1">
      <alignment horizontal="left"/>
    </xf>
    <xf numFmtId="0" fontId="36" fillId="39" borderId="23" xfId="0" applyFont="1" applyFill="1" applyBorder="1" applyAlignment="1">
      <alignment horizontal="left"/>
    </xf>
    <xf numFmtId="0" fontId="35" fillId="39" borderId="12" xfId="0" applyFont="1" applyFill="1" applyBorder="1" applyAlignment="1">
      <alignment horizontal="center" vertical="center" wrapText="1"/>
    </xf>
    <xf numFmtId="0" fontId="35" fillId="39" borderId="29" xfId="0" applyFont="1" applyFill="1" applyBorder="1" applyAlignment="1">
      <alignment horizontal="center" vertical="center" wrapText="1"/>
    </xf>
    <xf numFmtId="0" fontId="35" fillId="39" borderId="18" xfId="0" applyFont="1" applyFill="1" applyBorder="1" applyAlignment="1">
      <alignment horizontal="center" vertical="center" wrapText="1"/>
    </xf>
    <xf numFmtId="0" fontId="35" fillId="39" borderId="13" xfId="0" applyFont="1" applyFill="1" applyBorder="1" applyAlignment="1">
      <alignment horizontal="center" vertical="center" wrapText="1"/>
    </xf>
    <xf numFmtId="0" fontId="35" fillId="39" borderId="24" xfId="0" applyFont="1" applyFill="1" applyBorder="1" applyAlignment="1">
      <alignment horizontal="center" vertical="center" wrapText="1"/>
    </xf>
    <xf numFmtId="0" fontId="35" fillId="39" borderId="25" xfId="0" applyFont="1" applyFill="1" applyBorder="1" applyAlignment="1">
      <alignment horizontal="center" vertical="center" wrapText="1"/>
    </xf>
    <xf numFmtId="0" fontId="35" fillId="39" borderId="26" xfId="0" applyFont="1" applyFill="1" applyBorder="1" applyAlignment="1">
      <alignment horizontal="center" vertical="center" wrapText="1"/>
    </xf>
    <xf numFmtId="0" fontId="35" fillId="39" borderId="27" xfId="0" applyFont="1" applyFill="1" applyBorder="1" applyAlignment="1">
      <alignment horizontal="center" vertical="center" wrapText="1"/>
    </xf>
    <xf numFmtId="0" fontId="35" fillId="39" borderId="28" xfId="0" applyFont="1" applyFill="1" applyBorder="1" applyAlignment="1">
      <alignment horizontal="center" vertical="center" wrapText="1"/>
    </xf>
    <xf numFmtId="0" fontId="36" fillId="0" borderId="35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 wrapText="1"/>
    </xf>
    <xf numFmtId="0" fontId="36" fillId="0" borderId="37" xfId="0" applyFont="1" applyBorder="1" applyAlignment="1">
      <alignment horizontal="left" vertical="center" wrapText="1"/>
    </xf>
    <xf numFmtId="0" fontId="36" fillId="0" borderId="38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left" vertical="center" wrapText="1"/>
    </xf>
    <xf numFmtId="0" fontId="36" fillId="0" borderId="40" xfId="0" applyFont="1" applyBorder="1" applyAlignment="1">
      <alignment horizontal="left" vertical="center" wrapText="1"/>
    </xf>
    <xf numFmtId="0" fontId="36" fillId="0" borderId="35" xfId="0" applyFont="1" applyBorder="1" applyAlignment="1">
      <alignment horizontal="left" wrapText="1"/>
    </xf>
    <xf numFmtId="0" fontId="36" fillId="0" borderId="36" xfId="0" applyFont="1" applyBorder="1" applyAlignment="1">
      <alignment horizontal="left" wrapText="1"/>
    </xf>
    <xf numFmtId="0" fontId="36" fillId="0" borderId="37" xfId="0" applyFont="1" applyBorder="1" applyAlignment="1">
      <alignment horizontal="left" wrapText="1"/>
    </xf>
    <xf numFmtId="0" fontId="36" fillId="0" borderId="38" xfId="0" applyFont="1" applyBorder="1" applyAlignment="1">
      <alignment horizontal="left" wrapText="1"/>
    </xf>
    <xf numFmtId="0" fontId="36" fillId="0" borderId="39" xfId="0" applyFont="1" applyBorder="1" applyAlignment="1">
      <alignment horizontal="left" wrapText="1"/>
    </xf>
    <xf numFmtId="0" fontId="36" fillId="0" borderId="40" xfId="0" applyFont="1" applyBorder="1" applyAlignment="1">
      <alignment horizontal="left" wrapText="1"/>
    </xf>
    <xf numFmtId="0" fontId="35" fillId="39" borderId="41" xfId="0" applyFont="1" applyFill="1" applyBorder="1" applyAlignment="1">
      <alignment horizontal="center" vertical="center" wrapText="1"/>
    </xf>
    <xf numFmtId="0" fontId="35" fillId="39" borderId="42" xfId="0" applyFont="1" applyFill="1" applyBorder="1" applyAlignment="1">
      <alignment horizontal="center" vertical="center" wrapText="1"/>
    </xf>
    <xf numFmtId="0" fontId="36" fillId="39" borderId="43" xfId="0" applyFont="1" applyFill="1" applyBorder="1" applyAlignment="1">
      <alignment horizontal="left" wrapText="1"/>
    </xf>
    <xf numFmtId="0" fontId="36" fillId="39" borderId="44" xfId="0" applyFont="1" applyFill="1" applyBorder="1" applyAlignment="1">
      <alignment horizontal="left" wrapText="1"/>
    </xf>
    <xf numFmtId="0" fontId="36" fillId="39" borderId="45" xfId="0" applyFont="1" applyFill="1" applyBorder="1" applyAlignment="1">
      <alignment horizontal="left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39" borderId="48" xfId="0" applyFont="1" applyFill="1" applyBorder="1" applyAlignment="1">
      <alignment horizontal="center" wrapText="1"/>
    </xf>
    <xf numFmtId="0" fontId="36" fillId="39" borderId="49" xfId="0" applyFont="1" applyFill="1" applyBorder="1" applyAlignment="1">
      <alignment horizontal="center" wrapText="1"/>
    </xf>
  </cellXfs>
  <cellStyles count="53">
    <cellStyle name="20% - Accent1" xfId="25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39" builtinId="46" customBuiltin="1"/>
    <cellStyle name="20% - Accent6" xfId="43" builtinId="50" customBuiltin="1"/>
    <cellStyle name="40% - Accent1" xfId="26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0" builtinId="47" customBuiltin="1"/>
    <cellStyle name="40% - Accent6" xfId="44" builtinId="51" customBuiltin="1"/>
    <cellStyle name="60% - Accent1" xfId="3" builtinId="32" customBuiltin="1"/>
    <cellStyle name="60% - Accent2" xfId="30" builtinId="36" customBuiltin="1"/>
    <cellStyle name="60% - Accent3" xfId="34" builtinId="40" customBuiltin="1"/>
    <cellStyle name="60% - Accent4" xfId="4" builtinId="44" customBuiltin="1"/>
    <cellStyle name="60% - Accent5" xfId="41" builtinId="48" customBuiltin="1"/>
    <cellStyle name="60% - Accent6" xfId="5" builtinId="52" customBuiltin="1"/>
    <cellStyle name="Accent1" xfId="24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8" builtinId="45" customBuiltin="1"/>
    <cellStyle name="Accent6" xfId="42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/>
    <cellStyle name="Comma 2" xfId="46"/>
    <cellStyle name="Comma 2 2" xfId="52"/>
    <cellStyle name="Comma 2 3" xfId="49"/>
    <cellStyle name="Currency" xfId="2" builtinId="4"/>
    <cellStyle name="Currency 2" xfId="47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5"/>
    <cellStyle name="Normal 2 2" xfId="51"/>
    <cellStyle name="Normal 2 3" xfId="48"/>
    <cellStyle name="Note" xfId="21" builtinId="10" customBuiltin="1"/>
    <cellStyle name="Output" xfId="16" builtinId="21" customBuiltin="1"/>
    <cellStyle name="Percent" xfId="6" builtinId="5"/>
    <cellStyle name="Percent 2" xfId="50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-0.49567857589229919"/>
                  <c:y val="-1.5625538769068657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tx2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49649490242291144"/>
                  <c:y val="7.683404526202714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6467405859982"/>
                  <c:y val="0.1828442666531635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spPr>
              <a:ln w="9525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55189154927062689"/>
                  <c:y val="0.2906062787167681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spPr>
              <a:ln w="9525">
                <a:solidFill>
                  <a:schemeClr val="accent6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3485082221865126"/>
                  <c:y val="0.50833468967504469"/>
                </c:manualLayout>
              </c:layout>
              <c:numFmt formatCode="General" sourceLinked="0"/>
            </c:trendlineLbl>
          </c:trendline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57984"/>
        <c:axId val="236867968"/>
      </c:scatterChart>
      <c:valAx>
        <c:axId val="23685798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6867968"/>
        <c:crosses val="autoZero"/>
        <c:crossBetween val="midCat"/>
      </c:valAx>
      <c:valAx>
        <c:axId val="23686796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6857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1'!$B$12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1'!$C$12</c:f>
              <c:numCache>
                <c:formatCode>#,##0</c:formatCode>
                <c:ptCount val="1"/>
                <c:pt idx="0">
                  <c:v>135699.3691208323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1'!$D$3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1'!$A$22:$A$42</c:f>
              <c:numCache>
                <c:formatCode>General</c:formatCode>
                <c:ptCount val="21"/>
                <c:pt idx="0">
                  <c:v>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18000000</c:v>
                </c:pt>
                <c:pt idx="10">
                  <c:v>20000000</c:v>
                </c:pt>
                <c:pt idx="11">
                  <c:v>22000000</c:v>
                </c:pt>
                <c:pt idx="12">
                  <c:v>24000000</c:v>
                </c:pt>
                <c:pt idx="13">
                  <c:v>26000000</c:v>
                </c:pt>
                <c:pt idx="14">
                  <c:v>28000000</c:v>
                </c:pt>
                <c:pt idx="15">
                  <c:v>30000000</c:v>
                </c:pt>
                <c:pt idx="16">
                  <c:v>32000000</c:v>
                </c:pt>
                <c:pt idx="17">
                  <c:v>34000000</c:v>
                </c:pt>
                <c:pt idx="18">
                  <c:v>36000000</c:v>
                </c:pt>
                <c:pt idx="19">
                  <c:v>38000000</c:v>
                </c:pt>
                <c:pt idx="20">
                  <c:v>40000000</c:v>
                </c:pt>
              </c:numCache>
            </c:numRef>
          </c:xVal>
          <c:yVal>
            <c:numRef>
              <c:f>'HCC Response S Curve 1'!$B$22:$B$42</c:f>
              <c:numCache>
                <c:formatCode>General</c:formatCode>
                <c:ptCount val="21"/>
                <c:pt idx="0">
                  <c:v>-1.9361046741384058E-6</c:v>
                </c:pt>
                <c:pt idx="1">
                  <c:v>1.9468609672286035</c:v>
                </c:pt>
                <c:pt idx="2">
                  <c:v>7.6839426469711753</c:v>
                </c:pt>
                <c:pt idx="3">
                  <c:v>24.589680007205068</c:v>
                </c:pt>
                <c:pt idx="4">
                  <c:v>74.402386343504247</c:v>
                </c:pt>
                <c:pt idx="5">
                  <c:v>221.13848088283009</c:v>
                </c:pt>
                <c:pt idx="6">
                  <c:v>653.06728900141968</c:v>
                </c:pt>
                <c:pt idx="7">
                  <c:v>1921.7160595958901</c:v>
                </c:pt>
                <c:pt idx="8">
                  <c:v>5624.2407437950105</c:v>
                </c:pt>
                <c:pt idx="9">
                  <c:v>16231.705268388449</c:v>
                </c:pt>
                <c:pt idx="10">
                  <c:v>45076.632688646758</c:v>
                </c:pt>
                <c:pt idx="11">
                  <c:v>113544.32116991011</c:v>
                </c:pt>
                <c:pt idx="12">
                  <c:v>234316.6521286284</c:v>
                </c:pt>
                <c:pt idx="13">
                  <c:v>366659.37200703949</c:v>
                </c:pt>
                <c:pt idx="14">
                  <c:v>453596.07603195845</c:v>
                </c:pt>
                <c:pt idx="15">
                  <c:v>493285.64971172978</c:v>
                </c:pt>
                <c:pt idx="16">
                  <c:v>508380.67880587309</c:v>
                </c:pt>
                <c:pt idx="17">
                  <c:v>513715.20353487186</c:v>
                </c:pt>
                <c:pt idx="18">
                  <c:v>515550.96463864471</c:v>
                </c:pt>
                <c:pt idx="19">
                  <c:v>516176.90100218484</c:v>
                </c:pt>
                <c:pt idx="20">
                  <c:v>516389.65316554887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6752"/>
        <c:axId val="236917504"/>
      </c:scatterChart>
      <c:valAx>
        <c:axId val="23690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6917504"/>
        <c:crosses val="autoZero"/>
        <c:crossBetween val="midCat"/>
        <c:dispUnits>
          <c:builtInUnit val="millions"/>
        </c:dispUnits>
      </c:valAx>
      <c:valAx>
        <c:axId val="2369175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69067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2'!$B$12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2'!$C$12</c:f>
              <c:numCache>
                <c:formatCode>#,##0</c:formatCode>
                <c:ptCount val="1"/>
                <c:pt idx="0">
                  <c:v>135699.36912083201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2'!$D$3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2'!$A$22:$A$42</c:f>
              <c:numCache>
                <c:formatCode>General</c:formatCode>
                <c:ptCount val="21"/>
                <c:pt idx="0">
                  <c:v>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18000000</c:v>
                </c:pt>
                <c:pt idx="10">
                  <c:v>20000000</c:v>
                </c:pt>
                <c:pt idx="11">
                  <c:v>22000000</c:v>
                </c:pt>
                <c:pt idx="12">
                  <c:v>24000000</c:v>
                </c:pt>
                <c:pt idx="13">
                  <c:v>26000000</c:v>
                </c:pt>
                <c:pt idx="14">
                  <c:v>28000000</c:v>
                </c:pt>
                <c:pt idx="15">
                  <c:v>30000000</c:v>
                </c:pt>
                <c:pt idx="16">
                  <c:v>32000000</c:v>
                </c:pt>
                <c:pt idx="17">
                  <c:v>34000000</c:v>
                </c:pt>
                <c:pt idx="18">
                  <c:v>36000000</c:v>
                </c:pt>
                <c:pt idx="19">
                  <c:v>38000000</c:v>
                </c:pt>
                <c:pt idx="20">
                  <c:v>40000000</c:v>
                </c:pt>
              </c:numCache>
            </c:numRef>
          </c:xVal>
          <c:yVal>
            <c:numRef>
              <c:f>'HCC Response S Curve 2'!$B$22:$B$42</c:f>
              <c:numCache>
                <c:formatCode>General</c:formatCode>
                <c:ptCount val="21"/>
                <c:pt idx="0">
                  <c:v>-1.9361046741384058E-6</c:v>
                </c:pt>
                <c:pt idx="1">
                  <c:v>1.9468609672286035</c:v>
                </c:pt>
                <c:pt idx="2">
                  <c:v>7.6839426469711594</c:v>
                </c:pt>
                <c:pt idx="3">
                  <c:v>24.589680007205022</c:v>
                </c:pt>
                <c:pt idx="4">
                  <c:v>74.402386343504247</c:v>
                </c:pt>
                <c:pt idx="5">
                  <c:v>221.1384808828299</c:v>
                </c:pt>
                <c:pt idx="6">
                  <c:v>653.06728900141911</c:v>
                </c:pt>
                <c:pt idx="7">
                  <c:v>1921.7160595958869</c:v>
                </c:pt>
                <c:pt idx="8">
                  <c:v>5624.2407437950005</c:v>
                </c:pt>
                <c:pt idx="9">
                  <c:v>16231.705268388421</c:v>
                </c:pt>
                <c:pt idx="10">
                  <c:v>45076.632688646685</c:v>
                </c:pt>
                <c:pt idx="11">
                  <c:v>113544.32116990995</c:v>
                </c:pt>
                <c:pt idx="12">
                  <c:v>234316.65212862816</c:v>
                </c:pt>
                <c:pt idx="13">
                  <c:v>366659.37200703908</c:v>
                </c:pt>
                <c:pt idx="14">
                  <c:v>453596.07603195828</c:v>
                </c:pt>
                <c:pt idx="15">
                  <c:v>493285.64971172978</c:v>
                </c:pt>
                <c:pt idx="16">
                  <c:v>508380.67880587309</c:v>
                </c:pt>
                <c:pt idx="17">
                  <c:v>513715.20353487186</c:v>
                </c:pt>
                <c:pt idx="18">
                  <c:v>515550.96463864471</c:v>
                </c:pt>
                <c:pt idx="19">
                  <c:v>516176.90100218484</c:v>
                </c:pt>
                <c:pt idx="20">
                  <c:v>516389.65316554887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10976"/>
        <c:axId val="238121728"/>
      </c:scatterChart>
      <c:valAx>
        <c:axId val="23811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8121728"/>
        <c:crosses val="autoZero"/>
        <c:crossBetween val="midCat"/>
        <c:dispUnits>
          <c:builtInUnit val="millions"/>
        </c:dispUnits>
      </c:valAx>
      <c:valAx>
        <c:axId val="2381217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8110976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NRx)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3'!$C$12</c:f>
              <c:numCache>
                <c:formatCode>#,##0</c:formatCode>
                <c:ptCount val="1"/>
                <c:pt idx="0">
                  <c:v>135699.3691208323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</c:numCache>
            </c:numRef>
          </c:xVal>
          <c:yVal>
            <c:numRef>
              <c:f>'HCC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65160.884199584834</c:v>
                </c:pt>
                <c:pt idx="2">
                  <c:v>122744.77582018357</c:v>
                </c:pt>
                <c:pt idx="3">
                  <c:v>173476.53353370167</c:v>
                </c:pt>
                <c:pt idx="4">
                  <c:v>218050.60666741617</c:v>
                </c:pt>
                <c:pt idx="5">
                  <c:v>257121.2781913355</c:v>
                </c:pt>
                <c:pt idx="6">
                  <c:v>291296.63727436401</c:v>
                </c:pt>
                <c:pt idx="7">
                  <c:v>321135.50980218779</c:v>
                </c:pt>
                <c:pt idx="8">
                  <c:v>347146.64896780811</c:v>
                </c:pt>
                <c:pt idx="9">
                  <c:v>369789.58456045669</c:v>
                </c:pt>
                <c:pt idx="10">
                  <c:v>389476.63249957375</c:v>
                </c:pt>
                <c:pt idx="11">
                  <c:v>406575.66504135821</c:v>
                </c:pt>
                <c:pt idx="12">
                  <c:v>421413.33103184588</c:v>
                </c:pt>
                <c:pt idx="13">
                  <c:v>434278.49192497414</c:v>
                </c:pt>
                <c:pt idx="14">
                  <c:v>445425.7024764372</c:v>
                </c:pt>
                <c:pt idx="15">
                  <c:v>455078.61578376312</c:v>
                </c:pt>
                <c:pt idx="16">
                  <c:v>463433.23205492459</c:v>
                </c:pt>
                <c:pt idx="17">
                  <c:v>470660.94080024865</c:v>
                </c:pt>
                <c:pt idx="18">
                  <c:v>476911.32871761266</c:v>
                </c:pt>
                <c:pt idx="19">
                  <c:v>482314.74191566277</c:v>
                </c:pt>
                <c:pt idx="20">
                  <c:v>486984.60263799503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6032"/>
        <c:axId val="238240512"/>
      </c:scatterChart>
      <c:valAx>
        <c:axId val="238156032"/>
        <c:scaling>
          <c:orientation val="minMax"/>
          <c:max val="2500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8240512"/>
        <c:crosses val="autoZero"/>
        <c:crossBetween val="midCat"/>
        <c:dispUnits>
          <c:builtInUnit val="millions"/>
        </c:dispUnits>
      </c:valAx>
      <c:valAx>
        <c:axId val="2382405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81560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TRx)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3'!$H$12</c:f>
              <c:numCache>
                <c:formatCode>_(* #,##0_);_(* \(#,##0\);_(* "-"??_);_(@_)</c:formatCode>
                <c:ptCount val="1"/>
                <c:pt idx="0">
                  <c:v>1564613.7259631963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3'!$F$2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</c:numCache>
            </c:numRef>
          </c:xVal>
          <c:yVal>
            <c:numRef>
              <c:f>'HCC Response S Curve 3'!$C$22:$C$42</c:f>
              <c:numCache>
                <c:formatCode>General</c:formatCode>
                <c:ptCount val="21"/>
                <c:pt idx="0">
                  <c:v>0</c:v>
                </c:pt>
                <c:pt idx="1">
                  <c:v>751304.99482121307</c:v>
                </c:pt>
                <c:pt idx="2">
                  <c:v>1415247.2652067165</c:v>
                </c:pt>
                <c:pt idx="3">
                  <c:v>2000184.4316435801</c:v>
                </c:pt>
                <c:pt idx="4">
                  <c:v>2514123.4948753081</c:v>
                </c:pt>
                <c:pt idx="5">
                  <c:v>2964608.337546098</c:v>
                </c:pt>
                <c:pt idx="6">
                  <c:v>3358650.2277734168</c:v>
                </c:pt>
                <c:pt idx="7">
                  <c:v>3702692.4280192251</c:v>
                </c:pt>
                <c:pt idx="8">
                  <c:v>4002600.8625988271</c:v>
                </c:pt>
                <c:pt idx="9">
                  <c:v>4263673.9099820657</c:v>
                </c:pt>
                <c:pt idx="10">
                  <c:v>4490665.5727200853</c:v>
                </c:pt>
                <c:pt idx="11">
                  <c:v>4687817.41792686</c:v>
                </c:pt>
                <c:pt idx="12">
                  <c:v>4858895.7067971826</c:v>
                </c:pt>
                <c:pt idx="13">
                  <c:v>5007231.0118949516</c:v>
                </c:pt>
                <c:pt idx="14">
                  <c:v>5135758.3495533206</c:v>
                </c:pt>
                <c:pt idx="15">
                  <c:v>5247056.4399867887</c:v>
                </c:pt>
                <c:pt idx="16">
                  <c:v>5343385.1655932805</c:v>
                </c:pt>
                <c:pt idx="17">
                  <c:v>5426720.6474268669</c:v>
                </c:pt>
                <c:pt idx="18">
                  <c:v>5498787.6201140741</c:v>
                </c:pt>
                <c:pt idx="19">
                  <c:v>5561088.9742875919</c:v>
                </c:pt>
                <c:pt idx="20">
                  <c:v>5614932.4684160827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62688"/>
        <c:axId val="238569344"/>
      </c:scatterChart>
      <c:valAx>
        <c:axId val="238562688"/>
        <c:scaling>
          <c:orientation val="minMax"/>
          <c:max val="2500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38569344"/>
        <c:crosses val="autoZero"/>
        <c:crossBetween val="midCat"/>
        <c:dispUnits>
          <c:builtInUnit val="millions"/>
        </c:dispUnits>
      </c:valAx>
      <c:valAx>
        <c:axId val="238569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85626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19050</xdr:rowOff>
    </xdr:from>
    <xdr:to>
      <xdr:col>9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19050</xdr:rowOff>
    </xdr:from>
    <xdr:to>
      <xdr:col>9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19</xdr:row>
      <xdr:rowOff>80010</xdr:rowOff>
    </xdr:from>
    <xdr:to>
      <xdr:col>11</xdr:col>
      <xdr:colOff>15240</xdr:colOff>
      <xdr:row>35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11</xdr:col>
      <xdr:colOff>0</xdr:colOff>
      <xdr:row>52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AccentHealth/Summary%20of%20AccentHealth%20In-Office%20DTC%20ROI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atientPoint%20Exam%20Room%20-%20Internal%20ROI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46">
          <cell r="D46">
            <v>1876.1772523665049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Zetia Vytorin"/>
      <sheetName val="Januvia"/>
      <sheetName val="Singulair"/>
      <sheetName val="MerckEngage AccentHealth"/>
      <sheetName val="Nasonex"/>
    </sheetNames>
    <sheetDataSet>
      <sheetData sheetId="0"/>
      <sheetData sheetId="1"/>
      <sheetData sheetId="2">
        <row r="7">
          <cell r="C7">
            <v>811.15607570544375</v>
          </cell>
        </row>
        <row r="10">
          <cell r="C10">
            <v>6460405.7555842344</v>
          </cell>
        </row>
        <row r="13">
          <cell r="C13">
            <v>1822215.5999999999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63">
          <cell r="R63">
            <v>2850000</v>
          </cell>
        </row>
        <row r="64">
          <cell r="R64">
            <v>700000</v>
          </cell>
        </row>
        <row r="65">
          <cell r="R65">
            <v>500000</v>
          </cell>
        </row>
        <row r="66">
          <cell r="R66">
            <v>8454000</v>
          </cell>
        </row>
        <row r="67">
          <cell r="R67">
            <v>3000000</v>
          </cell>
        </row>
        <row r="68">
          <cell r="R68">
            <v>500000</v>
          </cell>
        </row>
        <row r="85">
          <cell r="R85">
            <v>50000</v>
          </cell>
        </row>
        <row r="86">
          <cell r="R86">
            <v>2000000</v>
          </cell>
        </row>
        <row r="96">
          <cell r="R96">
            <v>4900000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k calculated ROI"/>
      <sheetName val="benchmarks"/>
    </sheetNames>
    <sheetDataSet>
      <sheetData sheetId="0">
        <row r="9">
          <cell r="D9">
            <v>3327048.781880701</v>
          </cell>
        </row>
        <row r="11">
          <cell r="D11">
            <v>875000</v>
          </cell>
        </row>
        <row r="18">
          <cell r="D18">
            <v>5584404.0681238547</v>
          </cell>
        </row>
      </sheetData>
      <sheetData sheetId="1">
        <row r="10">
          <cell r="F10">
            <v>6.3372357750108588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topLeftCell="M1" zoomScale="90" zoomScaleNormal="90" workbookViewId="0">
      <selection activeCell="N8" sqref="N8"/>
    </sheetView>
  </sheetViews>
  <sheetFormatPr defaultRowHeight="14.4" x14ac:dyDescent="0.3"/>
  <cols>
    <col min="1" max="1" width="6" bestFit="1" customWidth="1"/>
    <col min="2" max="2" width="23.33203125" bestFit="1" customWidth="1"/>
    <col min="3" max="3" width="8" bestFit="1" customWidth="1"/>
    <col min="4" max="4" width="34.109375" customWidth="1"/>
    <col min="5" max="5" width="6.6640625" customWidth="1"/>
    <col min="6" max="6" width="14.88671875" bestFit="1" customWidth="1"/>
    <col min="7" max="7" width="17.33203125" customWidth="1"/>
    <col min="8" max="8" width="15.88671875" customWidth="1"/>
    <col min="9" max="9" width="17.88671875" customWidth="1"/>
    <col min="10" max="10" width="13.6640625" customWidth="1"/>
    <col min="11" max="11" width="14.109375" customWidth="1"/>
    <col min="12" max="12" width="12.33203125" customWidth="1"/>
    <col min="13" max="13" width="13.5546875" customWidth="1"/>
    <col min="14" max="14" width="11.33203125" customWidth="1"/>
    <col min="15" max="15" width="16.44140625" customWidth="1"/>
    <col min="16" max="16" width="13.44140625" customWidth="1"/>
    <col min="17" max="17" width="17.109375" customWidth="1"/>
    <col min="18" max="18" width="16.5546875" customWidth="1"/>
    <col min="19" max="19" width="15" customWidth="1"/>
  </cols>
  <sheetData>
    <row r="1" spans="1:28" ht="15" x14ac:dyDescent="0.25">
      <c r="A1" s="108" t="s">
        <v>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3" spans="1:28" ht="48" customHeight="1" x14ac:dyDescent="0.3">
      <c r="C3" s="3" t="s">
        <v>26</v>
      </c>
      <c r="D3" s="3"/>
      <c r="E3" s="3"/>
      <c r="K3" s="109" t="s">
        <v>85</v>
      </c>
      <c r="L3" s="109"/>
      <c r="M3" s="109"/>
      <c r="N3" s="109"/>
      <c r="O3" s="109" t="s">
        <v>90</v>
      </c>
      <c r="P3" s="109"/>
      <c r="Q3" s="42" t="s">
        <v>94</v>
      </c>
      <c r="R3" s="110" t="s">
        <v>171</v>
      </c>
      <c r="S3" s="110"/>
      <c r="T3" s="110"/>
    </row>
    <row r="4" spans="1:28" ht="76.2" customHeight="1" x14ac:dyDescent="0.3">
      <c r="C4" s="3"/>
      <c r="D4" s="3" t="s">
        <v>23</v>
      </c>
      <c r="E4" s="3">
        <v>0.4</v>
      </c>
      <c r="I4" s="17" t="s">
        <v>56</v>
      </c>
      <c r="K4" s="41" t="s">
        <v>86</v>
      </c>
      <c r="L4" s="41" t="s">
        <v>87</v>
      </c>
      <c r="M4" s="106" t="s">
        <v>88</v>
      </c>
      <c r="N4" s="107" t="s">
        <v>89</v>
      </c>
      <c r="O4" s="106" t="s">
        <v>91</v>
      </c>
      <c r="P4" s="42" t="s">
        <v>92</v>
      </c>
      <c r="Q4" s="42" t="s">
        <v>95</v>
      </c>
      <c r="R4" s="102" t="s">
        <v>169</v>
      </c>
      <c r="S4" s="102" t="s">
        <v>170</v>
      </c>
      <c r="T4" s="102" t="s">
        <v>168</v>
      </c>
    </row>
    <row r="5" spans="1:28" ht="15" customHeight="1" x14ac:dyDescent="0.35">
      <c r="C5" s="3">
        <v>2012</v>
      </c>
      <c r="D5" s="3" t="s">
        <v>31</v>
      </c>
      <c r="E5" s="4">
        <f>'[1] Summary'!$D$46</f>
        <v>1876.1772523665049</v>
      </c>
      <c r="I5" s="16">
        <v>5165000</v>
      </c>
      <c r="K5" s="47">
        <f>SUM(F19,F27,F32,F40)</f>
        <v>22434506</v>
      </c>
      <c r="L5" s="48">
        <f>SUM(I19,I27,I32,I40)</f>
        <v>135699.3691208323</v>
      </c>
      <c r="M5" s="44">
        <f>L5/I5</f>
        <v>2.627286914246511E-2</v>
      </c>
      <c r="N5" s="43">
        <f>K5/L5</f>
        <v>165.32505748072708</v>
      </c>
      <c r="O5" s="45">
        <v>0.1</v>
      </c>
      <c r="P5" s="46">
        <f>O5*I5</f>
        <v>516500</v>
      </c>
      <c r="Q5" s="50" t="s">
        <v>96</v>
      </c>
      <c r="R5" s="103">
        <v>11.53</v>
      </c>
      <c r="S5" s="104">
        <f>L5*R5</f>
        <v>1564613.7259631963</v>
      </c>
      <c r="T5" s="43">
        <f>K5/S5</f>
        <v>14.338686685232185</v>
      </c>
    </row>
    <row r="6" spans="1:28" s="5" customFormat="1" x14ac:dyDescent="0.3">
      <c r="C6" s="3">
        <v>2009</v>
      </c>
      <c r="D6" s="3" t="s">
        <v>32</v>
      </c>
      <c r="E6" s="4">
        <f>[2]Januvia!$C$7</f>
        <v>811.15607570544375</v>
      </c>
      <c r="K6" s="49" t="s">
        <v>93</v>
      </c>
    </row>
    <row r="7" spans="1:28" s="5" customFormat="1" x14ac:dyDescent="0.3">
      <c r="C7" s="6"/>
      <c r="D7" s="6"/>
      <c r="E7" s="7"/>
    </row>
    <row r="8" spans="1:28" s="5" customFormat="1" x14ac:dyDescent="0.3">
      <c r="A8" s="26" t="s">
        <v>27</v>
      </c>
      <c r="C8" s="6"/>
      <c r="D8" s="6"/>
      <c r="E8" s="7"/>
      <c r="J8" s="5">
        <f>J11/F11</f>
        <v>0.5913253012048193</v>
      </c>
      <c r="K8" s="5">
        <f>K11/F11</f>
        <v>1.3069879518072289</v>
      </c>
    </row>
    <row r="10" spans="1:28" s="20" customFormat="1" x14ac:dyDescent="0.3">
      <c r="A10" s="19" t="s">
        <v>0</v>
      </c>
      <c r="B10" s="19" t="s">
        <v>1</v>
      </c>
      <c r="C10" s="19" t="s">
        <v>7</v>
      </c>
      <c r="D10" s="19" t="s">
        <v>9</v>
      </c>
      <c r="E10" s="19" t="s">
        <v>8</v>
      </c>
      <c r="F10" s="19" t="s">
        <v>2</v>
      </c>
      <c r="G10" s="19" t="s">
        <v>11</v>
      </c>
      <c r="H10" s="19" t="s">
        <v>3</v>
      </c>
      <c r="I10" s="19" t="s">
        <v>4</v>
      </c>
      <c r="J10" s="19" t="s">
        <v>20</v>
      </c>
      <c r="K10" s="19" t="s">
        <v>21</v>
      </c>
      <c r="L10" s="19" t="s">
        <v>22</v>
      </c>
      <c r="M10" s="19" t="s">
        <v>5</v>
      </c>
      <c r="N10" s="19" t="s">
        <v>52</v>
      </c>
      <c r="O10" s="19" t="s">
        <v>65</v>
      </c>
    </row>
    <row r="11" spans="1:28" ht="43.2" x14ac:dyDescent="0.3">
      <c r="A11">
        <v>2012</v>
      </c>
      <c r="B11" t="s">
        <v>18</v>
      </c>
      <c r="C11" t="s">
        <v>10</v>
      </c>
      <c r="D11" t="s">
        <v>19</v>
      </c>
      <c r="E11" s="18">
        <v>22.7</v>
      </c>
      <c r="F11" s="1">
        <v>8300000</v>
      </c>
      <c r="G11" s="1">
        <v>188100000</v>
      </c>
      <c r="H11" s="1">
        <f t="shared" ref="H11:H19" si="0">$G11*(1-$E$4)</f>
        <v>112860000</v>
      </c>
      <c r="I11" s="2">
        <f t="shared" ref="I11:I18" si="1">$G11/$E$5</f>
        <v>100257.05181253061</v>
      </c>
      <c r="J11" s="1">
        <f>'Desktop Paid Search'!E4*1000</f>
        <v>4908000</v>
      </c>
      <c r="K11" s="1">
        <f>'Desktop Paid Search'!E14*1000</f>
        <v>10848000</v>
      </c>
      <c r="L11" s="1"/>
      <c r="M11" t="s">
        <v>6</v>
      </c>
      <c r="N11" s="25" t="s">
        <v>53</v>
      </c>
      <c r="O11" s="12">
        <f>'[3]Summary by Area (Jane)'!$R$66</f>
        <v>8454000</v>
      </c>
      <c r="Q11" s="24" t="s">
        <v>67</v>
      </c>
      <c r="R11" s="24"/>
      <c r="S11" s="24"/>
      <c r="T11" s="24" t="s">
        <v>68</v>
      </c>
      <c r="U11" s="24"/>
      <c r="V11" s="24"/>
      <c r="W11" s="24">
        <f>'[3]Summary by Area (Jane)'!$R$65</f>
        <v>500000</v>
      </c>
      <c r="X11" s="24"/>
      <c r="Y11" s="24" t="s">
        <v>74</v>
      </c>
      <c r="Z11" s="24"/>
      <c r="AA11" s="24"/>
      <c r="AB11" s="24"/>
    </row>
    <row r="12" spans="1:28" x14ac:dyDescent="0.3">
      <c r="A12">
        <v>2012</v>
      </c>
      <c r="B12" t="s">
        <v>12</v>
      </c>
      <c r="C12" t="s">
        <v>10</v>
      </c>
      <c r="D12" t="s">
        <v>19</v>
      </c>
      <c r="E12" s="18">
        <v>10.5</v>
      </c>
      <c r="F12" s="1">
        <v>900000</v>
      </c>
      <c r="G12" s="1">
        <v>9300000</v>
      </c>
      <c r="H12" s="1">
        <f t="shared" si="0"/>
        <v>5580000</v>
      </c>
      <c r="I12" s="2">
        <f t="shared" si="1"/>
        <v>4956.8877291681802</v>
      </c>
      <c r="J12" s="1">
        <f>$J$8*F12</f>
        <v>532192.77108433738</v>
      </c>
      <c r="K12" s="1">
        <f>$K$8*F12</f>
        <v>1176289.156626506</v>
      </c>
      <c r="L12" s="1"/>
      <c r="M12" t="s">
        <v>6</v>
      </c>
      <c r="O12" t="s">
        <v>66</v>
      </c>
    </row>
    <row r="13" spans="1:28" x14ac:dyDescent="0.3">
      <c r="A13">
        <v>2012</v>
      </c>
      <c r="B13" t="s">
        <v>13</v>
      </c>
      <c r="C13" t="s">
        <v>10</v>
      </c>
      <c r="D13" t="s">
        <v>19</v>
      </c>
      <c r="E13" s="18">
        <v>11.6</v>
      </c>
      <c r="F13" s="1">
        <v>400000</v>
      </c>
      <c r="G13" s="1">
        <v>4200000</v>
      </c>
      <c r="H13" s="1">
        <f t="shared" si="0"/>
        <v>2520000</v>
      </c>
      <c r="I13" s="2">
        <f t="shared" si="1"/>
        <v>2238.594458334017</v>
      </c>
      <c r="J13" s="1">
        <f t="shared" ref="J13:J18" si="2">$J$8*F13</f>
        <v>236530.12048192773</v>
      </c>
      <c r="K13" s="1">
        <f t="shared" ref="K13:K18" si="3">$K$8*F13</f>
        <v>522795.18072289159</v>
      </c>
      <c r="L13" s="1"/>
      <c r="M13" t="s">
        <v>6</v>
      </c>
      <c r="O13" s="12">
        <f>'[3]Summary by Area (Jane)'!$R$64</f>
        <v>700000</v>
      </c>
    </row>
    <row r="14" spans="1:28" x14ac:dyDescent="0.3">
      <c r="A14">
        <v>2012</v>
      </c>
      <c r="B14" t="s">
        <v>14</v>
      </c>
      <c r="C14" t="s">
        <v>10</v>
      </c>
      <c r="D14" t="s">
        <v>19</v>
      </c>
      <c r="E14" s="18">
        <v>6.5</v>
      </c>
      <c r="F14" s="1">
        <v>1500000</v>
      </c>
      <c r="G14" s="1">
        <v>9700000</v>
      </c>
      <c r="H14" s="1">
        <f t="shared" si="0"/>
        <v>5820000</v>
      </c>
      <c r="I14" s="2">
        <f t="shared" si="1"/>
        <v>5170.0872013904673</v>
      </c>
      <c r="J14" s="1">
        <f t="shared" si="2"/>
        <v>886987.95180722896</v>
      </c>
      <c r="K14" s="1">
        <f t="shared" si="3"/>
        <v>1960481.9277108435</v>
      </c>
      <c r="L14" s="1"/>
      <c r="M14" t="s">
        <v>6</v>
      </c>
      <c r="O14" s="12">
        <f>'[3]Summary by Area (Jane)'!$R$63</f>
        <v>2850000</v>
      </c>
    </row>
    <row r="15" spans="1:28" x14ac:dyDescent="0.3">
      <c r="A15">
        <v>2012</v>
      </c>
      <c r="B15" t="s">
        <v>15</v>
      </c>
      <c r="C15" t="s">
        <v>10</v>
      </c>
      <c r="D15" t="s">
        <v>19</v>
      </c>
      <c r="E15" s="18">
        <v>3.4</v>
      </c>
      <c r="F15" s="1">
        <v>500000</v>
      </c>
      <c r="G15" s="1">
        <v>1600000</v>
      </c>
      <c r="H15" s="1">
        <f t="shared" si="0"/>
        <v>960000</v>
      </c>
      <c r="I15" s="2">
        <f t="shared" si="1"/>
        <v>852.79788888914925</v>
      </c>
      <c r="J15" s="1">
        <f t="shared" si="2"/>
        <v>295662.65060240967</v>
      </c>
      <c r="K15" s="1">
        <f t="shared" si="3"/>
        <v>653493.97590361442</v>
      </c>
      <c r="L15" s="1"/>
      <c r="M15" t="s">
        <v>6</v>
      </c>
    </row>
    <row r="16" spans="1:28" x14ac:dyDescent="0.3">
      <c r="A16">
        <v>2012</v>
      </c>
      <c r="B16" t="s">
        <v>16</v>
      </c>
      <c r="C16" t="s">
        <v>10</v>
      </c>
      <c r="D16" t="s">
        <v>19</v>
      </c>
      <c r="E16" s="18">
        <v>3.9</v>
      </c>
      <c r="F16" s="1">
        <v>600000</v>
      </c>
      <c r="G16" s="1">
        <v>2200000</v>
      </c>
      <c r="H16" s="1">
        <f t="shared" si="0"/>
        <v>1320000</v>
      </c>
      <c r="I16" s="2">
        <f t="shared" si="1"/>
        <v>1172.5970972225803</v>
      </c>
      <c r="J16" s="1">
        <f t="shared" si="2"/>
        <v>354795.18072289159</v>
      </c>
      <c r="K16" s="1">
        <f t="shared" si="3"/>
        <v>784192.77108433738</v>
      </c>
      <c r="L16" s="1"/>
      <c r="M16" t="s">
        <v>6</v>
      </c>
    </row>
    <row r="17" spans="1:15" x14ac:dyDescent="0.3">
      <c r="A17">
        <v>2012</v>
      </c>
      <c r="B17" t="s">
        <v>17</v>
      </c>
      <c r="C17" t="s">
        <v>10</v>
      </c>
      <c r="D17" t="s">
        <v>19</v>
      </c>
      <c r="E17" s="18">
        <v>8.8000000000000007</v>
      </c>
      <c r="F17" s="1">
        <v>400000</v>
      </c>
      <c r="G17" s="1">
        <v>3300000</v>
      </c>
      <c r="H17" s="1">
        <f t="shared" si="0"/>
        <v>1980000</v>
      </c>
      <c r="I17" s="2">
        <f t="shared" si="1"/>
        <v>1758.8956458338703</v>
      </c>
      <c r="J17" s="1">
        <f t="shared" si="2"/>
        <v>236530.12048192773</v>
      </c>
      <c r="K17" s="1">
        <f t="shared" si="3"/>
        <v>522795.18072289159</v>
      </c>
      <c r="L17" s="1"/>
      <c r="M17" t="s">
        <v>6</v>
      </c>
      <c r="O17" s="12">
        <f>'[3]Summary by Area (Jane)'!$R$68</f>
        <v>500000</v>
      </c>
    </row>
    <row r="18" spans="1:15" s="15" customFormat="1" ht="28.8" x14ac:dyDescent="0.3">
      <c r="A18" s="27">
        <v>2013</v>
      </c>
      <c r="B18" s="28" t="s">
        <v>77</v>
      </c>
      <c r="C18" s="27" t="s">
        <v>76</v>
      </c>
      <c r="D18" s="27" t="s">
        <v>78</v>
      </c>
      <c r="E18" s="29">
        <v>3.4</v>
      </c>
      <c r="F18" s="30">
        <v>500000</v>
      </c>
      <c r="G18" s="30">
        <f>F18*E18</f>
        <v>1700000</v>
      </c>
      <c r="H18" s="30"/>
      <c r="I18" s="31">
        <f t="shared" si="1"/>
        <v>906.09775694472103</v>
      </c>
      <c r="J18" s="30">
        <f t="shared" si="2"/>
        <v>295662.65060240967</v>
      </c>
      <c r="K18" s="30">
        <f t="shared" si="3"/>
        <v>653493.97590361442</v>
      </c>
      <c r="L18" s="30"/>
      <c r="M18" s="27"/>
      <c r="N18" s="27"/>
    </row>
    <row r="19" spans="1:15" s="20" customFormat="1" x14ac:dyDescent="0.3">
      <c r="A19" s="19">
        <v>2012</v>
      </c>
      <c r="B19" s="19" t="s">
        <v>24</v>
      </c>
      <c r="C19" s="19" t="s">
        <v>10</v>
      </c>
      <c r="D19" s="19" t="s">
        <v>19</v>
      </c>
      <c r="E19" s="10">
        <f>G19/F19</f>
        <v>17.333333333333332</v>
      </c>
      <c r="F19" s="33">
        <f>SUM(F11:F17)</f>
        <v>12600000</v>
      </c>
      <c r="G19" s="14">
        <f>SUM(G11:G17)</f>
        <v>218400000</v>
      </c>
      <c r="H19" s="14">
        <f t="shared" si="0"/>
        <v>131040000</v>
      </c>
      <c r="I19" s="21">
        <f>SUM(I11:I17)</f>
        <v>116406.91183336888</v>
      </c>
      <c r="J19" s="22">
        <f>SUM(J11:J18)</f>
        <v>7746361.4457831327</v>
      </c>
      <c r="K19" s="22">
        <f>SUM(K11:K18)</f>
        <v>17121542.1686747</v>
      </c>
      <c r="L19" s="22"/>
      <c r="M19" s="19"/>
      <c r="N19" s="19"/>
    </row>
    <row r="20" spans="1:15" x14ac:dyDescent="0.3">
      <c r="G20" s="8"/>
      <c r="H20" s="8"/>
      <c r="I20" s="32">
        <f>I19/I5</f>
        <v>2.2537640238793587E-2</v>
      </c>
    </row>
    <row r="21" spans="1:15" x14ac:dyDescent="0.3">
      <c r="A21" s="18" t="s">
        <v>28</v>
      </c>
    </row>
    <row r="23" spans="1:15" s="20" customFormat="1" x14ac:dyDescent="0.3">
      <c r="A23" s="19" t="s">
        <v>0</v>
      </c>
      <c r="B23" s="19" t="s">
        <v>1</v>
      </c>
      <c r="C23" s="19" t="s">
        <v>7</v>
      </c>
      <c r="D23" s="19" t="s">
        <v>9</v>
      </c>
      <c r="E23" s="19" t="s">
        <v>8</v>
      </c>
      <c r="F23" s="19" t="s">
        <v>2</v>
      </c>
      <c r="G23" s="19" t="s">
        <v>11</v>
      </c>
      <c r="H23" s="19" t="s">
        <v>3</v>
      </c>
      <c r="I23" s="19" t="s">
        <v>4</v>
      </c>
      <c r="J23" s="19" t="s">
        <v>20</v>
      </c>
      <c r="K23" s="19" t="s">
        <v>21</v>
      </c>
      <c r="L23" s="19" t="s">
        <v>22</v>
      </c>
      <c r="M23" s="19" t="s">
        <v>5</v>
      </c>
      <c r="N23" s="19" t="s">
        <v>52</v>
      </c>
    </row>
    <row r="24" spans="1:15" x14ac:dyDescent="0.3">
      <c r="A24">
        <v>2009</v>
      </c>
      <c r="B24" t="s">
        <v>29</v>
      </c>
      <c r="C24" t="s">
        <v>30</v>
      </c>
      <c r="D24" t="s">
        <v>60</v>
      </c>
      <c r="E24" s="9">
        <f>H24/(F24*(1-E4))</f>
        <v>3.5453575063149687</v>
      </c>
      <c r="F24" s="1">
        <f>[2]Januvia!$C$13/(1-0.4)</f>
        <v>3037026</v>
      </c>
      <c r="G24" s="1">
        <f>H24/(1-$E$4)</f>
        <v>10767342.925973725</v>
      </c>
      <c r="H24" s="1">
        <f>[2]Januvia!$C$10</f>
        <v>6460405.7555842344</v>
      </c>
      <c r="I24" s="2">
        <f>H24/$E$6</f>
        <v>7964.4422930146557</v>
      </c>
      <c r="J24" s="1"/>
      <c r="K24" s="1"/>
      <c r="L24" s="1"/>
      <c r="O24">
        <f>'[3]Summary by Area (Jane)'!$R$96</f>
        <v>4900000</v>
      </c>
    </row>
    <row r="25" spans="1:15" x14ac:dyDescent="0.3">
      <c r="A25">
        <v>2012</v>
      </c>
      <c r="B25" t="s">
        <v>33</v>
      </c>
      <c r="C25" t="s">
        <v>30</v>
      </c>
      <c r="E25" s="9">
        <f>[4]benchmarks!$F$10</f>
        <v>6.3372357750108588</v>
      </c>
      <c r="F25" s="1">
        <f>'[4]Merck calculated ROI'!$D$11</f>
        <v>875000</v>
      </c>
      <c r="G25" s="1">
        <f>'[4]Merck calculated ROI'!$D$18</f>
        <v>5584404.0681238547</v>
      </c>
      <c r="H25" s="1">
        <f>'[4]Merck calculated ROI'!$D$9</f>
        <v>3327048.781880701</v>
      </c>
      <c r="I25" s="2">
        <f>G25/E5</f>
        <v>2976.48</v>
      </c>
      <c r="J25" s="1"/>
      <c r="K25" s="1"/>
      <c r="L25" s="1"/>
      <c r="O25" t="s">
        <v>66</v>
      </c>
    </row>
    <row r="26" spans="1:15" s="15" customFormat="1" ht="57.6" x14ac:dyDescent="0.3">
      <c r="A26" s="15">
        <v>2012</v>
      </c>
      <c r="B26" s="15" t="s">
        <v>59</v>
      </c>
      <c r="C26" s="15" t="s">
        <v>76</v>
      </c>
      <c r="D26" s="25" t="s">
        <v>79</v>
      </c>
      <c r="E26" s="9">
        <f>(SUM(G24:G25)/SUM(F24:F25))</f>
        <v>4.1798666455942728</v>
      </c>
      <c r="F26" s="1">
        <v>1000000</v>
      </c>
      <c r="G26" s="1">
        <f>F26*E26</f>
        <v>4179866.6455942728</v>
      </c>
      <c r="H26" s="1"/>
      <c r="I26" s="11">
        <f>G26/$E$5</f>
        <v>2227.8634070006033</v>
      </c>
      <c r="J26" s="1"/>
      <c r="K26" s="1"/>
      <c r="L26" s="1"/>
      <c r="O26" s="15" t="s">
        <v>66</v>
      </c>
    </row>
    <row r="27" spans="1:15" s="20" customFormat="1" ht="28.8" x14ac:dyDescent="0.3">
      <c r="A27" s="23" t="s">
        <v>57</v>
      </c>
      <c r="B27" s="19" t="s">
        <v>58</v>
      </c>
      <c r="C27" s="19"/>
      <c r="D27" s="19"/>
      <c r="E27" s="10">
        <f>G27/F27</f>
        <v>4.1798666455942728</v>
      </c>
      <c r="F27" s="33">
        <f>SUM(F24:F25)</f>
        <v>3912026</v>
      </c>
      <c r="G27" s="14">
        <f>SUM(G24:G25)</f>
        <v>16351746.994097579</v>
      </c>
      <c r="H27" s="14">
        <f>SUM(H24:H25)</f>
        <v>9787454.5374649353</v>
      </c>
      <c r="I27" s="21">
        <f>SUM(I24:I26)</f>
        <v>13168.785700015258</v>
      </c>
      <c r="J27" s="22">
        <f>SUM(J19:J25)</f>
        <v>7746361.4457831327</v>
      </c>
      <c r="K27" s="22">
        <f>SUM(K19:K25)</f>
        <v>17121542.1686747</v>
      </c>
      <c r="L27" s="22"/>
      <c r="M27" s="19"/>
      <c r="N27" s="19"/>
    </row>
    <row r="28" spans="1:15" x14ac:dyDescent="0.3">
      <c r="I28" s="32">
        <f>I27/I5</f>
        <v>2.5496196902256066E-3</v>
      </c>
    </row>
    <row r="29" spans="1:15" x14ac:dyDescent="0.3">
      <c r="A29" s="18" t="s">
        <v>54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5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5" s="20" customFormat="1" x14ac:dyDescent="0.3">
      <c r="A31" s="19" t="s">
        <v>0</v>
      </c>
      <c r="B31" s="19" t="s">
        <v>1</v>
      </c>
      <c r="C31" s="19" t="s">
        <v>7</v>
      </c>
      <c r="D31" s="19" t="s">
        <v>9</v>
      </c>
      <c r="E31" s="19" t="s">
        <v>8</v>
      </c>
      <c r="F31" s="19" t="s">
        <v>2</v>
      </c>
      <c r="G31" s="19" t="s">
        <v>11</v>
      </c>
      <c r="H31" s="19" t="s">
        <v>3</v>
      </c>
      <c r="I31" s="19" t="s">
        <v>4</v>
      </c>
      <c r="J31" s="19" t="s">
        <v>20</v>
      </c>
      <c r="K31" s="19" t="s">
        <v>21</v>
      </c>
      <c r="L31" s="19" t="s">
        <v>22</v>
      </c>
      <c r="M31" s="19" t="s">
        <v>5</v>
      </c>
      <c r="N31" s="19" t="s">
        <v>52</v>
      </c>
    </row>
    <row r="32" spans="1:15" x14ac:dyDescent="0.3">
      <c r="A32" s="13">
        <v>2013</v>
      </c>
      <c r="B32" s="13" t="s">
        <v>54</v>
      </c>
      <c r="C32" s="13" t="s">
        <v>61</v>
      </c>
      <c r="D32" s="13" t="s">
        <v>62</v>
      </c>
      <c r="E32" s="9">
        <v>1</v>
      </c>
      <c r="F32" s="34">
        <v>3000000</v>
      </c>
      <c r="G32" s="12">
        <f>F32*E32</f>
        <v>3000000</v>
      </c>
      <c r="H32" s="12">
        <f>$G32*(1-$E$4)</f>
        <v>1800000</v>
      </c>
      <c r="I32" s="11">
        <f>G32/$E$5</f>
        <v>1598.9960416671549</v>
      </c>
      <c r="J32" s="12"/>
      <c r="K32" s="12"/>
      <c r="L32" s="12"/>
      <c r="M32" s="13"/>
      <c r="N32" s="13"/>
      <c r="O32">
        <f>'[3]Summary by Area (Jane)'!$R$67</f>
        <v>3000000</v>
      </c>
    </row>
    <row r="33" spans="1:27" x14ac:dyDescent="0.3">
      <c r="I33" s="32">
        <f>I32/I5</f>
        <v>3.0958297031309873E-4</v>
      </c>
    </row>
    <row r="34" spans="1:27" s="15" customFormat="1" x14ac:dyDescent="0.3">
      <c r="A34" s="18" t="s">
        <v>71</v>
      </c>
    </row>
    <row r="35" spans="1:27" s="15" customFormat="1" x14ac:dyDescent="0.3"/>
    <row r="36" spans="1:27" s="20" customFormat="1" x14ac:dyDescent="0.3">
      <c r="A36" s="19" t="s">
        <v>0</v>
      </c>
      <c r="B36" s="19" t="s">
        <v>1</v>
      </c>
      <c r="C36" s="19" t="s">
        <v>7</v>
      </c>
      <c r="D36" s="19" t="s">
        <v>9</v>
      </c>
      <c r="E36" s="19" t="s">
        <v>8</v>
      </c>
      <c r="F36" s="19" t="s">
        <v>2</v>
      </c>
      <c r="G36" s="19" t="s">
        <v>11</v>
      </c>
      <c r="H36" s="19" t="s">
        <v>3</v>
      </c>
      <c r="I36" s="19" t="s">
        <v>4</v>
      </c>
      <c r="J36" s="19" t="s">
        <v>20</v>
      </c>
      <c r="K36" s="19" t="s">
        <v>21</v>
      </c>
      <c r="L36" s="19" t="s">
        <v>22</v>
      </c>
      <c r="M36" s="19" t="s">
        <v>5</v>
      </c>
      <c r="N36" s="19" t="s">
        <v>52</v>
      </c>
      <c r="Q36" s="24" t="s">
        <v>67</v>
      </c>
      <c r="R36" s="24"/>
      <c r="S36" s="24"/>
      <c r="T36" s="24" t="s">
        <v>69</v>
      </c>
      <c r="U36" s="24"/>
      <c r="V36" s="24"/>
      <c r="W36" s="24">
        <f>'[3]Summary by Area (Jane)'!$R$85</f>
        <v>50000</v>
      </c>
      <c r="X36" s="24"/>
      <c r="Y36" s="24" t="s">
        <v>75</v>
      </c>
      <c r="Z36" s="24"/>
      <c r="AA36" s="24"/>
    </row>
    <row r="37" spans="1:27" s="15" customFormat="1" x14ac:dyDescent="0.3">
      <c r="A37" s="15">
        <v>2012</v>
      </c>
      <c r="B37" s="15" t="s">
        <v>72</v>
      </c>
      <c r="C37" s="15" t="s">
        <v>30</v>
      </c>
      <c r="D37" s="15" t="s">
        <v>73</v>
      </c>
      <c r="E37" s="9">
        <v>2.9</v>
      </c>
      <c r="F37" s="35">
        <v>2922480</v>
      </c>
      <c r="G37" s="12">
        <f>E37*F37</f>
        <v>8475192</v>
      </c>
      <c r="H37" s="12">
        <v>5093456</v>
      </c>
      <c r="I37" s="11">
        <f>H37/(E5*(1-E4))</f>
        <v>4524.6755457810114</v>
      </c>
      <c r="J37" s="12"/>
      <c r="K37" s="12"/>
      <c r="L37" s="12"/>
      <c r="Q37" s="24"/>
      <c r="R37" s="24"/>
      <c r="S37" s="24"/>
      <c r="T37" s="24" t="s">
        <v>70</v>
      </c>
      <c r="U37" s="24"/>
      <c r="V37" s="24"/>
      <c r="W37" s="24">
        <f>'[3]Summary by Area (Jane)'!$R$86</f>
        <v>2000000</v>
      </c>
      <c r="X37" s="24"/>
      <c r="Y37" s="24"/>
      <c r="Z37" s="24"/>
      <c r="AA37" s="24"/>
    </row>
    <row r="38" spans="1:27" s="15" customFormat="1" x14ac:dyDescent="0.3">
      <c r="A38" s="27">
        <v>2013</v>
      </c>
      <c r="B38" s="27" t="s">
        <v>80</v>
      </c>
      <c r="C38" s="27" t="s">
        <v>76</v>
      </c>
      <c r="D38" s="27" t="s">
        <v>82</v>
      </c>
      <c r="E38" s="36">
        <v>2.9</v>
      </c>
      <c r="F38" s="30">
        <v>50000</v>
      </c>
      <c r="G38" s="37">
        <f>E38*F38</f>
        <v>145000</v>
      </c>
      <c r="H38" s="27"/>
      <c r="I38" s="40">
        <f>G38/$E$5</f>
        <v>77.284808680579147</v>
      </c>
      <c r="J38" s="27"/>
      <c r="K38" s="27"/>
      <c r="L38" s="27"/>
      <c r="M38" s="27"/>
      <c r="N38" s="27"/>
      <c r="Q38"/>
      <c r="R38"/>
      <c r="S38"/>
      <c r="T38"/>
      <c r="U38"/>
      <c r="V38"/>
      <c r="W38"/>
    </row>
    <row r="39" spans="1:27" s="15" customFormat="1" x14ac:dyDescent="0.3">
      <c r="A39" s="27">
        <v>2013</v>
      </c>
      <c r="B39" s="27" t="s">
        <v>81</v>
      </c>
      <c r="C39" s="27" t="s">
        <v>76</v>
      </c>
      <c r="D39" s="27" t="s">
        <v>82</v>
      </c>
      <c r="E39" s="36">
        <v>2.9</v>
      </c>
      <c r="F39" s="30">
        <v>2000000</v>
      </c>
      <c r="G39" s="37">
        <f>E39*F39</f>
        <v>5800000</v>
      </c>
      <c r="H39" s="27"/>
      <c r="I39" s="40">
        <f>G39/$E$5</f>
        <v>3091.3923472231659</v>
      </c>
      <c r="J39" s="27"/>
      <c r="K39" s="27"/>
      <c r="L39" s="27"/>
      <c r="M39" s="27"/>
      <c r="N39" s="27"/>
    </row>
    <row r="40" spans="1:27" s="15" customFormat="1" x14ac:dyDescent="0.3">
      <c r="A40" s="23">
        <v>2012</v>
      </c>
      <c r="B40" s="19" t="s">
        <v>83</v>
      </c>
      <c r="C40" s="19"/>
      <c r="D40" s="19"/>
      <c r="E40" s="10">
        <f>G40/F40</f>
        <v>2.9</v>
      </c>
      <c r="F40" s="33">
        <f>SUM(F37)</f>
        <v>2922480</v>
      </c>
      <c r="G40" s="14">
        <f>SUM(G37)</f>
        <v>8475192</v>
      </c>
      <c r="H40" s="14">
        <f>SUM(H37)</f>
        <v>5093456</v>
      </c>
      <c r="I40" s="21">
        <f>SUM(I37)</f>
        <v>4524.6755457810114</v>
      </c>
      <c r="J40" s="22">
        <f>SUM(J32:J38)</f>
        <v>0</v>
      </c>
      <c r="K40" s="22">
        <f>SUM(K32:K38)</f>
        <v>0</v>
      </c>
      <c r="L40" s="22"/>
      <c r="M40" s="19"/>
    </row>
    <row r="41" spans="1:27" s="15" customFormat="1" x14ac:dyDescent="0.3">
      <c r="I41" s="32">
        <f>I40/I5</f>
        <v>8.7602624313281923E-4</v>
      </c>
    </row>
    <row r="42" spans="1:27" s="15" customFormat="1" x14ac:dyDescent="0.3"/>
    <row r="43" spans="1:27" s="15" customFormat="1" x14ac:dyDescent="0.3"/>
    <row r="44" spans="1:27" s="15" customFormat="1" x14ac:dyDescent="0.3"/>
    <row r="45" spans="1:27" x14ac:dyDescent="0.3">
      <c r="A45" s="18" t="s">
        <v>55</v>
      </c>
    </row>
    <row r="46" spans="1:27" ht="15" x14ac:dyDescent="0.35">
      <c r="B46" s="38" t="s">
        <v>84</v>
      </c>
      <c r="D46" t="s">
        <v>63</v>
      </c>
      <c r="E46" s="39" t="s">
        <v>64</v>
      </c>
    </row>
  </sheetData>
  <mergeCells count="4">
    <mergeCell ref="A1:M1"/>
    <mergeCell ref="K3:N3"/>
    <mergeCell ref="O3:P3"/>
    <mergeCell ref="R3:T3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tabSelected="1" zoomScale="90" zoomScaleNormal="90" workbookViewId="0">
      <selection activeCell="P13" sqref="P13"/>
    </sheetView>
  </sheetViews>
  <sheetFormatPr defaultRowHeight="14.4" x14ac:dyDescent="0.3"/>
  <cols>
    <col min="1" max="1" width="6" style="15" bestFit="1" customWidth="1"/>
    <col min="2" max="2" width="23.33203125" style="15" bestFit="1" customWidth="1"/>
    <col min="3" max="3" width="8" style="15" bestFit="1" customWidth="1"/>
    <col min="4" max="4" width="34.109375" style="15" customWidth="1"/>
    <col min="5" max="5" width="6.6640625" style="15" customWidth="1"/>
    <col min="6" max="6" width="14.88671875" style="15" bestFit="1" customWidth="1"/>
    <col min="7" max="7" width="17.33203125" style="15" customWidth="1"/>
    <col min="8" max="8" width="15.88671875" style="15" customWidth="1"/>
    <col min="9" max="9" width="17.88671875" style="15" customWidth="1"/>
    <col min="10" max="10" width="13.6640625" style="15" customWidth="1"/>
    <col min="11" max="11" width="14.109375" style="15" customWidth="1"/>
    <col min="12" max="12" width="12.33203125" style="15" customWidth="1"/>
    <col min="13" max="13" width="13.5546875" style="15" customWidth="1"/>
    <col min="14" max="14" width="11.33203125" style="15" customWidth="1"/>
    <col min="15" max="15" width="16.44140625" style="15" customWidth="1"/>
    <col min="16" max="16" width="13.44140625" style="15" customWidth="1"/>
    <col min="17" max="17" width="17.109375" style="15" customWidth="1"/>
    <col min="18" max="18" width="16.5546875" style="15" customWidth="1"/>
    <col min="19" max="19" width="15" style="15" customWidth="1"/>
    <col min="20" max="16384" width="8.88671875" style="15"/>
  </cols>
  <sheetData>
    <row r="1" spans="1:28" ht="15" x14ac:dyDescent="0.25">
      <c r="A1" s="108" t="s">
        <v>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3" spans="1:28" ht="48" customHeight="1" x14ac:dyDescent="0.3">
      <c r="C3" s="3" t="s">
        <v>26</v>
      </c>
      <c r="D3" s="3"/>
      <c r="E3" s="3"/>
      <c r="K3" s="109" t="s">
        <v>85</v>
      </c>
      <c r="L3" s="109"/>
      <c r="M3" s="109"/>
      <c r="N3" s="109"/>
      <c r="O3" s="109" t="s">
        <v>90</v>
      </c>
      <c r="P3" s="109"/>
      <c r="Q3" s="42" t="s">
        <v>94</v>
      </c>
      <c r="R3" s="110" t="s">
        <v>171</v>
      </c>
      <c r="S3" s="110"/>
      <c r="T3" s="110"/>
    </row>
    <row r="4" spans="1:28" ht="76.2" customHeight="1" x14ac:dyDescent="0.3">
      <c r="C4" s="3"/>
      <c r="D4" s="3" t="s">
        <v>23</v>
      </c>
      <c r="E4" s="3">
        <v>0.4</v>
      </c>
      <c r="I4" s="17" t="s">
        <v>56</v>
      </c>
      <c r="K4" s="41" t="s">
        <v>86</v>
      </c>
      <c r="L4" s="41" t="s">
        <v>87</v>
      </c>
      <c r="M4" s="106" t="s">
        <v>88</v>
      </c>
      <c r="N4" s="107" t="s">
        <v>89</v>
      </c>
      <c r="O4" s="106" t="s">
        <v>91</v>
      </c>
      <c r="P4" s="42" t="s">
        <v>92</v>
      </c>
      <c r="Q4" s="42" t="s">
        <v>95</v>
      </c>
      <c r="R4" s="102" t="s">
        <v>169</v>
      </c>
      <c r="S4" s="102" t="s">
        <v>170</v>
      </c>
      <c r="T4" s="102" t="s">
        <v>168</v>
      </c>
    </row>
    <row r="5" spans="1:28" ht="15" customHeight="1" x14ac:dyDescent="0.35">
      <c r="C5" s="3">
        <v>2012</v>
      </c>
      <c r="D5" s="3" t="s">
        <v>31</v>
      </c>
      <c r="E5" s="4">
        <f>'[1] Summary'!$D$46</f>
        <v>1876.1772523665049</v>
      </c>
      <c r="I5" s="16">
        <v>5165000</v>
      </c>
      <c r="K5" s="47">
        <f>SUM(F19,F27,F32,F40)</f>
        <v>22434506</v>
      </c>
      <c r="L5" s="48">
        <f>SUM(I19,I27,I32,I40)</f>
        <v>72885.474617340893</v>
      </c>
      <c r="M5" s="44">
        <f>L5/I5</f>
        <v>1.4111418125332216E-2</v>
      </c>
      <c r="N5" s="43">
        <f>K5/L5</f>
        <v>307.80489689865294</v>
      </c>
      <c r="O5" s="45">
        <v>0.1</v>
      </c>
      <c r="P5" s="46">
        <f>O5*I5</f>
        <v>516500</v>
      </c>
      <c r="Q5" s="50" t="s">
        <v>96</v>
      </c>
      <c r="R5" s="103">
        <v>11.53</v>
      </c>
      <c r="S5" s="104">
        <f>L5*R5</f>
        <v>840369.52233794041</v>
      </c>
      <c r="T5" s="43">
        <f>K5/S5</f>
        <v>26.696001465624718</v>
      </c>
    </row>
    <row r="6" spans="1:28" s="5" customFormat="1" x14ac:dyDescent="0.3">
      <c r="C6" s="3">
        <v>2009</v>
      </c>
      <c r="D6" s="3" t="s">
        <v>32</v>
      </c>
      <c r="E6" s="4">
        <f>[2]Januvia!$C$7</f>
        <v>811.15607570544375</v>
      </c>
      <c r="K6" s="49" t="s">
        <v>93</v>
      </c>
    </row>
    <row r="7" spans="1:28" s="5" customFormat="1" x14ac:dyDescent="0.3">
      <c r="C7" s="6"/>
      <c r="D7" s="6"/>
      <c r="E7" s="7"/>
    </row>
    <row r="8" spans="1:28" s="5" customFormat="1" x14ac:dyDescent="0.3">
      <c r="A8" s="26" t="s">
        <v>27</v>
      </c>
      <c r="C8" s="6"/>
      <c r="D8" s="6"/>
      <c r="E8" s="7"/>
      <c r="J8" s="5">
        <f>J11/F11</f>
        <v>0.5913253012048193</v>
      </c>
      <c r="K8" s="5">
        <f>K11/F11</f>
        <v>1.3069879518072289</v>
      </c>
    </row>
    <row r="10" spans="1:28" s="20" customFormat="1" x14ac:dyDescent="0.3">
      <c r="A10" s="19" t="s">
        <v>0</v>
      </c>
      <c r="B10" s="19" t="s">
        <v>1</v>
      </c>
      <c r="C10" s="19" t="s">
        <v>7</v>
      </c>
      <c r="D10" s="19" t="s">
        <v>9</v>
      </c>
      <c r="E10" s="19" t="s">
        <v>8</v>
      </c>
      <c r="F10" s="19" t="s">
        <v>2</v>
      </c>
      <c r="G10" s="19" t="s">
        <v>11</v>
      </c>
      <c r="H10" s="19" t="s">
        <v>3</v>
      </c>
      <c r="I10" s="19" t="s">
        <v>4</v>
      </c>
      <c r="J10" s="19" t="s">
        <v>20</v>
      </c>
      <c r="K10" s="19" t="s">
        <v>21</v>
      </c>
      <c r="L10" s="19" t="s">
        <v>22</v>
      </c>
      <c r="M10" s="19" t="s">
        <v>5</v>
      </c>
      <c r="N10" s="19" t="s">
        <v>52</v>
      </c>
      <c r="O10" s="19" t="s">
        <v>65</v>
      </c>
    </row>
    <row r="11" spans="1:28" ht="43.2" x14ac:dyDescent="0.3">
      <c r="A11" s="15">
        <v>2012</v>
      </c>
      <c r="B11" s="15" t="s">
        <v>18</v>
      </c>
      <c r="C11" s="15" t="s">
        <v>10</v>
      </c>
      <c r="D11" s="15" t="s">
        <v>19</v>
      </c>
      <c r="E11" s="18">
        <v>9.4</v>
      </c>
      <c r="F11" s="12">
        <v>8300000</v>
      </c>
      <c r="G11" s="12">
        <f>E11*F11</f>
        <v>78020000</v>
      </c>
      <c r="H11" s="12">
        <f t="shared" ref="H11:H19" si="0">$G11*(1-$E$4)</f>
        <v>46812000</v>
      </c>
      <c r="I11" s="11">
        <f t="shared" ref="I11:I18" si="1">$G11/$E$5</f>
        <v>41584.557056957143</v>
      </c>
      <c r="J11" s="12">
        <f>'Desktop Paid Search'!E4*1000</f>
        <v>4908000</v>
      </c>
      <c r="K11" s="12">
        <f>'Desktop Paid Search'!E14*1000</f>
        <v>10848000</v>
      </c>
      <c r="L11" s="12"/>
      <c r="M11" s="15" t="s">
        <v>6</v>
      </c>
      <c r="N11" s="25" t="s">
        <v>53</v>
      </c>
      <c r="O11" s="12">
        <f>'[3]Summary by Area (Jane)'!$R$66</f>
        <v>8454000</v>
      </c>
      <c r="Q11" s="24" t="s">
        <v>67</v>
      </c>
      <c r="R11" s="24"/>
      <c r="S11" s="24"/>
      <c r="T11" s="24" t="s">
        <v>68</v>
      </c>
      <c r="U11" s="24"/>
      <c r="V11" s="24"/>
      <c r="W11" s="24">
        <f>'[3]Summary by Area (Jane)'!$R$65</f>
        <v>500000</v>
      </c>
      <c r="X11" s="24"/>
      <c r="Y11" s="24" t="s">
        <v>74</v>
      </c>
      <c r="Z11" s="24"/>
      <c r="AA11" s="24"/>
      <c r="AB11" s="24"/>
    </row>
    <row r="12" spans="1:28" x14ac:dyDescent="0.3">
      <c r="A12" s="15">
        <v>2012</v>
      </c>
      <c r="B12" s="15" t="s">
        <v>12</v>
      </c>
      <c r="C12" s="15" t="s">
        <v>10</v>
      </c>
      <c r="D12" s="15" t="s">
        <v>19</v>
      </c>
      <c r="E12" s="18">
        <v>6</v>
      </c>
      <c r="F12" s="12">
        <v>900000</v>
      </c>
      <c r="G12" s="12">
        <f t="shared" ref="G12:G17" si="2">E12*F12</f>
        <v>5400000</v>
      </c>
      <c r="H12" s="12">
        <f t="shared" si="0"/>
        <v>3240000</v>
      </c>
      <c r="I12" s="11">
        <f t="shared" si="1"/>
        <v>2878.1928750008788</v>
      </c>
      <c r="J12" s="12">
        <f>$J$8*F12</f>
        <v>532192.77108433738</v>
      </c>
      <c r="K12" s="12">
        <f>$K$8*F12</f>
        <v>1176289.156626506</v>
      </c>
      <c r="L12" s="12"/>
      <c r="M12" s="15" t="s">
        <v>6</v>
      </c>
      <c r="O12" s="15" t="s">
        <v>66</v>
      </c>
    </row>
    <row r="13" spans="1:28" x14ac:dyDescent="0.3">
      <c r="A13" s="15">
        <v>2012</v>
      </c>
      <c r="B13" s="15" t="s">
        <v>13</v>
      </c>
      <c r="C13" s="15" t="s">
        <v>10</v>
      </c>
      <c r="D13" s="15" t="s">
        <v>19</v>
      </c>
      <c r="E13" s="18">
        <v>10.1</v>
      </c>
      <c r="F13" s="12">
        <v>400000</v>
      </c>
      <c r="G13" s="12">
        <f t="shared" si="2"/>
        <v>4040000</v>
      </c>
      <c r="H13" s="12">
        <f t="shared" si="0"/>
        <v>2424000</v>
      </c>
      <c r="I13" s="11">
        <f t="shared" si="1"/>
        <v>2153.314669445102</v>
      </c>
      <c r="J13" s="12">
        <f t="shared" ref="J13:J18" si="3">$J$8*F13</f>
        <v>236530.12048192773</v>
      </c>
      <c r="K13" s="12">
        <f t="shared" ref="K13:K18" si="4">$K$8*F13</f>
        <v>522795.18072289159</v>
      </c>
      <c r="L13" s="12"/>
      <c r="M13" s="15" t="s">
        <v>6</v>
      </c>
      <c r="O13" s="12">
        <f>'[3]Summary by Area (Jane)'!$R$64</f>
        <v>700000</v>
      </c>
    </row>
    <row r="14" spans="1:28" x14ac:dyDescent="0.3">
      <c r="A14" s="15">
        <v>2012</v>
      </c>
      <c r="B14" s="15" t="s">
        <v>14</v>
      </c>
      <c r="C14" s="15" t="s">
        <v>10</v>
      </c>
      <c r="D14" s="15" t="s">
        <v>19</v>
      </c>
      <c r="E14" s="18">
        <v>3.6</v>
      </c>
      <c r="F14" s="12">
        <v>1500000</v>
      </c>
      <c r="G14" s="12">
        <f t="shared" si="2"/>
        <v>5400000</v>
      </c>
      <c r="H14" s="12">
        <f t="shared" si="0"/>
        <v>3240000</v>
      </c>
      <c r="I14" s="11">
        <f t="shared" si="1"/>
        <v>2878.1928750008788</v>
      </c>
      <c r="J14" s="12">
        <f t="shared" si="3"/>
        <v>886987.95180722896</v>
      </c>
      <c r="K14" s="12">
        <f t="shared" si="4"/>
        <v>1960481.9277108435</v>
      </c>
      <c r="L14" s="12"/>
      <c r="M14" s="15" t="s">
        <v>6</v>
      </c>
      <c r="O14" s="12">
        <f>'[3]Summary by Area (Jane)'!$R$63</f>
        <v>2850000</v>
      </c>
    </row>
    <row r="15" spans="1:28" x14ac:dyDescent="0.3">
      <c r="A15" s="15">
        <v>2012</v>
      </c>
      <c r="B15" s="15" t="s">
        <v>15</v>
      </c>
      <c r="C15" s="15" t="s">
        <v>10</v>
      </c>
      <c r="D15" s="15" t="s">
        <v>19</v>
      </c>
      <c r="E15" s="18">
        <v>3.1</v>
      </c>
      <c r="F15" s="12">
        <v>500000</v>
      </c>
      <c r="G15" s="12">
        <f t="shared" si="2"/>
        <v>1550000</v>
      </c>
      <c r="H15" s="12">
        <f t="shared" si="0"/>
        <v>930000</v>
      </c>
      <c r="I15" s="11">
        <f t="shared" si="1"/>
        <v>826.14795486136336</v>
      </c>
      <c r="J15" s="12">
        <f t="shared" si="3"/>
        <v>295662.65060240967</v>
      </c>
      <c r="K15" s="12">
        <f t="shared" si="4"/>
        <v>653493.97590361442</v>
      </c>
      <c r="L15" s="12"/>
      <c r="M15" s="15" t="s">
        <v>6</v>
      </c>
    </row>
    <row r="16" spans="1:28" x14ac:dyDescent="0.3">
      <c r="A16" s="15">
        <v>2012</v>
      </c>
      <c r="B16" s="15" t="s">
        <v>16</v>
      </c>
      <c r="C16" s="15" t="s">
        <v>10</v>
      </c>
      <c r="D16" s="15" t="s">
        <v>19</v>
      </c>
      <c r="E16" s="18">
        <v>3.9</v>
      </c>
      <c r="F16" s="12">
        <v>600000</v>
      </c>
      <c r="G16" s="12">
        <f t="shared" si="2"/>
        <v>2340000</v>
      </c>
      <c r="H16" s="12">
        <f t="shared" si="0"/>
        <v>1404000</v>
      </c>
      <c r="I16" s="11">
        <f t="shared" si="1"/>
        <v>1247.2169125003807</v>
      </c>
      <c r="J16" s="12">
        <f t="shared" si="3"/>
        <v>354795.18072289159</v>
      </c>
      <c r="K16" s="12">
        <f t="shared" si="4"/>
        <v>784192.77108433738</v>
      </c>
      <c r="L16" s="12"/>
      <c r="M16" s="15" t="s">
        <v>6</v>
      </c>
    </row>
    <row r="17" spans="1:15" x14ac:dyDescent="0.3">
      <c r="A17" s="15">
        <v>2012</v>
      </c>
      <c r="B17" s="15" t="s">
        <v>17</v>
      </c>
      <c r="C17" s="15" t="s">
        <v>10</v>
      </c>
      <c r="D17" s="15" t="s">
        <v>19</v>
      </c>
      <c r="E17" s="18">
        <v>9.5</v>
      </c>
      <c r="F17" s="12">
        <v>400000</v>
      </c>
      <c r="G17" s="12">
        <f t="shared" si="2"/>
        <v>3800000</v>
      </c>
      <c r="H17" s="12">
        <f t="shared" si="0"/>
        <v>2280000</v>
      </c>
      <c r="I17" s="11">
        <f t="shared" si="1"/>
        <v>2025.3949861117294</v>
      </c>
      <c r="J17" s="12">
        <f t="shared" si="3"/>
        <v>236530.12048192773</v>
      </c>
      <c r="K17" s="12">
        <f t="shared" si="4"/>
        <v>522795.18072289159</v>
      </c>
      <c r="L17" s="12"/>
      <c r="M17" s="15" t="s">
        <v>6</v>
      </c>
      <c r="O17" s="12">
        <f>'[3]Summary by Area (Jane)'!$R$68</f>
        <v>500000</v>
      </c>
    </row>
    <row r="18" spans="1:15" ht="28.8" x14ac:dyDescent="0.3">
      <c r="A18" s="27">
        <v>2013</v>
      </c>
      <c r="B18" s="28" t="s">
        <v>77</v>
      </c>
      <c r="C18" s="27" t="s">
        <v>76</v>
      </c>
      <c r="D18" s="27" t="s">
        <v>78</v>
      </c>
      <c r="E18" s="29">
        <v>3.4</v>
      </c>
      <c r="F18" s="30">
        <v>500000</v>
      </c>
      <c r="G18" s="30">
        <f>F18*E18</f>
        <v>1700000</v>
      </c>
      <c r="H18" s="30"/>
      <c r="I18" s="31">
        <f t="shared" si="1"/>
        <v>906.09775694472103</v>
      </c>
      <c r="J18" s="30">
        <f t="shared" si="3"/>
        <v>295662.65060240967</v>
      </c>
      <c r="K18" s="30">
        <f t="shared" si="4"/>
        <v>653493.97590361442</v>
      </c>
      <c r="L18" s="30"/>
      <c r="M18" s="27"/>
      <c r="N18" s="27"/>
    </row>
    <row r="19" spans="1:15" s="20" customFormat="1" x14ac:dyDescent="0.3">
      <c r="A19" s="19">
        <v>2012</v>
      </c>
      <c r="B19" s="19" t="s">
        <v>24</v>
      </c>
      <c r="C19" s="19" t="s">
        <v>10</v>
      </c>
      <c r="D19" s="19" t="s">
        <v>19</v>
      </c>
      <c r="E19" s="10">
        <f>G19/F19</f>
        <v>7.9801587301587302</v>
      </c>
      <c r="F19" s="33">
        <f>SUM(F11:F17)</f>
        <v>12600000</v>
      </c>
      <c r="G19" s="14">
        <f>SUM(G11:G17)</f>
        <v>100550000</v>
      </c>
      <c r="H19" s="14">
        <f t="shared" si="0"/>
        <v>60330000</v>
      </c>
      <c r="I19" s="21">
        <f>SUM(I11:I17)</f>
        <v>53593.017329877475</v>
      </c>
      <c r="J19" s="22">
        <f>SUM(J11:J18)</f>
        <v>7746361.4457831327</v>
      </c>
      <c r="K19" s="22">
        <f>SUM(K11:K18)</f>
        <v>17121542.1686747</v>
      </c>
      <c r="L19" s="22"/>
      <c r="M19" s="19"/>
      <c r="N19" s="19"/>
    </row>
    <row r="20" spans="1:15" x14ac:dyDescent="0.3">
      <c r="G20" s="8"/>
      <c r="H20" s="8"/>
      <c r="I20" s="32">
        <f>I19/I5</f>
        <v>1.0376189221660692E-2</v>
      </c>
    </row>
    <row r="21" spans="1:15" x14ac:dyDescent="0.3">
      <c r="A21" s="18" t="s">
        <v>28</v>
      </c>
    </row>
    <row r="23" spans="1:15" s="20" customFormat="1" x14ac:dyDescent="0.3">
      <c r="A23" s="19" t="s">
        <v>0</v>
      </c>
      <c r="B23" s="19" t="s">
        <v>1</v>
      </c>
      <c r="C23" s="19" t="s">
        <v>7</v>
      </c>
      <c r="D23" s="19" t="s">
        <v>9</v>
      </c>
      <c r="E23" s="19" t="s">
        <v>8</v>
      </c>
      <c r="F23" s="19" t="s">
        <v>2</v>
      </c>
      <c r="G23" s="19" t="s">
        <v>11</v>
      </c>
      <c r="H23" s="19" t="s">
        <v>3</v>
      </c>
      <c r="I23" s="19" t="s">
        <v>4</v>
      </c>
      <c r="J23" s="19" t="s">
        <v>20</v>
      </c>
      <c r="K23" s="19" t="s">
        <v>21</v>
      </c>
      <c r="L23" s="19" t="s">
        <v>22</v>
      </c>
      <c r="M23" s="19" t="s">
        <v>5</v>
      </c>
      <c r="N23" s="19" t="s">
        <v>52</v>
      </c>
    </row>
    <row r="24" spans="1:15" x14ac:dyDescent="0.3">
      <c r="A24" s="15">
        <v>2009</v>
      </c>
      <c r="B24" s="15" t="s">
        <v>29</v>
      </c>
      <c r="C24" s="15" t="s">
        <v>30</v>
      </c>
      <c r="D24" s="15" t="s">
        <v>60</v>
      </c>
      <c r="E24" s="9">
        <f>H24/(F24*(1-E4))</f>
        <v>3.5453575063149687</v>
      </c>
      <c r="F24" s="12">
        <f>[2]Januvia!$C$13/(1-0.4)</f>
        <v>3037026</v>
      </c>
      <c r="G24" s="12">
        <f>H24/(1-$E$4)</f>
        <v>10767342.925973725</v>
      </c>
      <c r="H24" s="12">
        <f>[2]Januvia!$C$10</f>
        <v>6460405.7555842344</v>
      </c>
      <c r="I24" s="11">
        <f>H24/$E$6</f>
        <v>7964.4422930146557</v>
      </c>
      <c r="J24" s="12"/>
      <c r="K24" s="12"/>
      <c r="L24" s="12"/>
      <c r="O24" s="15">
        <f>'[3]Summary by Area (Jane)'!$R$96</f>
        <v>4900000</v>
      </c>
    </row>
    <row r="25" spans="1:15" x14ac:dyDescent="0.3">
      <c r="A25" s="15">
        <v>2012</v>
      </c>
      <c r="B25" s="15" t="s">
        <v>33</v>
      </c>
      <c r="C25" s="15" t="s">
        <v>30</v>
      </c>
      <c r="E25" s="9">
        <f>[4]benchmarks!$F$10</f>
        <v>6.3372357750108588</v>
      </c>
      <c r="F25" s="12">
        <f>'[4]Merck calculated ROI'!$D$11</f>
        <v>875000</v>
      </c>
      <c r="G25" s="12">
        <f>'[4]Merck calculated ROI'!$D$18</f>
        <v>5584404.0681238547</v>
      </c>
      <c r="H25" s="12">
        <f>'[4]Merck calculated ROI'!$D$9</f>
        <v>3327048.781880701</v>
      </c>
      <c r="I25" s="11">
        <f>G25/E5</f>
        <v>2976.48</v>
      </c>
      <c r="J25" s="12"/>
      <c r="K25" s="12"/>
      <c r="L25" s="12"/>
      <c r="O25" s="15" t="s">
        <v>66</v>
      </c>
    </row>
    <row r="26" spans="1:15" ht="57.6" x14ac:dyDescent="0.3">
      <c r="A26" s="15">
        <v>2012</v>
      </c>
      <c r="B26" s="15" t="s">
        <v>59</v>
      </c>
      <c r="C26" s="15" t="s">
        <v>76</v>
      </c>
      <c r="D26" s="25" t="s">
        <v>79</v>
      </c>
      <c r="E26" s="9">
        <f>(SUM(G24:G25)/SUM(F24:F25))</f>
        <v>4.1798666455942728</v>
      </c>
      <c r="F26" s="12">
        <v>1000000</v>
      </c>
      <c r="G26" s="12">
        <f>F26*E26</f>
        <v>4179866.6455942728</v>
      </c>
      <c r="H26" s="12"/>
      <c r="I26" s="11">
        <f>G26/$E$5</f>
        <v>2227.8634070006033</v>
      </c>
      <c r="J26" s="12"/>
      <c r="K26" s="12"/>
      <c r="L26" s="12"/>
      <c r="O26" s="15" t="s">
        <v>66</v>
      </c>
    </row>
    <row r="27" spans="1:15" s="20" customFormat="1" ht="28.8" x14ac:dyDescent="0.3">
      <c r="A27" s="23" t="s">
        <v>57</v>
      </c>
      <c r="B27" s="19" t="s">
        <v>58</v>
      </c>
      <c r="C27" s="19"/>
      <c r="D27" s="19"/>
      <c r="E27" s="10">
        <f>G27/F27</f>
        <v>4.1798666455942728</v>
      </c>
      <c r="F27" s="33">
        <f>SUM(F24:F25)</f>
        <v>3912026</v>
      </c>
      <c r="G27" s="14">
        <f>SUM(G24:G25)</f>
        <v>16351746.994097579</v>
      </c>
      <c r="H27" s="14">
        <f>SUM(H24:H25)</f>
        <v>9787454.5374649353</v>
      </c>
      <c r="I27" s="21">
        <f>SUM(I24:I26)</f>
        <v>13168.785700015258</v>
      </c>
      <c r="J27" s="22">
        <f>SUM(J19:J25)</f>
        <v>7746361.4457831327</v>
      </c>
      <c r="K27" s="22">
        <f>SUM(K19:K25)</f>
        <v>17121542.1686747</v>
      </c>
      <c r="L27" s="22"/>
      <c r="M27" s="19"/>
      <c r="N27" s="19"/>
    </row>
    <row r="28" spans="1:15" x14ac:dyDescent="0.3">
      <c r="I28" s="32">
        <f>I27/I5</f>
        <v>2.5496196902256066E-3</v>
      </c>
    </row>
    <row r="29" spans="1:15" x14ac:dyDescent="0.3">
      <c r="A29" s="18" t="s">
        <v>54</v>
      </c>
    </row>
    <row r="31" spans="1:15" s="20" customFormat="1" x14ac:dyDescent="0.3">
      <c r="A31" s="19" t="s">
        <v>0</v>
      </c>
      <c r="B31" s="19" t="s">
        <v>1</v>
      </c>
      <c r="C31" s="19" t="s">
        <v>7</v>
      </c>
      <c r="D31" s="19" t="s">
        <v>9</v>
      </c>
      <c r="E31" s="19" t="s">
        <v>8</v>
      </c>
      <c r="F31" s="19" t="s">
        <v>2</v>
      </c>
      <c r="G31" s="19" t="s">
        <v>11</v>
      </c>
      <c r="H31" s="19" t="s">
        <v>3</v>
      </c>
      <c r="I31" s="19" t="s">
        <v>4</v>
      </c>
      <c r="J31" s="19" t="s">
        <v>20</v>
      </c>
      <c r="K31" s="19" t="s">
        <v>21</v>
      </c>
      <c r="L31" s="19" t="s">
        <v>22</v>
      </c>
      <c r="M31" s="19" t="s">
        <v>5</v>
      </c>
      <c r="N31" s="19" t="s">
        <v>52</v>
      </c>
    </row>
    <row r="32" spans="1:15" x14ac:dyDescent="0.3">
      <c r="A32" s="15">
        <v>2013</v>
      </c>
      <c r="B32" s="15" t="s">
        <v>54</v>
      </c>
      <c r="C32" s="15" t="s">
        <v>61</v>
      </c>
      <c r="D32" s="15" t="s">
        <v>62</v>
      </c>
      <c r="E32" s="9">
        <v>1</v>
      </c>
      <c r="F32" s="34">
        <v>3000000</v>
      </c>
      <c r="G32" s="12">
        <f>F32*E32</f>
        <v>3000000</v>
      </c>
      <c r="H32" s="12">
        <f>$G32*(1-$E$4)</f>
        <v>1800000</v>
      </c>
      <c r="I32" s="11">
        <f>G32/$E$5</f>
        <v>1598.9960416671549</v>
      </c>
      <c r="J32" s="12"/>
      <c r="K32" s="12"/>
      <c r="L32" s="12"/>
      <c r="O32" s="15">
        <f>'[3]Summary by Area (Jane)'!$R$67</f>
        <v>3000000</v>
      </c>
    </row>
    <row r="33" spans="1:27" x14ac:dyDescent="0.3">
      <c r="I33" s="32">
        <f>I32/I5</f>
        <v>3.0958297031309873E-4</v>
      </c>
    </row>
    <row r="34" spans="1:27" x14ac:dyDescent="0.3">
      <c r="A34" s="18" t="s">
        <v>71</v>
      </c>
    </row>
    <row r="36" spans="1:27" s="20" customFormat="1" x14ac:dyDescent="0.3">
      <c r="A36" s="19" t="s">
        <v>0</v>
      </c>
      <c r="B36" s="19" t="s">
        <v>1</v>
      </c>
      <c r="C36" s="19" t="s">
        <v>7</v>
      </c>
      <c r="D36" s="19" t="s">
        <v>9</v>
      </c>
      <c r="E36" s="19" t="s">
        <v>8</v>
      </c>
      <c r="F36" s="19" t="s">
        <v>2</v>
      </c>
      <c r="G36" s="19" t="s">
        <v>11</v>
      </c>
      <c r="H36" s="19" t="s">
        <v>3</v>
      </c>
      <c r="I36" s="19" t="s">
        <v>4</v>
      </c>
      <c r="J36" s="19" t="s">
        <v>20</v>
      </c>
      <c r="K36" s="19" t="s">
        <v>21</v>
      </c>
      <c r="L36" s="19" t="s">
        <v>22</v>
      </c>
      <c r="M36" s="19" t="s">
        <v>5</v>
      </c>
      <c r="N36" s="19" t="s">
        <v>52</v>
      </c>
      <c r="Q36" s="24" t="s">
        <v>67</v>
      </c>
      <c r="R36" s="24"/>
      <c r="S36" s="24"/>
      <c r="T36" s="24" t="s">
        <v>69</v>
      </c>
      <c r="U36" s="24"/>
      <c r="V36" s="24"/>
      <c r="W36" s="24">
        <f>'[3]Summary by Area (Jane)'!$R$85</f>
        <v>50000</v>
      </c>
      <c r="X36" s="24"/>
      <c r="Y36" s="24" t="s">
        <v>75</v>
      </c>
      <c r="Z36" s="24"/>
      <c r="AA36" s="24"/>
    </row>
    <row r="37" spans="1:27" x14ac:dyDescent="0.3">
      <c r="A37" s="15">
        <v>2012</v>
      </c>
      <c r="B37" s="15" t="s">
        <v>72</v>
      </c>
      <c r="C37" s="15" t="s">
        <v>30</v>
      </c>
      <c r="D37" s="15" t="s">
        <v>73</v>
      </c>
      <c r="E37" s="9">
        <v>2.9</v>
      </c>
      <c r="F37" s="35">
        <v>2922480</v>
      </c>
      <c r="G37" s="12">
        <f>E37*F37</f>
        <v>8475192</v>
      </c>
      <c r="H37" s="12">
        <v>5093456</v>
      </c>
      <c r="I37" s="11">
        <f>H37/(E5*(1-E4))</f>
        <v>4524.6755457810114</v>
      </c>
      <c r="J37" s="12"/>
      <c r="K37" s="12"/>
      <c r="L37" s="12"/>
      <c r="Q37" s="24"/>
      <c r="R37" s="24"/>
      <c r="S37" s="24"/>
      <c r="T37" s="24" t="s">
        <v>70</v>
      </c>
      <c r="U37" s="24"/>
      <c r="V37" s="24"/>
      <c r="W37" s="24">
        <f>'[3]Summary by Area (Jane)'!$R$86</f>
        <v>2000000</v>
      </c>
      <c r="X37" s="24"/>
      <c r="Y37" s="24"/>
      <c r="Z37" s="24"/>
      <c r="AA37" s="24"/>
    </row>
    <row r="38" spans="1:27" x14ac:dyDescent="0.3">
      <c r="A38" s="27">
        <v>2013</v>
      </c>
      <c r="B38" s="27" t="s">
        <v>80</v>
      </c>
      <c r="C38" s="27" t="s">
        <v>76</v>
      </c>
      <c r="D38" s="27" t="s">
        <v>82</v>
      </c>
      <c r="E38" s="36">
        <v>2.9</v>
      </c>
      <c r="F38" s="30">
        <v>50000</v>
      </c>
      <c r="G38" s="37">
        <f>E38*F38</f>
        <v>145000</v>
      </c>
      <c r="H38" s="27"/>
      <c r="I38" s="40">
        <f>G38/$E$5</f>
        <v>77.284808680579147</v>
      </c>
      <c r="J38" s="27"/>
      <c r="K38" s="27"/>
      <c r="L38" s="27"/>
      <c r="M38" s="27"/>
      <c r="N38" s="27"/>
    </row>
    <row r="39" spans="1:27" x14ac:dyDescent="0.3">
      <c r="A39" s="27">
        <v>2013</v>
      </c>
      <c r="B39" s="27" t="s">
        <v>81</v>
      </c>
      <c r="C39" s="27" t="s">
        <v>76</v>
      </c>
      <c r="D39" s="27" t="s">
        <v>82</v>
      </c>
      <c r="E39" s="36">
        <v>2.9</v>
      </c>
      <c r="F39" s="30">
        <v>2000000</v>
      </c>
      <c r="G39" s="37">
        <f>E39*F39</f>
        <v>5800000</v>
      </c>
      <c r="H39" s="27"/>
      <c r="I39" s="40">
        <f>G39/$E$5</f>
        <v>3091.3923472231659</v>
      </c>
      <c r="J39" s="27"/>
      <c r="K39" s="27"/>
      <c r="L39" s="27"/>
      <c r="M39" s="27"/>
      <c r="N39" s="27"/>
    </row>
    <row r="40" spans="1:27" x14ac:dyDescent="0.3">
      <c r="A40" s="23">
        <v>2012</v>
      </c>
      <c r="B40" s="19" t="s">
        <v>83</v>
      </c>
      <c r="C40" s="19"/>
      <c r="D40" s="19"/>
      <c r="E40" s="10">
        <f>G40/F40</f>
        <v>2.9</v>
      </c>
      <c r="F40" s="33">
        <f>SUM(F37)</f>
        <v>2922480</v>
      </c>
      <c r="G40" s="14">
        <f>SUM(G37)</f>
        <v>8475192</v>
      </c>
      <c r="H40" s="14">
        <f>SUM(H37)</f>
        <v>5093456</v>
      </c>
      <c r="I40" s="21">
        <f>SUM(I37)</f>
        <v>4524.6755457810114</v>
      </c>
      <c r="J40" s="22">
        <f>SUM(J32:J38)</f>
        <v>0</v>
      </c>
      <c r="K40" s="22">
        <f>SUM(K32:K38)</f>
        <v>0</v>
      </c>
      <c r="L40" s="22"/>
      <c r="M40" s="19"/>
    </row>
    <row r="41" spans="1:27" x14ac:dyDescent="0.3">
      <c r="I41" s="32">
        <f>I40/I5</f>
        <v>8.7602624313281923E-4</v>
      </c>
    </row>
    <row r="45" spans="1:27" x14ac:dyDescent="0.3">
      <c r="A45" s="18" t="s">
        <v>55</v>
      </c>
    </row>
    <row r="46" spans="1:27" ht="15" x14ac:dyDescent="0.35">
      <c r="B46" s="38" t="s">
        <v>84</v>
      </c>
      <c r="D46" s="15" t="s">
        <v>63</v>
      </c>
      <c r="E46" s="39" t="s">
        <v>64</v>
      </c>
    </row>
  </sheetData>
  <mergeCells count="4">
    <mergeCell ref="A1:M1"/>
    <mergeCell ref="K3:N3"/>
    <mergeCell ref="O3:P3"/>
    <mergeCell ref="R3:T3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S9" sqref="S9"/>
    </sheetView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48</v>
      </c>
    </row>
    <row r="3" spans="1:6" x14ac:dyDescent="0.25">
      <c r="A3" t="s">
        <v>34</v>
      </c>
      <c r="B3" t="s">
        <v>35</v>
      </c>
      <c r="C3" t="s">
        <v>8</v>
      </c>
      <c r="D3" t="s">
        <v>36</v>
      </c>
      <c r="E3" t="s">
        <v>49</v>
      </c>
    </row>
    <row r="4" spans="1:6" x14ac:dyDescent="0.25">
      <c r="A4" t="s">
        <v>43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50</v>
      </c>
    </row>
    <row r="5" spans="1:6" x14ac:dyDescent="0.25">
      <c r="A5" t="s">
        <v>44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42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45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46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41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40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38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37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39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47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51</v>
      </c>
    </row>
  </sheetData>
  <sortState ref="A4:D14">
    <sortCondition ref="B4:B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79998168889431442"/>
  </sheetPr>
  <dimension ref="A1:J42"/>
  <sheetViews>
    <sheetView workbookViewId="0">
      <selection activeCell="E12" sqref="E12"/>
    </sheetView>
  </sheetViews>
  <sheetFormatPr defaultRowHeight="13.8" x14ac:dyDescent="0.3"/>
  <cols>
    <col min="1" max="1" width="12.109375" style="52" customWidth="1"/>
    <col min="2" max="2" width="13.5546875" style="52" customWidth="1"/>
    <col min="3" max="3" width="12.5546875" style="52" customWidth="1"/>
    <col min="4" max="4" width="13.77734375" style="52" customWidth="1"/>
    <col min="5" max="6" width="12.44140625" style="52" customWidth="1"/>
    <col min="7" max="7" width="12" style="52" customWidth="1"/>
    <col min="8" max="8" width="10.33203125" style="52" customWidth="1"/>
    <col min="9" max="9" width="10.21875" style="52" customWidth="1"/>
    <col min="10" max="10" width="10.33203125" style="52" customWidth="1"/>
    <col min="11" max="16384" width="8.88671875" style="52"/>
  </cols>
  <sheetData>
    <row r="1" spans="1:10" ht="14.4" thickBot="1" x14ac:dyDescent="0.35">
      <c r="A1" s="51" t="s">
        <v>97</v>
      </c>
      <c r="B1" s="52" t="s">
        <v>98</v>
      </c>
    </row>
    <row r="2" spans="1:10" x14ac:dyDescent="0.3">
      <c r="A2" s="53" t="s">
        <v>99</v>
      </c>
      <c r="B2" s="54" t="s">
        <v>136</v>
      </c>
      <c r="C2" s="55" t="s">
        <v>100</v>
      </c>
      <c r="D2" s="56" t="s">
        <v>101</v>
      </c>
      <c r="F2" s="112" t="s">
        <v>102</v>
      </c>
      <c r="G2" s="113"/>
      <c r="H2" s="113"/>
      <c r="I2" s="113"/>
      <c r="J2" s="114"/>
    </row>
    <row r="3" spans="1:10" ht="14.4" thickBot="1" x14ac:dyDescent="0.35">
      <c r="A3" s="60" t="s">
        <v>103</v>
      </c>
      <c r="B3" s="61" t="s">
        <v>137</v>
      </c>
      <c r="C3" s="62" t="s">
        <v>104</v>
      </c>
      <c r="D3" s="63" t="s">
        <v>105</v>
      </c>
    </row>
    <row r="4" spans="1:10" ht="14.4" thickBot="1" x14ac:dyDescent="0.35">
      <c r="A4" s="64" t="s">
        <v>106</v>
      </c>
      <c r="B4" s="115" t="s">
        <v>107</v>
      </c>
      <c r="C4" s="115"/>
      <c r="D4" s="116"/>
    </row>
    <row r="6" spans="1:10" ht="14.4" thickBot="1" x14ac:dyDescent="0.35">
      <c r="B6" s="77">
        <v>0.6</v>
      </c>
      <c r="C6" s="77">
        <v>1.3</v>
      </c>
    </row>
    <row r="7" spans="1:10" ht="27.6" customHeight="1" x14ac:dyDescent="0.3">
      <c r="A7" s="117" t="s">
        <v>108</v>
      </c>
      <c r="B7" s="120" t="s">
        <v>109</v>
      </c>
      <c r="C7" s="121"/>
      <c r="D7" s="122" t="s">
        <v>110</v>
      </c>
      <c r="E7" s="123"/>
      <c r="F7" s="124" t="s">
        <v>111</v>
      </c>
      <c r="G7" s="125"/>
    </row>
    <row r="8" spans="1:10" ht="27.6" x14ac:dyDescent="0.3">
      <c r="A8" s="118"/>
      <c r="B8" s="65" t="s">
        <v>112</v>
      </c>
      <c r="C8" s="66" t="s">
        <v>113</v>
      </c>
      <c r="D8" s="67" t="s">
        <v>114</v>
      </c>
      <c r="E8" s="66" t="s">
        <v>115</v>
      </c>
      <c r="F8" s="68" t="s">
        <v>116</v>
      </c>
      <c r="G8" s="69" t="s">
        <v>117</v>
      </c>
    </row>
    <row r="9" spans="1:10" ht="14.4" thickBot="1" x14ac:dyDescent="0.35">
      <c r="A9" s="119"/>
      <c r="B9" s="78">
        <f>B6*B12</f>
        <v>13460703.6</v>
      </c>
      <c r="C9" s="78">
        <f>C6*B12</f>
        <v>29164857.800000001</v>
      </c>
      <c r="D9" s="81">
        <f>F9</f>
        <v>22434506</v>
      </c>
      <c r="E9" s="80">
        <f>($J$12/(1+EXP($H$12+$I$12*D9)))-1</f>
        <v>135699.10639071345</v>
      </c>
      <c r="F9" s="78">
        <f>B12</f>
        <v>22434506</v>
      </c>
      <c r="G9" s="79">
        <f>C12</f>
        <v>135699.3691208323</v>
      </c>
    </row>
    <row r="10" spans="1:10" ht="14.4" thickBot="1" x14ac:dyDescent="0.35"/>
    <row r="11" spans="1:10" x14ac:dyDescent="0.3">
      <c r="A11" s="117" t="s">
        <v>118</v>
      </c>
      <c r="B11" s="70" t="s">
        <v>119</v>
      </c>
      <c r="C11" s="70" t="s">
        <v>120</v>
      </c>
      <c r="D11" s="70" t="s">
        <v>121</v>
      </c>
      <c r="E11" s="71" t="s">
        <v>122</v>
      </c>
      <c r="G11" s="117" t="s">
        <v>123</v>
      </c>
      <c r="H11" s="70" t="s">
        <v>124</v>
      </c>
      <c r="I11" s="70" t="s">
        <v>125</v>
      </c>
      <c r="J11" s="71" t="s">
        <v>126</v>
      </c>
    </row>
    <row r="12" spans="1:10" ht="14.4" thickBot="1" x14ac:dyDescent="0.35">
      <c r="A12" s="119"/>
      <c r="B12" s="78">
        <v>22434506</v>
      </c>
      <c r="C12" s="79">
        <v>135699.3691208323</v>
      </c>
      <c r="D12" s="61">
        <v>0</v>
      </c>
      <c r="E12" s="79">
        <v>516500</v>
      </c>
      <c r="G12" s="119"/>
      <c r="H12" s="72">
        <f>LN((($E$12+1)/($D$12+1))-1)</f>
        <v>13.154830567541831</v>
      </c>
      <c r="I12" s="72">
        <f>(LN((($E$12+1)/($C$12+1))-1)-$H$12)/$B$12</f>
        <v>-5.4037311518544933E-7</v>
      </c>
      <c r="J12" s="73">
        <f>E12</f>
        <v>516500</v>
      </c>
    </row>
    <row r="13" spans="1:10" ht="34.200000000000003" customHeight="1" x14ac:dyDescent="0.3">
      <c r="A13" s="126" t="s">
        <v>127</v>
      </c>
      <c r="B13" s="127"/>
      <c r="C13" s="127"/>
      <c r="D13" s="127"/>
      <c r="E13" s="128"/>
      <c r="G13" s="132" t="s">
        <v>128</v>
      </c>
      <c r="H13" s="133"/>
      <c r="I13" s="133"/>
      <c r="J13" s="134"/>
    </row>
    <row r="14" spans="1:10" ht="33.6" customHeight="1" x14ac:dyDescent="0.3">
      <c r="A14" s="129"/>
      <c r="B14" s="130"/>
      <c r="C14" s="130"/>
      <c r="D14" s="130"/>
      <c r="E14" s="131"/>
      <c r="G14" s="135"/>
      <c r="H14" s="136"/>
      <c r="I14" s="136"/>
      <c r="J14" s="137"/>
    </row>
    <row r="16" spans="1:10" ht="14.4" thickBot="1" x14ac:dyDescent="0.35"/>
    <row r="17" spans="1:4" ht="16.8" customHeight="1" x14ac:dyDescent="0.3">
      <c r="A17" s="138" t="s">
        <v>129</v>
      </c>
      <c r="B17" s="70" t="s">
        <v>130</v>
      </c>
      <c r="C17" s="70" t="s">
        <v>131</v>
      </c>
      <c r="D17" s="71" t="s">
        <v>132</v>
      </c>
    </row>
    <row r="18" spans="1:4" ht="23.4" customHeight="1" thickBot="1" x14ac:dyDescent="0.35">
      <c r="A18" s="139"/>
      <c r="B18" s="82">
        <v>0</v>
      </c>
      <c r="C18" s="83">
        <v>40000000</v>
      </c>
      <c r="D18" s="74">
        <v>20</v>
      </c>
    </row>
    <row r="20" spans="1:4" x14ac:dyDescent="0.3">
      <c r="A20" s="111" t="s">
        <v>133</v>
      </c>
      <c r="B20" s="111"/>
    </row>
    <row r="21" spans="1:4" x14ac:dyDescent="0.3">
      <c r="A21" s="65" t="s">
        <v>134</v>
      </c>
      <c r="B21" s="65" t="s">
        <v>135</v>
      </c>
    </row>
    <row r="22" spans="1:4" x14ac:dyDescent="0.3">
      <c r="A22" s="76">
        <f>B18</f>
        <v>0</v>
      </c>
      <c r="B22" s="76">
        <f>($J$12/(1+EXP($H$12+$I$12*A22)))-1</f>
        <v>-1.9361046741384058E-6</v>
      </c>
    </row>
    <row r="23" spans="1:4" x14ac:dyDescent="0.3">
      <c r="A23" s="76">
        <f>A22+(($C$18-$B$18)/$D$18)</f>
        <v>2000000</v>
      </c>
      <c r="B23" s="76">
        <f t="shared" ref="B23:B42" si="0">($J$12/(1+EXP($H$12+$I$12*A23)))-1</f>
        <v>1.9468609672286035</v>
      </c>
    </row>
    <row r="24" spans="1:4" x14ac:dyDescent="0.3">
      <c r="A24" s="76">
        <f t="shared" ref="A24:A42" si="1">A23+(($C$18-$B$18)/$D$18)</f>
        <v>4000000</v>
      </c>
      <c r="B24" s="76">
        <f t="shared" si="0"/>
        <v>7.6839426469711753</v>
      </c>
    </row>
    <row r="25" spans="1:4" x14ac:dyDescent="0.3">
      <c r="A25" s="76">
        <f t="shared" si="1"/>
        <v>6000000</v>
      </c>
      <c r="B25" s="76">
        <f t="shared" si="0"/>
        <v>24.589680007205068</v>
      </c>
    </row>
    <row r="26" spans="1:4" x14ac:dyDescent="0.3">
      <c r="A26" s="76">
        <f t="shared" si="1"/>
        <v>8000000</v>
      </c>
      <c r="B26" s="76">
        <f t="shared" si="0"/>
        <v>74.402386343504247</v>
      </c>
    </row>
    <row r="27" spans="1:4" x14ac:dyDescent="0.3">
      <c r="A27" s="76">
        <f t="shared" si="1"/>
        <v>10000000</v>
      </c>
      <c r="B27" s="76">
        <f t="shared" si="0"/>
        <v>221.13848088283009</v>
      </c>
    </row>
    <row r="28" spans="1:4" x14ac:dyDescent="0.3">
      <c r="A28" s="76">
        <f t="shared" si="1"/>
        <v>12000000</v>
      </c>
      <c r="B28" s="76">
        <f t="shared" si="0"/>
        <v>653.06728900141968</v>
      </c>
    </row>
    <row r="29" spans="1:4" x14ac:dyDescent="0.3">
      <c r="A29" s="76">
        <f t="shared" si="1"/>
        <v>14000000</v>
      </c>
      <c r="B29" s="76">
        <f t="shared" si="0"/>
        <v>1921.7160595958901</v>
      </c>
    </row>
    <row r="30" spans="1:4" x14ac:dyDescent="0.3">
      <c r="A30" s="76">
        <f t="shared" si="1"/>
        <v>16000000</v>
      </c>
      <c r="B30" s="76">
        <f t="shared" si="0"/>
        <v>5624.2407437950105</v>
      </c>
    </row>
    <row r="31" spans="1:4" x14ac:dyDescent="0.3">
      <c r="A31" s="76">
        <f t="shared" si="1"/>
        <v>18000000</v>
      </c>
      <c r="B31" s="76">
        <f t="shared" si="0"/>
        <v>16231.705268388449</v>
      </c>
    </row>
    <row r="32" spans="1:4" x14ac:dyDescent="0.3">
      <c r="A32" s="76">
        <f t="shared" si="1"/>
        <v>20000000</v>
      </c>
      <c r="B32" s="76">
        <f t="shared" si="0"/>
        <v>45076.632688646758</v>
      </c>
    </row>
    <row r="33" spans="1:2" x14ac:dyDescent="0.3">
      <c r="A33" s="76">
        <f t="shared" si="1"/>
        <v>22000000</v>
      </c>
      <c r="B33" s="76">
        <f t="shared" si="0"/>
        <v>113544.32116991011</v>
      </c>
    </row>
    <row r="34" spans="1:2" x14ac:dyDescent="0.3">
      <c r="A34" s="76">
        <f>A33+(($C$18-$B$18)/$D$18)</f>
        <v>24000000</v>
      </c>
      <c r="B34" s="76">
        <f t="shared" si="0"/>
        <v>234316.6521286284</v>
      </c>
    </row>
    <row r="35" spans="1:2" x14ac:dyDescent="0.3">
      <c r="A35" s="76">
        <f t="shared" si="1"/>
        <v>26000000</v>
      </c>
      <c r="B35" s="76">
        <f t="shared" si="0"/>
        <v>366659.37200703949</v>
      </c>
    </row>
    <row r="36" spans="1:2" x14ac:dyDescent="0.3">
      <c r="A36" s="76">
        <f t="shared" si="1"/>
        <v>28000000</v>
      </c>
      <c r="B36" s="76">
        <f t="shared" si="0"/>
        <v>453596.07603195845</v>
      </c>
    </row>
    <row r="37" spans="1:2" x14ac:dyDescent="0.3">
      <c r="A37" s="76">
        <f t="shared" si="1"/>
        <v>30000000</v>
      </c>
      <c r="B37" s="76">
        <f t="shared" si="0"/>
        <v>493285.64971172978</v>
      </c>
    </row>
    <row r="38" spans="1:2" x14ac:dyDescent="0.3">
      <c r="A38" s="76">
        <f t="shared" si="1"/>
        <v>32000000</v>
      </c>
      <c r="B38" s="76">
        <f t="shared" si="0"/>
        <v>508380.67880587309</v>
      </c>
    </row>
    <row r="39" spans="1:2" x14ac:dyDescent="0.3">
      <c r="A39" s="76">
        <f t="shared" si="1"/>
        <v>34000000</v>
      </c>
      <c r="B39" s="76">
        <f t="shared" si="0"/>
        <v>513715.20353487186</v>
      </c>
    </row>
    <row r="40" spans="1:2" x14ac:dyDescent="0.3">
      <c r="A40" s="76">
        <f t="shared" si="1"/>
        <v>36000000</v>
      </c>
      <c r="B40" s="76">
        <f t="shared" si="0"/>
        <v>515550.96463864471</v>
      </c>
    </row>
    <row r="41" spans="1:2" x14ac:dyDescent="0.3">
      <c r="A41" s="76">
        <f>A40+(($C$18-$B$18)/$D$18)</f>
        <v>38000000</v>
      </c>
      <c r="B41" s="76">
        <f t="shared" si="0"/>
        <v>516176.90100218484</v>
      </c>
    </row>
    <row r="42" spans="1:2" x14ac:dyDescent="0.3">
      <c r="A42" s="76">
        <f t="shared" si="1"/>
        <v>40000000</v>
      </c>
      <c r="B42" s="76">
        <f t="shared" si="0"/>
        <v>516389.65316554887</v>
      </c>
    </row>
  </sheetData>
  <mergeCells count="12">
    <mergeCell ref="A20:B20"/>
    <mergeCell ref="F2:J2"/>
    <mergeCell ref="B4:D4"/>
    <mergeCell ref="A7:A9"/>
    <mergeCell ref="B7:C7"/>
    <mergeCell ref="D7:E7"/>
    <mergeCell ref="F7:G7"/>
    <mergeCell ref="A11:A12"/>
    <mergeCell ref="G11:G12"/>
    <mergeCell ref="A13:E14"/>
    <mergeCell ref="G13:J14"/>
    <mergeCell ref="A17:A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2"/>
  <sheetViews>
    <sheetView workbookViewId="0">
      <selection activeCell="F4" sqref="F4"/>
    </sheetView>
  </sheetViews>
  <sheetFormatPr defaultRowHeight="13.8" x14ac:dyDescent="0.3"/>
  <cols>
    <col min="1" max="1" width="12.109375" style="52" customWidth="1"/>
    <col min="2" max="2" width="13.5546875" style="52" customWidth="1"/>
    <col min="3" max="3" width="12.5546875" style="52" customWidth="1"/>
    <col min="4" max="4" width="13.77734375" style="52" customWidth="1"/>
    <col min="5" max="6" width="12.44140625" style="52" customWidth="1"/>
    <col min="7" max="7" width="12" style="52" customWidth="1"/>
    <col min="8" max="8" width="10.33203125" style="52" customWidth="1"/>
    <col min="9" max="9" width="10.21875" style="52" customWidth="1"/>
    <col min="10" max="10" width="10.33203125" style="52" customWidth="1"/>
    <col min="11" max="11" width="8.88671875" style="52"/>
    <col min="12" max="12" width="11.77734375" style="52" bestFit="1" customWidth="1"/>
    <col min="13" max="14" width="8.88671875" style="52"/>
    <col min="15" max="15" width="11.77734375" style="52" bestFit="1" customWidth="1"/>
    <col min="16" max="16384" width="8.88671875" style="52"/>
  </cols>
  <sheetData>
    <row r="1" spans="1:15" ht="14.4" thickBot="1" x14ac:dyDescent="0.35">
      <c r="A1" s="51" t="s">
        <v>97</v>
      </c>
      <c r="B1" s="52" t="s">
        <v>98</v>
      </c>
    </row>
    <row r="2" spans="1:15" x14ac:dyDescent="0.3">
      <c r="A2" s="53" t="s">
        <v>99</v>
      </c>
      <c r="B2" s="54" t="s">
        <v>136</v>
      </c>
      <c r="C2" s="55" t="s">
        <v>100</v>
      </c>
      <c r="D2" s="56" t="s">
        <v>101</v>
      </c>
      <c r="F2" s="112" t="s">
        <v>102</v>
      </c>
      <c r="G2" s="113"/>
      <c r="H2" s="113"/>
      <c r="I2" s="113"/>
      <c r="J2" s="114"/>
    </row>
    <row r="3" spans="1:15" ht="14.4" thickBot="1" x14ac:dyDescent="0.35">
      <c r="A3" s="60" t="s">
        <v>103</v>
      </c>
      <c r="B3" s="61" t="s">
        <v>137</v>
      </c>
      <c r="C3" s="62" t="s">
        <v>104</v>
      </c>
      <c r="D3" s="63" t="s">
        <v>105</v>
      </c>
    </row>
    <row r="4" spans="1:15" ht="26.4" customHeight="1" thickBot="1" x14ac:dyDescent="0.35">
      <c r="A4" s="64" t="s">
        <v>106</v>
      </c>
      <c r="B4" s="140" t="s">
        <v>151</v>
      </c>
      <c r="C4" s="141"/>
      <c r="D4" s="142"/>
      <c r="L4" s="52" t="s">
        <v>141</v>
      </c>
    </row>
    <row r="5" spans="1:15" x14ac:dyDescent="0.3">
      <c r="L5" s="52" t="s">
        <v>142</v>
      </c>
    </row>
    <row r="6" spans="1:15" ht="14.4" thickBot="1" x14ac:dyDescent="0.35">
      <c r="B6" s="77">
        <v>0.6</v>
      </c>
      <c r="C6" s="77">
        <v>1.3</v>
      </c>
      <c r="L6" s="52" t="s">
        <v>143</v>
      </c>
    </row>
    <row r="7" spans="1:15" ht="27.6" customHeight="1" x14ac:dyDescent="0.3">
      <c r="A7" s="117" t="s">
        <v>108</v>
      </c>
      <c r="B7" s="120" t="s">
        <v>109</v>
      </c>
      <c r="C7" s="121"/>
      <c r="D7" s="122" t="s">
        <v>110</v>
      </c>
      <c r="E7" s="123"/>
      <c r="F7" s="124" t="s">
        <v>111</v>
      </c>
      <c r="G7" s="125"/>
      <c r="L7" s="52" t="s">
        <v>144</v>
      </c>
    </row>
    <row r="8" spans="1:15" ht="27.6" x14ac:dyDescent="0.3">
      <c r="A8" s="118"/>
      <c r="B8" s="75" t="s">
        <v>112</v>
      </c>
      <c r="C8" s="66" t="s">
        <v>113</v>
      </c>
      <c r="D8" s="67" t="s">
        <v>114</v>
      </c>
      <c r="E8" s="66" t="s">
        <v>115</v>
      </c>
      <c r="F8" s="68" t="s">
        <v>116</v>
      </c>
      <c r="G8" s="69" t="s">
        <v>117</v>
      </c>
    </row>
    <row r="9" spans="1:15" ht="14.4" thickBot="1" x14ac:dyDescent="0.35">
      <c r="A9" s="119"/>
      <c r="B9" s="78">
        <f>B6*B12</f>
        <v>13460703.6</v>
      </c>
      <c r="C9" s="78">
        <f>C6*B12</f>
        <v>29164857.800000001</v>
      </c>
      <c r="D9" s="81">
        <f>F9</f>
        <v>22434506</v>
      </c>
      <c r="E9" s="80">
        <f>($J$12/(1+EXP($H$12+$I$12*D9)))-1</f>
        <v>135699.1063907131</v>
      </c>
      <c r="F9" s="78">
        <f>B12</f>
        <v>22434506</v>
      </c>
      <c r="G9" s="79">
        <f>C12</f>
        <v>135699.36912083201</v>
      </c>
    </row>
    <row r="10" spans="1:15" ht="14.4" thickBot="1" x14ac:dyDescent="0.35"/>
    <row r="11" spans="1:15" x14ac:dyDescent="0.3">
      <c r="A11" s="117" t="s">
        <v>118</v>
      </c>
      <c r="B11" s="70" t="s">
        <v>119</v>
      </c>
      <c r="C11" s="70" t="s">
        <v>120</v>
      </c>
      <c r="D11" s="70" t="s">
        <v>121</v>
      </c>
      <c r="E11" s="71" t="s">
        <v>122</v>
      </c>
      <c r="G11" s="117" t="s">
        <v>123</v>
      </c>
      <c r="H11" s="70" t="s">
        <v>124</v>
      </c>
      <c r="I11" s="70" t="s">
        <v>125</v>
      </c>
      <c r="J11" s="71" t="s">
        <v>126</v>
      </c>
      <c r="L11" s="85" t="s">
        <v>138</v>
      </c>
    </row>
    <row r="12" spans="1:15" ht="14.4" thickBot="1" x14ac:dyDescent="0.35">
      <c r="A12" s="119"/>
      <c r="B12" s="78">
        <v>22434506</v>
      </c>
      <c r="C12" s="79">
        <v>135699.36912083201</v>
      </c>
      <c r="D12" s="61">
        <v>0</v>
      </c>
      <c r="E12" s="79">
        <v>516500</v>
      </c>
      <c r="G12" s="119"/>
      <c r="H12" s="72">
        <f>LN((($E$12+1)/($D$12+1))-1)</f>
        <v>13.154830567541831</v>
      </c>
      <c r="I12" s="72">
        <f>(LN((($E$12+1)/($C$12+1))-1)-$H$12)/$B$12</f>
        <v>-5.4037311518544922E-7</v>
      </c>
      <c r="J12" s="73">
        <f>E12</f>
        <v>516500</v>
      </c>
      <c r="L12" s="85">
        <f>(1/B12)*LN((C12*(E12-1))/((E12-C12)-1))</f>
        <v>5.4037281746261796E-7</v>
      </c>
      <c r="M12" s="52">
        <f>(C12*(E12-1))/((E12-C12)-1)</f>
        <v>184056.34556347696</v>
      </c>
      <c r="N12" s="52">
        <f>LN(M12)</f>
        <v>12.122997215602007</v>
      </c>
      <c r="O12" s="84">
        <f>N12/B12</f>
        <v>5.4037281746261796E-7</v>
      </c>
    </row>
    <row r="13" spans="1:15" ht="34.200000000000003" customHeight="1" x14ac:dyDescent="0.3">
      <c r="A13" s="126" t="s">
        <v>127</v>
      </c>
      <c r="B13" s="127"/>
      <c r="C13" s="127"/>
      <c r="D13" s="127"/>
      <c r="E13" s="128"/>
      <c r="G13" s="132" t="s">
        <v>128</v>
      </c>
      <c r="H13" s="133"/>
      <c r="I13" s="133"/>
      <c r="J13" s="134"/>
      <c r="L13" s="85" t="s">
        <v>139</v>
      </c>
      <c r="M13" s="85" t="s">
        <v>140</v>
      </c>
    </row>
    <row r="14" spans="1:15" ht="33.6" customHeight="1" x14ac:dyDescent="0.3">
      <c r="A14" s="129"/>
      <c r="B14" s="130"/>
      <c r="C14" s="130"/>
      <c r="D14" s="130"/>
      <c r="E14" s="131"/>
      <c r="G14" s="135"/>
      <c r="H14" s="136"/>
      <c r="I14" s="136"/>
      <c r="J14" s="137"/>
      <c r="L14" s="84">
        <v>0</v>
      </c>
      <c r="M14" s="84">
        <f>($E$12/(1+($E$12-1)*EXP(-$L$12*L14)))-1</f>
        <v>0</v>
      </c>
    </row>
    <row r="15" spans="1:15" x14ac:dyDescent="0.3">
      <c r="L15" s="52">
        <v>22434506</v>
      </c>
      <c r="M15" s="84">
        <f>($E$12/(1+($E$12-1)*EXP(-$L$12*L15)))-1</f>
        <v>135698.63185003214</v>
      </c>
    </row>
    <row r="16" spans="1:15" ht="14.4" thickBot="1" x14ac:dyDescent="0.35"/>
    <row r="17" spans="1:4" ht="16.8" customHeight="1" x14ac:dyDescent="0.3">
      <c r="A17" s="138" t="s">
        <v>129</v>
      </c>
      <c r="B17" s="70" t="s">
        <v>130</v>
      </c>
      <c r="C17" s="70" t="s">
        <v>131</v>
      </c>
      <c r="D17" s="71" t="s">
        <v>132</v>
      </c>
    </row>
    <row r="18" spans="1:4" ht="23.4" customHeight="1" thickBot="1" x14ac:dyDescent="0.35">
      <c r="A18" s="139"/>
      <c r="B18" s="82">
        <v>0</v>
      </c>
      <c r="C18" s="83">
        <v>40000000</v>
      </c>
      <c r="D18" s="74">
        <v>20</v>
      </c>
    </row>
    <row r="20" spans="1:4" x14ac:dyDescent="0.3">
      <c r="A20" s="111" t="s">
        <v>133</v>
      </c>
      <c r="B20" s="111"/>
    </row>
    <row r="21" spans="1:4" ht="96.6" x14ac:dyDescent="0.3">
      <c r="A21" s="75" t="s">
        <v>134</v>
      </c>
      <c r="B21" s="75" t="s">
        <v>145</v>
      </c>
      <c r="C21" s="86" t="s">
        <v>146</v>
      </c>
    </row>
    <row r="22" spans="1:4" x14ac:dyDescent="0.3">
      <c r="A22" s="76">
        <f>B18</f>
        <v>0</v>
      </c>
      <c r="B22" s="76">
        <f>($J$12/(1+EXP($H$12+$I$12*A22)))-1</f>
        <v>-1.9361046741384058E-6</v>
      </c>
      <c r="C22" s="52">
        <f>($E$12/(1+($E$12-1)*EXP(-$L$12*A22)))-1</f>
        <v>0</v>
      </c>
    </row>
    <row r="23" spans="1:4" x14ac:dyDescent="0.3">
      <c r="A23" s="76">
        <f>A22+(($C$18-$B$18)/$D$18)</f>
        <v>2000000</v>
      </c>
      <c r="B23" s="76">
        <f t="shared" ref="B23:B42" si="0">($J$12/(1+EXP($H$12+$I$12*A23)))-1</f>
        <v>1.9468609672286035</v>
      </c>
      <c r="C23" s="52">
        <f>($E$12/(1+($E$12-1)*EXP(-$L$12*A23)))-1</f>
        <v>1.9468649179609909</v>
      </c>
    </row>
    <row r="24" spans="1:4" x14ac:dyDescent="0.3">
      <c r="A24" s="76">
        <f t="shared" ref="A24:A42" si="1">A23+(($C$18-$B$18)/$D$18)</f>
        <v>4000000</v>
      </c>
      <c r="B24" s="76">
        <f t="shared" si="0"/>
        <v>7.6839426469711594</v>
      </c>
      <c r="C24" s="52">
        <f t="shared" ref="C24:C42" si="2">($E$12/(1+($E$12-1)*EXP(-$L$12*A24)))-1</f>
        <v>7.6839491183035893</v>
      </c>
    </row>
    <row r="25" spans="1:4" x14ac:dyDescent="0.3">
      <c r="A25" s="76">
        <f t="shared" si="1"/>
        <v>6000000</v>
      </c>
      <c r="B25" s="76">
        <f t="shared" si="0"/>
        <v>24.589680007205022</v>
      </c>
      <c r="C25" s="52">
        <f t="shared" si="2"/>
        <v>24.589683839666506</v>
      </c>
    </row>
    <row r="26" spans="1:4" x14ac:dyDescent="0.3">
      <c r="A26" s="76">
        <f t="shared" si="1"/>
        <v>8000000</v>
      </c>
      <c r="B26" s="76">
        <f t="shared" si="0"/>
        <v>74.402386343504247</v>
      </c>
      <c r="C26" s="52">
        <f t="shared" si="2"/>
        <v>74.402352743658682</v>
      </c>
    </row>
    <row r="27" spans="1:4" x14ac:dyDescent="0.3">
      <c r="A27" s="76">
        <f t="shared" si="1"/>
        <v>10000000</v>
      </c>
      <c r="B27" s="76">
        <f t="shared" si="0"/>
        <v>221.1384808828299</v>
      </c>
      <c r="C27" s="52">
        <f t="shared" si="2"/>
        <v>221.13824971004226</v>
      </c>
    </row>
    <row r="28" spans="1:4" x14ac:dyDescent="0.3">
      <c r="A28" s="76">
        <f t="shared" si="1"/>
        <v>12000000</v>
      </c>
      <c r="B28" s="76">
        <f t="shared" si="0"/>
        <v>653.06728900141911</v>
      </c>
      <c r="C28" s="52">
        <f t="shared" si="2"/>
        <v>653.06621993504803</v>
      </c>
    </row>
    <row r="29" spans="1:4" x14ac:dyDescent="0.3">
      <c r="A29" s="76">
        <f t="shared" si="1"/>
        <v>14000000</v>
      </c>
      <c r="B29" s="76">
        <f t="shared" si="0"/>
        <v>1921.7160595958869</v>
      </c>
      <c r="C29" s="52">
        <f t="shared" si="2"/>
        <v>1921.7117840559756</v>
      </c>
    </row>
    <row r="30" spans="1:4" x14ac:dyDescent="0.3">
      <c r="A30" s="76">
        <f t="shared" si="1"/>
        <v>16000000</v>
      </c>
      <c r="B30" s="76">
        <f t="shared" si="0"/>
        <v>5624.2407437950005</v>
      </c>
      <c r="C30" s="52">
        <f t="shared" si="2"/>
        <v>5624.2250119254968</v>
      </c>
    </row>
    <row r="31" spans="1:4" x14ac:dyDescent="0.3">
      <c r="A31" s="76">
        <f t="shared" si="1"/>
        <v>18000000</v>
      </c>
      <c r="B31" s="76">
        <f t="shared" si="0"/>
        <v>16231.705268388421</v>
      </c>
      <c r="C31" s="52">
        <f t="shared" si="2"/>
        <v>16231.651451784479</v>
      </c>
    </row>
    <row r="32" spans="1:4" x14ac:dyDescent="0.3">
      <c r="A32" s="76">
        <f t="shared" si="1"/>
        <v>20000000</v>
      </c>
      <c r="B32" s="76">
        <f t="shared" si="0"/>
        <v>45076.632688646685</v>
      </c>
      <c r="C32" s="52">
        <f t="shared" si="2"/>
        <v>45076.46736019323</v>
      </c>
    </row>
    <row r="33" spans="1:3" x14ac:dyDescent="0.3">
      <c r="A33" s="76">
        <f t="shared" si="1"/>
        <v>22000000</v>
      </c>
      <c r="B33" s="76">
        <f t="shared" si="0"/>
        <v>113544.32116990995</v>
      </c>
      <c r="C33" s="52">
        <f t="shared" si="2"/>
        <v>113543.91246244551</v>
      </c>
    </row>
    <row r="34" spans="1:3" x14ac:dyDescent="0.3">
      <c r="A34" s="76">
        <f>A33+(($C$18-$B$18)/$D$18)</f>
        <v>24000000</v>
      </c>
      <c r="B34" s="76">
        <f t="shared" si="0"/>
        <v>234316.65212862816</v>
      </c>
      <c r="C34" s="52">
        <f t="shared" si="2"/>
        <v>234315.98526260583</v>
      </c>
    </row>
    <row r="35" spans="1:3" x14ac:dyDescent="0.3">
      <c r="A35" s="76">
        <f t="shared" si="1"/>
        <v>26000000</v>
      </c>
      <c r="B35" s="76">
        <f t="shared" si="0"/>
        <v>366659.37200703908</v>
      </c>
      <c r="C35" s="52">
        <f t="shared" si="2"/>
        <v>366658.75456045102</v>
      </c>
    </row>
    <row r="36" spans="1:3" x14ac:dyDescent="0.3">
      <c r="A36" s="76">
        <f t="shared" si="1"/>
        <v>28000000</v>
      </c>
      <c r="B36" s="76">
        <f t="shared" si="0"/>
        <v>453596.07603195828</v>
      </c>
      <c r="C36" s="52">
        <f t="shared" si="2"/>
        <v>453595.72247406986</v>
      </c>
    </row>
    <row r="37" spans="1:3" x14ac:dyDescent="0.3">
      <c r="A37" s="76">
        <f t="shared" si="1"/>
        <v>30000000</v>
      </c>
      <c r="B37" s="76">
        <f t="shared" si="0"/>
        <v>493285.64971172978</v>
      </c>
      <c r="C37" s="52">
        <f t="shared" si="2"/>
        <v>493285.49461892917</v>
      </c>
    </row>
    <row r="38" spans="1:3" x14ac:dyDescent="0.3">
      <c r="A38" s="76">
        <f t="shared" si="1"/>
        <v>32000000</v>
      </c>
      <c r="B38" s="76">
        <f t="shared" si="0"/>
        <v>508380.67880587309</v>
      </c>
      <c r="C38" s="52">
        <f t="shared" si="2"/>
        <v>508380.61814794887</v>
      </c>
    </row>
    <row r="39" spans="1:3" x14ac:dyDescent="0.3">
      <c r="A39" s="76">
        <f t="shared" si="1"/>
        <v>34000000</v>
      </c>
      <c r="B39" s="76">
        <f t="shared" si="0"/>
        <v>513715.20353487186</v>
      </c>
      <c r="C39" s="52">
        <f t="shared" si="2"/>
        <v>513715.1808681541</v>
      </c>
    </row>
    <row r="40" spans="1:3" x14ac:dyDescent="0.3">
      <c r="A40" s="76">
        <f t="shared" si="1"/>
        <v>36000000</v>
      </c>
      <c r="B40" s="76">
        <f t="shared" si="0"/>
        <v>515550.96463864471</v>
      </c>
      <c r="C40" s="52">
        <f t="shared" si="2"/>
        <v>515550.95632832707</v>
      </c>
    </row>
    <row r="41" spans="1:3" x14ac:dyDescent="0.3">
      <c r="A41" s="76">
        <f>A40+(($C$18-$B$18)/$D$18)</f>
        <v>38000000</v>
      </c>
      <c r="B41" s="76">
        <f t="shared" si="0"/>
        <v>516176.90100218484</v>
      </c>
      <c r="C41" s="52">
        <f t="shared" si="2"/>
        <v>516176.89798361697</v>
      </c>
    </row>
    <row r="42" spans="1:3" x14ac:dyDescent="0.3">
      <c r="A42" s="76">
        <f t="shared" si="1"/>
        <v>40000000</v>
      </c>
      <c r="B42" s="76">
        <f t="shared" si="0"/>
        <v>516389.65316554887</v>
      </c>
      <c r="C42" s="52">
        <f t="shared" si="2"/>
        <v>516389.65207527991</v>
      </c>
    </row>
  </sheetData>
  <mergeCells count="12">
    <mergeCell ref="A20:B20"/>
    <mergeCell ref="F2:J2"/>
    <mergeCell ref="B4:D4"/>
    <mergeCell ref="A7:A9"/>
    <mergeCell ref="B7:C7"/>
    <mergeCell ref="D7:E7"/>
    <mergeCell ref="F7:G7"/>
    <mergeCell ref="A11:A12"/>
    <mergeCell ref="G11:G12"/>
    <mergeCell ref="A13:E14"/>
    <mergeCell ref="G13:J14"/>
    <mergeCell ref="A17:A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2"/>
  <sheetViews>
    <sheetView workbookViewId="0">
      <selection activeCell="G5" sqref="G5"/>
    </sheetView>
  </sheetViews>
  <sheetFormatPr defaultRowHeight="13.8" x14ac:dyDescent="0.3"/>
  <cols>
    <col min="1" max="1" width="12.109375" style="52" customWidth="1"/>
    <col min="2" max="2" width="13.5546875" style="52" customWidth="1"/>
    <col min="3" max="3" width="12.5546875" style="52" customWidth="1"/>
    <col min="4" max="4" width="13.77734375" style="52" customWidth="1"/>
    <col min="5" max="6" width="12.44140625" style="52" customWidth="1"/>
    <col min="7" max="7" width="12" style="52" customWidth="1"/>
    <col min="8" max="8" width="10.33203125" style="52" customWidth="1"/>
    <col min="9" max="9" width="10.21875" style="52" customWidth="1"/>
    <col min="10" max="10" width="10.33203125" style="52" customWidth="1"/>
    <col min="11" max="11" width="14.33203125" style="52" bestFit="1" customWidth="1"/>
    <col min="12" max="13" width="12" style="52" bestFit="1" customWidth="1"/>
    <col min="14" max="14" width="11.44140625" style="52" bestFit="1" customWidth="1"/>
    <col min="15" max="15" width="9.77734375" style="52" bestFit="1" customWidth="1"/>
    <col min="16" max="16" width="8.88671875" style="52"/>
    <col min="17" max="17" width="10.33203125" style="52" customWidth="1"/>
    <col min="18" max="16384" width="8.88671875" style="52"/>
  </cols>
  <sheetData>
    <row r="1" spans="1:17" ht="14.4" thickBot="1" x14ac:dyDescent="0.35">
      <c r="A1" s="51" t="s">
        <v>97</v>
      </c>
      <c r="B1" s="52" t="s">
        <v>98</v>
      </c>
    </row>
    <row r="2" spans="1:17" x14ac:dyDescent="0.3">
      <c r="A2" s="53" t="s">
        <v>99</v>
      </c>
      <c r="B2" s="54" t="s">
        <v>136</v>
      </c>
      <c r="C2" s="55" t="s">
        <v>100</v>
      </c>
      <c r="D2" s="54" t="s">
        <v>101</v>
      </c>
      <c r="E2" s="55" t="s">
        <v>164</v>
      </c>
      <c r="F2" s="56" t="s">
        <v>165</v>
      </c>
      <c r="H2" s="57" t="s">
        <v>102</v>
      </c>
      <c r="I2" s="58"/>
      <c r="J2" s="58"/>
      <c r="K2" s="58"/>
      <c r="L2" s="59"/>
    </row>
    <row r="3" spans="1:17" ht="14.4" thickBot="1" x14ac:dyDescent="0.35">
      <c r="A3" s="60" t="s">
        <v>103</v>
      </c>
      <c r="B3" s="61" t="s">
        <v>137</v>
      </c>
      <c r="C3" s="62" t="s">
        <v>104</v>
      </c>
      <c r="D3" s="61" t="s">
        <v>105</v>
      </c>
      <c r="E3" s="62" t="s">
        <v>148</v>
      </c>
      <c r="F3" s="63" t="s">
        <v>149</v>
      </c>
    </row>
    <row r="4" spans="1:17" ht="15" customHeight="1" thickBot="1" x14ac:dyDescent="0.35">
      <c r="A4" s="105" t="s">
        <v>106</v>
      </c>
      <c r="B4" s="149" t="s">
        <v>150</v>
      </c>
      <c r="C4" s="149"/>
      <c r="D4" s="149"/>
      <c r="E4" s="149"/>
      <c r="F4" s="150"/>
      <c r="H4" s="52" t="s">
        <v>154</v>
      </c>
    </row>
    <row r="5" spans="1:17" x14ac:dyDescent="0.3">
      <c r="H5" s="52" t="s">
        <v>147</v>
      </c>
    </row>
    <row r="6" spans="1:17" ht="14.4" thickBot="1" x14ac:dyDescent="0.35">
      <c r="B6" s="77">
        <v>0.6</v>
      </c>
      <c r="C6" s="77">
        <v>1.3</v>
      </c>
    </row>
    <row r="7" spans="1:17" ht="27.6" customHeight="1" x14ac:dyDescent="0.3">
      <c r="A7" s="117" t="s">
        <v>108</v>
      </c>
      <c r="B7" s="120" t="s">
        <v>109</v>
      </c>
      <c r="C7" s="121"/>
      <c r="D7" s="122" t="s">
        <v>110</v>
      </c>
      <c r="E7" s="124"/>
      <c r="F7" s="123"/>
      <c r="G7" s="122" t="s">
        <v>111</v>
      </c>
      <c r="H7" s="125"/>
    </row>
    <row r="8" spans="1:17" ht="27.6" x14ac:dyDescent="0.3">
      <c r="A8" s="118"/>
      <c r="B8" s="92" t="s">
        <v>112</v>
      </c>
      <c r="C8" s="66" t="s">
        <v>113</v>
      </c>
      <c r="D8" s="67" t="s">
        <v>114</v>
      </c>
      <c r="E8" s="92" t="s">
        <v>115</v>
      </c>
      <c r="F8" s="97" t="s">
        <v>166</v>
      </c>
      <c r="G8" s="68" t="s">
        <v>116</v>
      </c>
      <c r="H8" s="69" t="s">
        <v>117</v>
      </c>
    </row>
    <row r="9" spans="1:17" ht="14.4" thickBot="1" x14ac:dyDescent="0.35">
      <c r="A9" s="119"/>
      <c r="B9" s="78">
        <f>B6*B12</f>
        <v>13460703.6</v>
      </c>
      <c r="C9" s="78">
        <f>C6*B12</f>
        <v>29164857.800000001</v>
      </c>
      <c r="D9" s="81">
        <f>G9</f>
        <v>22434506</v>
      </c>
      <c r="E9" s="99">
        <f>(($Q$12/(1+EXP($O$12+$P$12*D9)))-1) - ($F$12-$C$12)</f>
        <v>135699.36912083253</v>
      </c>
      <c r="F9" s="98">
        <f>E9*G12</f>
        <v>1564613.725963199</v>
      </c>
      <c r="G9" s="78">
        <f>B12</f>
        <v>22434506</v>
      </c>
      <c r="H9" s="100">
        <f>C12</f>
        <v>135699.3691208323</v>
      </c>
    </row>
    <row r="10" spans="1:17" ht="14.4" thickBot="1" x14ac:dyDescent="0.35"/>
    <row r="11" spans="1:17" ht="51.6" customHeight="1" x14ac:dyDescent="0.3">
      <c r="A11" s="117" t="s">
        <v>118</v>
      </c>
      <c r="B11" s="70" t="s">
        <v>119</v>
      </c>
      <c r="C11" s="70" t="s">
        <v>120</v>
      </c>
      <c r="D11" s="70" t="s">
        <v>121</v>
      </c>
      <c r="E11" s="70" t="s">
        <v>122</v>
      </c>
      <c r="F11" s="71" t="s">
        <v>152</v>
      </c>
      <c r="G11" s="71" t="s">
        <v>163</v>
      </c>
      <c r="H11" s="93" t="s">
        <v>167</v>
      </c>
      <c r="J11" s="138" t="s">
        <v>123</v>
      </c>
      <c r="K11" s="93" t="s">
        <v>159</v>
      </c>
      <c r="L11" s="93" t="s">
        <v>155</v>
      </c>
      <c r="M11" s="93" t="s">
        <v>156</v>
      </c>
      <c r="N11" s="93" t="s">
        <v>158</v>
      </c>
      <c r="O11" s="93" t="s">
        <v>124</v>
      </c>
      <c r="P11" s="93" t="s">
        <v>125</v>
      </c>
      <c r="Q11" s="71" t="s">
        <v>126</v>
      </c>
    </row>
    <row r="12" spans="1:17" ht="15" customHeight="1" thickBot="1" x14ac:dyDescent="0.35">
      <c r="A12" s="119"/>
      <c r="B12" s="78">
        <v>22434506</v>
      </c>
      <c r="C12" s="79">
        <v>135699.3691208323</v>
      </c>
      <c r="D12" s="61">
        <v>0</v>
      </c>
      <c r="E12" s="79">
        <v>516500</v>
      </c>
      <c r="F12" s="87">
        <v>5165000</v>
      </c>
      <c r="G12" s="95">
        <v>11.53</v>
      </c>
      <c r="H12" s="88">
        <f>C12*G12</f>
        <v>1564613.7259631963</v>
      </c>
      <c r="J12" s="139"/>
      <c r="K12" s="88">
        <f>F12-C12</f>
        <v>5029300.6308791675</v>
      </c>
      <c r="L12" s="88">
        <f>K12+E12</f>
        <v>5545800.6308791675</v>
      </c>
      <c r="M12" s="89">
        <f>B12</f>
        <v>22434506</v>
      </c>
      <c r="N12" s="88">
        <f>F12</f>
        <v>5165000</v>
      </c>
      <c r="O12" s="72">
        <f>LN((($L$12+1)/($K$12+1))-1)</f>
        <v>-2.2759611241153297</v>
      </c>
      <c r="P12" s="90">
        <f>(LN((($L$12+1)/($N$12+1))-1)-$O$12)/$M$12</f>
        <v>-1.4772934666486198E-8</v>
      </c>
      <c r="Q12" s="91">
        <f>L12+1</f>
        <v>5545801.6308791675</v>
      </c>
    </row>
    <row r="13" spans="1:17" ht="34.200000000000003" customHeight="1" x14ac:dyDescent="0.3">
      <c r="A13" s="126" t="s">
        <v>153</v>
      </c>
      <c r="B13" s="127"/>
      <c r="C13" s="127"/>
      <c r="D13" s="127"/>
      <c r="E13" s="127"/>
      <c r="F13" s="128"/>
      <c r="J13" s="143" t="s">
        <v>157</v>
      </c>
      <c r="K13" s="144"/>
      <c r="L13" s="144"/>
      <c r="M13" s="144"/>
      <c r="N13" s="144"/>
      <c r="O13" s="144"/>
      <c r="P13" s="144"/>
      <c r="Q13" s="145"/>
    </row>
    <row r="14" spans="1:17" ht="33.6" customHeight="1" x14ac:dyDescent="0.3">
      <c r="A14" s="129"/>
      <c r="B14" s="130"/>
      <c r="C14" s="130"/>
      <c r="D14" s="130"/>
      <c r="E14" s="130"/>
      <c r="F14" s="131"/>
      <c r="J14" s="146"/>
      <c r="K14" s="147"/>
      <c r="L14" s="147"/>
      <c r="M14" s="147"/>
      <c r="N14" s="147"/>
      <c r="O14" s="147"/>
      <c r="P14" s="147"/>
      <c r="Q14" s="148"/>
    </row>
    <row r="16" spans="1:17" ht="14.4" thickBot="1" x14ac:dyDescent="0.35"/>
    <row r="17" spans="1:8" ht="42.6" customHeight="1" x14ac:dyDescent="0.3">
      <c r="A17" s="138" t="s">
        <v>129</v>
      </c>
      <c r="B17" s="70" t="s">
        <v>130</v>
      </c>
      <c r="C17" s="70" t="s">
        <v>131</v>
      </c>
      <c r="D17" s="71" t="s">
        <v>132</v>
      </c>
      <c r="F17" s="94"/>
      <c r="G17" s="94"/>
      <c r="H17" s="96"/>
    </row>
    <row r="18" spans="1:8" ht="23.4" customHeight="1" thickBot="1" x14ac:dyDescent="0.35">
      <c r="A18" s="139"/>
      <c r="B18" s="82">
        <v>0</v>
      </c>
      <c r="C18" s="83">
        <v>200000000</v>
      </c>
      <c r="D18" s="74">
        <v>20</v>
      </c>
    </row>
    <row r="20" spans="1:8" x14ac:dyDescent="0.3">
      <c r="A20" s="111" t="s">
        <v>133</v>
      </c>
      <c r="B20" s="111"/>
    </row>
    <row r="21" spans="1:8" x14ac:dyDescent="0.3">
      <c r="A21" s="75" t="s">
        <v>134</v>
      </c>
      <c r="B21" s="75" t="s">
        <v>161</v>
      </c>
      <c r="C21" s="92" t="s">
        <v>162</v>
      </c>
      <c r="D21" s="52" t="s">
        <v>160</v>
      </c>
    </row>
    <row r="22" spans="1:8" x14ac:dyDescent="0.3">
      <c r="A22" s="76">
        <f>B18</f>
        <v>0</v>
      </c>
      <c r="B22" s="76">
        <f t="shared" ref="B22:B42" si="0">(($Q$12/(1+EXP($O$12+$P$12*A22)))-1) - ($F$12-$C$12)</f>
        <v>0</v>
      </c>
      <c r="C22" s="101">
        <f>B22*$G$12</f>
        <v>0</v>
      </c>
    </row>
    <row r="23" spans="1:8" x14ac:dyDescent="0.3">
      <c r="A23" s="76">
        <f>A22+(($C$18-$B$18)/$D$18)</f>
        <v>10000000</v>
      </c>
      <c r="B23" s="76">
        <f t="shared" si="0"/>
        <v>65160.884199584834</v>
      </c>
      <c r="C23" s="76">
        <f t="shared" ref="C23:C42" si="1">B23*$G$12</f>
        <v>751304.99482121307</v>
      </c>
      <c r="D23" s="52">
        <f>(B23-B22)/A23</f>
        <v>6.5160884199584835E-3</v>
      </c>
    </row>
    <row r="24" spans="1:8" x14ac:dyDescent="0.3">
      <c r="A24" s="76">
        <f t="shared" ref="A24:A42" si="2">A23+(($C$18-$B$18)/$D$18)</f>
        <v>20000000</v>
      </c>
      <c r="B24" s="76">
        <f t="shared" si="0"/>
        <v>122744.77582018357</v>
      </c>
      <c r="C24" s="76">
        <f t="shared" si="1"/>
        <v>1415247.2652067165</v>
      </c>
      <c r="D24" s="52">
        <f t="shared" ref="D24:D42" si="3">(B24-B23)/A24</f>
        <v>2.8791945810299367E-3</v>
      </c>
    </row>
    <row r="25" spans="1:8" x14ac:dyDescent="0.3">
      <c r="A25" s="76">
        <f t="shared" si="2"/>
        <v>30000000</v>
      </c>
      <c r="B25" s="76">
        <f t="shared" si="0"/>
        <v>173476.53353370167</v>
      </c>
      <c r="C25" s="76">
        <f t="shared" si="1"/>
        <v>2000184.4316435801</v>
      </c>
      <c r="D25" s="52">
        <f t="shared" si="3"/>
        <v>1.6910585904506036E-3</v>
      </c>
    </row>
    <row r="26" spans="1:8" x14ac:dyDescent="0.3">
      <c r="A26" s="76">
        <f t="shared" si="2"/>
        <v>40000000</v>
      </c>
      <c r="B26" s="76">
        <f t="shared" si="0"/>
        <v>218050.60666741617</v>
      </c>
      <c r="C26" s="76">
        <f t="shared" si="1"/>
        <v>2514123.4948753081</v>
      </c>
      <c r="D26" s="52">
        <f t="shared" si="3"/>
        <v>1.1143518283428624E-3</v>
      </c>
    </row>
    <row r="27" spans="1:8" x14ac:dyDescent="0.3">
      <c r="A27" s="76">
        <f t="shared" si="2"/>
        <v>50000000</v>
      </c>
      <c r="B27" s="76">
        <f t="shared" si="0"/>
        <v>257121.2781913355</v>
      </c>
      <c r="C27" s="76">
        <f t="shared" si="1"/>
        <v>2964608.337546098</v>
      </c>
      <c r="D27" s="52">
        <f t="shared" si="3"/>
        <v>7.8141343047838656E-4</v>
      </c>
    </row>
    <row r="28" spans="1:8" x14ac:dyDescent="0.3">
      <c r="A28" s="76">
        <f t="shared" si="2"/>
        <v>60000000</v>
      </c>
      <c r="B28" s="76">
        <f t="shared" si="0"/>
        <v>291296.63727436401</v>
      </c>
      <c r="C28" s="76">
        <f t="shared" si="1"/>
        <v>3358650.2277734168</v>
      </c>
      <c r="D28" s="52">
        <f t="shared" si="3"/>
        <v>5.6958931805047518E-4</v>
      </c>
    </row>
    <row r="29" spans="1:8" x14ac:dyDescent="0.3">
      <c r="A29" s="76">
        <f t="shared" si="2"/>
        <v>70000000</v>
      </c>
      <c r="B29" s="76">
        <f t="shared" si="0"/>
        <v>321135.50980218779</v>
      </c>
      <c r="C29" s="76">
        <f t="shared" si="1"/>
        <v>3702692.4280192251</v>
      </c>
      <c r="D29" s="52">
        <f t="shared" si="3"/>
        <v>4.2626960754033977E-4</v>
      </c>
    </row>
    <row r="30" spans="1:8" x14ac:dyDescent="0.3">
      <c r="A30" s="76">
        <f t="shared" si="2"/>
        <v>80000000</v>
      </c>
      <c r="B30" s="76">
        <f t="shared" si="0"/>
        <v>347146.64896780811</v>
      </c>
      <c r="C30" s="76">
        <f t="shared" si="1"/>
        <v>4002600.8625988271</v>
      </c>
      <c r="D30" s="52">
        <f t="shared" si="3"/>
        <v>3.2513923957025399E-4</v>
      </c>
    </row>
    <row r="31" spans="1:8" x14ac:dyDescent="0.3">
      <c r="A31" s="76">
        <f t="shared" si="2"/>
        <v>90000000</v>
      </c>
      <c r="B31" s="76">
        <f t="shared" si="0"/>
        <v>369789.58456045669</v>
      </c>
      <c r="C31" s="76">
        <f t="shared" si="1"/>
        <v>4263673.9099820657</v>
      </c>
      <c r="D31" s="52">
        <f t="shared" si="3"/>
        <v>2.5158817325165084E-4</v>
      </c>
    </row>
    <row r="32" spans="1:8" x14ac:dyDescent="0.3">
      <c r="A32" s="76">
        <f t="shared" si="2"/>
        <v>100000000</v>
      </c>
      <c r="B32" s="76">
        <f t="shared" si="0"/>
        <v>389476.63249957375</v>
      </c>
      <c r="C32" s="76">
        <f t="shared" si="1"/>
        <v>4490665.5727200853</v>
      </c>
      <c r="D32" s="52">
        <f t="shared" si="3"/>
        <v>1.9687047939117067E-4</v>
      </c>
    </row>
    <row r="33" spans="1:4" x14ac:dyDescent="0.3">
      <c r="A33" s="76">
        <f t="shared" si="2"/>
        <v>110000000</v>
      </c>
      <c r="B33" s="76">
        <f t="shared" si="0"/>
        <v>406575.66504135821</v>
      </c>
      <c r="C33" s="76">
        <f t="shared" si="1"/>
        <v>4687817.41792686</v>
      </c>
      <c r="D33" s="52">
        <f t="shared" si="3"/>
        <v>1.5544575037985871E-4</v>
      </c>
    </row>
    <row r="34" spans="1:4" x14ac:dyDescent="0.3">
      <c r="A34" s="76">
        <f>A33+(($C$18-$B$18)/$D$18)</f>
        <v>120000000</v>
      </c>
      <c r="B34" s="76">
        <f t="shared" si="0"/>
        <v>421413.33103184588</v>
      </c>
      <c r="C34" s="76">
        <f t="shared" si="1"/>
        <v>4858895.7067971826</v>
      </c>
      <c r="D34" s="52">
        <f t="shared" si="3"/>
        <v>1.2364721658739727E-4</v>
      </c>
    </row>
    <row r="35" spans="1:4" x14ac:dyDescent="0.3">
      <c r="A35" s="76">
        <f t="shared" si="2"/>
        <v>130000000</v>
      </c>
      <c r="B35" s="76">
        <f t="shared" si="0"/>
        <v>434278.49192497414</v>
      </c>
      <c r="C35" s="76">
        <f t="shared" si="1"/>
        <v>5007231.0118949516</v>
      </c>
      <c r="D35" s="52">
        <f t="shared" si="3"/>
        <v>9.896277610098657E-5</v>
      </c>
    </row>
    <row r="36" spans="1:4" x14ac:dyDescent="0.3">
      <c r="A36" s="76">
        <f t="shared" si="2"/>
        <v>140000000</v>
      </c>
      <c r="B36" s="76">
        <f t="shared" si="0"/>
        <v>445425.7024764372</v>
      </c>
      <c r="C36" s="76">
        <f t="shared" si="1"/>
        <v>5135758.3495533206</v>
      </c>
      <c r="D36" s="52">
        <f t="shared" si="3"/>
        <v>7.9622932510450481E-5</v>
      </c>
    </row>
    <row r="37" spans="1:4" x14ac:dyDescent="0.3">
      <c r="A37" s="76">
        <f t="shared" si="2"/>
        <v>150000000</v>
      </c>
      <c r="B37" s="76">
        <f t="shared" si="0"/>
        <v>455078.61578376312</v>
      </c>
      <c r="C37" s="76">
        <f t="shared" si="1"/>
        <v>5247056.4399867887</v>
      </c>
      <c r="D37" s="52">
        <f t="shared" si="3"/>
        <v>6.4352755382172757E-5</v>
      </c>
    </row>
    <row r="38" spans="1:4" x14ac:dyDescent="0.3">
      <c r="A38" s="76">
        <f t="shared" si="2"/>
        <v>160000000</v>
      </c>
      <c r="B38" s="76">
        <f t="shared" si="0"/>
        <v>463433.23205492459</v>
      </c>
      <c r="C38" s="76">
        <f t="shared" si="1"/>
        <v>5343385.1655932805</v>
      </c>
      <c r="D38" s="52">
        <f t="shared" si="3"/>
        <v>5.2216351694759215E-5</v>
      </c>
    </row>
    <row r="39" spans="1:4" x14ac:dyDescent="0.3">
      <c r="A39" s="76">
        <f t="shared" si="2"/>
        <v>170000000</v>
      </c>
      <c r="B39" s="76">
        <f t="shared" si="0"/>
        <v>470660.94080024865</v>
      </c>
      <c r="C39" s="76">
        <f t="shared" si="1"/>
        <v>5426720.6474268669</v>
      </c>
      <c r="D39" s="52">
        <f t="shared" si="3"/>
        <v>4.2515933796023838E-5</v>
      </c>
    </row>
    <row r="40" spans="1:4" x14ac:dyDescent="0.3">
      <c r="A40" s="76">
        <f t="shared" si="2"/>
        <v>180000000</v>
      </c>
      <c r="B40" s="76">
        <f t="shared" si="0"/>
        <v>476911.32871761266</v>
      </c>
      <c r="C40" s="76">
        <f t="shared" si="1"/>
        <v>5498787.6201140741</v>
      </c>
      <c r="D40" s="52">
        <f t="shared" si="3"/>
        <v>3.4724377318688977E-5</v>
      </c>
    </row>
    <row r="41" spans="1:4" x14ac:dyDescent="0.3">
      <c r="A41" s="76">
        <f>A40+(($C$18-$B$18)/$D$18)</f>
        <v>190000000</v>
      </c>
      <c r="B41" s="76">
        <f t="shared" si="0"/>
        <v>482314.74191566277</v>
      </c>
      <c r="C41" s="76">
        <f t="shared" si="1"/>
        <v>5561088.9742875919</v>
      </c>
      <c r="D41" s="52">
        <f t="shared" si="3"/>
        <v>2.8439016831842692E-5</v>
      </c>
    </row>
    <row r="42" spans="1:4" x14ac:dyDescent="0.3">
      <c r="A42" s="76">
        <f t="shared" si="2"/>
        <v>200000000</v>
      </c>
      <c r="B42" s="76">
        <f t="shared" si="0"/>
        <v>486984.60263799503</v>
      </c>
      <c r="C42" s="76">
        <f t="shared" si="1"/>
        <v>5614932.4684160827</v>
      </c>
      <c r="D42" s="52">
        <f t="shared" si="3"/>
        <v>2.3349303611661307E-5</v>
      </c>
    </row>
  </sheetData>
  <mergeCells count="11">
    <mergeCell ref="A17:A18"/>
    <mergeCell ref="B4:F4"/>
    <mergeCell ref="A20:B20"/>
    <mergeCell ref="A7:A9"/>
    <mergeCell ref="B7:C7"/>
    <mergeCell ref="D7:F7"/>
    <mergeCell ref="G7:H7"/>
    <mergeCell ref="J11:J12"/>
    <mergeCell ref="J13:Q14"/>
    <mergeCell ref="A13:F14"/>
    <mergeCell ref="A11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with Reduced ROIs</vt:lpstr>
      <vt:lpstr>Desktop Paid Search</vt:lpstr>
      <vt:lpstr>HCC Response S Curve 1</vt:lpstr>
      <vt:lpstr>HCC Response S Curve 2</vt:lpstr>
      <vt:lpstr>HCC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2013-05-24T19:40:32Z</dcterms:modified>
</cp:coreProperties>
</file>