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8" windowWidth="14808" windowHeight="8016" activeTab="1"/>
  </bookViews>
  <sheets>
    <sheet name="JANTOT VCH Costs and DOT" sheetId="2" r:id="rId1"/>
    <sheet name="JANTOT VCH Response Curve" sheetId="1" r:id="rId2"/>
    <sheet name="Sheet3" sheetId="3" r:id="rId3"/>
  </sheets>
  <calcPr calcId="145621"/>
</workbook>
</file>

<file path=xl/calcChain.xml><?xml version="1.0" encoding="utf-8"?>
<calcChain xmlns="http://schemas.openxmlformats.org/spreadsheetml/2006/main">
  <c r="S49" i="1" l="1"/>
  <c r="S48" i="1"/>
  <c r="S47" i="1"/>
  <c r="S35" i="1"/>
  <c r="S32" i="1"/>
  <c r="S31" i="1"/>
  <c r="F29" i="1"/>
  <c r="D29" i="1"/>
  <c r="D21" i="1"/>
  <c r="G25" i="1" l="1"/>
  <c r="G26" i="1"/>
  <c r="G27" i="1"/>
  <c r="G28" i="1"/>
  <c r="G29" i="1"/>
  <c r="G30" i="1"/>
  <c r="G31" i="1"/>
  <c r="G32" i="1"/>
  <c r="G33" i="1"/>
  <c r="G34" i="1"/>
  <c r="G35" i="1"/>
  <c r="G36" i="1"/>
  <c r="G37" i="1"/>
  <c r="G38" i="1"/>
  <c r="G39" i="1"/>
  <c r="G24" i="1"/>
  <c r="F39" i="1"/>
  <c r="F38" i="1"/>
  <c r="F37" i="1"/>
  <c r="F36" i="1"/>
  <c r="F35" i="1"/>
  <c r="F34" i="1"/>
  <c r="F33" i="1"/>
  <c r="F32" i="1"/>
  <c r="F31" i="1"/>
  <c r="F30" i="1"/>
  <c r="H20" i="1"/>
  <c r="F28" i="1"/>
  <c r="F27" i="1"/>
  <c r="F26" i="1"/>
  <c r="F25" i="1"/>
  <c r="F24" i="1"/>
  <c r="J21" i="1"/>
  <c r="C25" i="1"/>
  <c r="C26" i="1"/>
  <c r="C27" i="1"/>
  <c r="C28" i="1"/>
  <c r="C29" i="1"/>
  <c r="C30" i="1"/>
  <c r="C31" i="1"/>
  <c r="C32" i="1"/>
  <c r="C33" i="1"/>
  <c r="C34" i="1"/>
  <c r="C35" i="1"/>
  <c r="C36" i="1"/>
  <c r="C37" i="1"/>
  <c r="C38" i="1"/>
  <c r="C39" i="1"/>
  <c r="C24" i="1"/>
  <c r="G20" i="1"/>
  <c r="H11" i="2"/>
  <c r="D25" i="1"/>
  <c r="E25" i="1" s="1"/>
  <c r="D26" i="1"/>
  <c r="E26" i="1" s="1"/>
  <c r="D27" i="1"/>
  <c r="E27" i="1" s="1"/>
  <c r="D28" i="1"/>
  <c r="E28" i="1" s="1"/>
  <c r="E29" i="1"/>
  <c r="D30" i="1"/>
  <c r="E30" i="1" s="1"/>
  <c r="D31" i="1"/>
  <c r="E31" i="1" s="1"/>
  <c r="D32" i="1"/>
  <c r="E32" i="1" s="1"/>
  <c r="D33" i="1"/>
  <c r="E33" i="1" s="1"/>
  <c r="D34" i="1"/>
  <c r="E34" i="1" s="1"/>
  <c r="D35" i="1"/>
  <c r="E35" i="1" s="1"/>
  <c r="D36" i="1"/>
  <c r="E36" i="1" s="1"/>
  <c r="D37" i="1"/>
  <c r="E37" i="1" s="1"/>
  <c r="D38" i="1"/>
  <c r="E38" i="1" s="1"/>
  <c r="D39" i="1"/>
  <c r="E39" i="1" s="1"/>
  <c r="D24" i="1"/>
  <c r="E24" i="1" s="1"/>
  <c r="D20" i="1"/>
  <c r="B25" i="1"/>
  <c r="B26" i="1"/>
  <c r="B27" i="1"/>
  <c r="B28" i="1"/>
  <c r="B29" i="1"/>
  <c r="B30" i="1"/>
  <c r="B31" i="1"/>
  <c r="B32" i="1"/>
  <c r="B33" i="1"/>
  <c r="B34" i="1"/>
  <c r="B35" i="1"/>
  <c r="B36" i="1"/>
  <c r="B37" i="1"/>
  <c r="B38" i="1"/>
  <c r="B39" i="1"/>
  <c r="B24" i="1"/>
  <c r="D14" i="2"/>
  <c r="G11" i="2"/>
  <c r="F11" i="2"/>
  <c r="C7" i="2"/>
</calcChain>
</file>

<file path=xl/sharedStrings.xml><?xml version="1.0" encoding="utf-8"?>
<sst xmlns="http://schemas.openxmlformats.org/spreadsheetml/2006/main" count="111" uniqueCount="100">
  <si>
    <t>Category</t>
  </si>
  <si>
    <t>Sub-Category</t>
  </si>
  <si>
    <t>Notes</t>
  </si>
  <si>
    <t>Budgeted Spend ($)</t>
  </si>
  <si>
    <t>Sample/Coupon/Voucher</t>
  </si>
  <si>
    <t>C-GDB REDEMPTION C&amp;Vs</t>
  </si>
  <si>
    <t>C-GDB VOUCHER FRANCHISE</t>
  </si>
  <si>
    <t>Voucher admin costs</t>
  </si>
  <si>
    <t>TOTAL Mktg. Voucher Budget</t>
  </si>
  <si>
    <t>This is a portion of the redemption total cost that gets billed to Marketing Budget (i.e., cost of goods). Includes only Voucher Redemptions.</t>
  </si>
  <si>
    <t>2013 Budget Items from Brand Team (David Ennis) : Use this for allocation computations</t>
  </si>
  <si>
    <t>2013 Forecast provided by John Tolmie (Sample Operations)</t>
  </si>
  <si>
    <t>Coupon or Voucher</t>
  </si>
  <si>
    <t>Admin $</t>
  </si>
  <si>
    <t>Total Redemption $</t>
  </si>
  <si>
    <t>Redemption attributed to Mktg. (Promotional Redemptions)</t>
  </si>
  <si>
    <t>Vouchers</t>
  </si>
  <si>
    <t>Coupons</t>
  </si>
  <si>
    <t>Cost per Redemption</t>
  </si>
  <si>
    <t>Estimated 2013 Vocher Redemption</t>
  </si>
  <si>
    <t>JANTOT Voucher COSTS and DOT</t>
  </si>
  <si>
    <t>Portion of Redemption $ paid by Mktg.</t>
  </si>
  <si>
    <t>Think of incorporating some kind of constraints to total costs to MMD as well (i.e., the 86%)</t>
  </si>
  <si>
    <t>JANTOT Voucher Response Curve</t>
  </si>
  <si>
    <t>Here, we assume the impact per DOT of VCH redemption is same as impact per DOT of Sample. Hence, using Sample Response Curve as a proxy to construct Voucher response curve.</t>
  </si>
  <si>
    <t>Model</t>
  </si>
  <si>
    <t>Variable</t>
  </si>
  <si>
    <t>Estimate</t>
  </si>
  <si>
    <t>StdErr</t>
  </si>
  <si>
    <t>tValue</t>
  </si>
  <si>
    <t>Probt</t>
  </si>
  <si>
    <t>VarianceInflation</t>
  </si>
  <si>
    <t>LowerCL</t>
  </si>
  <si>
    <t>UpperCL</t>
  </si>
  <si>
    <t>sum</t>
  </si>
  <si>
    <t>N</t>
  </si>
  <si>
    <t>NRXCUR Sum</t>
  </si>
  <si>
    <t>Freq</t>
  </si>
  <si>
    <t>NRXCUR Mean</t>
  </si>
  <si>
    <t>m5</t>
  </si>
  <si>
    <t>Intercept</t>
  </si>
  <si>
    <t>nrxpre</t>
  </si>
  <si>
    <t>volpre</t>
  </si>
  <si>
    <t>mfpcur</t>
  </si>
  <si>
    <t>totmmf</t>
  </si>
  <si>
    <t>Mean</t>
  </si>
  <si>
    <t>detcur</t>
  </si>
  <si>
    <t>detcur_sq</t>
  </si>
  <si>
    <t>dotcur</t>
  </si>
  <si>
    <t>dotcur_sq</t>
  </si>
  <si>
    <t>Sample Response Model Estimates</t>
  </si>
  <si>
    <t>Voucher Redemptions</t>
  </si>
  <si>
    <t>Estimated DOT of Vouchers (use 30 DOT per Redm)</t>
  </si>
  <si>
    <t>Voucher DOT (x 30)</t>
  </si>
  <si>
    <t>Sample Model MD Count (N)</t>
  </si>
  <si>
    <t>2012 Samples DOT in Model Data</t>
  </si>
  <si>
    <t>2012 Samples DOT from Forecast</t>
  </si>
  <si>
    <t>Ratio of Samples Covered by Model Data</t>
  </si>
  <si>
    <t>Incr. NRx per Modeled Doc</t>
  </si>
  <si>
    <t>Voucher DOT per Modeled Doc</t>
  </si>
  <si>
    <t>Total Incr. NRx from Voucher DOTs</t>
  </si>
  <si>
    <t>Estimated $ per VCH DOT</t>
  </si>
  <si>
    <t>$ per VCH DOT (based on $3.80 Mktg. Budget)</t>
  </si>
  <si>
    <t>Budgeted 2013 Mktg VCH Spend</t>
  </si>
  <si>
    <t>Yearly Voucher Spend By Marketing</t>
  </si>
  <si>
    <t>Avg. VCH Spend per Incr. NRx</t>
  </si>
  <si>
    <r>
      <t xml:space="preserve">Total </t>
    </r>
    <r>
      <rPr>
        <b/>
        <sz val="10"/>
        <color rgb="FF0000FF"/>
        <rFont val="Calibri"/>
        <family val="2"/>
        <scheme val="minor"/>
      </rPr>
      <t>NPA</t>
    </r>
    <r>
      <rPr>
        <b/>
        <sz val="10"/>
        <color theme="1"/>
        <rFont val="Calibri"/>
        <family val="2"/>
        <scheme val="minor"/>
      </rPr>
      <t xml:space="preserve"> NRx in 2012</t>
    </r>
  </si>
  <si>
    <t>Total Grail NRx in 2012</t>
  </si>
  <si>
    <t>&lt;-- Ratio for NPA NRx Scaling</t>
  </si>
  <si>
    <t xml:space="preserve">Projected Incr NRx. As % of NPA NRX </t>
  </si>
  <si>
    <t>The calculations here assumes that vouchers were distributed to physicians first and then finally redeemed by patients. Fot JJ web vouchers seems to dominate and we are assuming that its impact is same as physician distributed vouchers.</t>
  </si>
  <si>
    <t xml:space="preserve">Ratio for Unaccounted DOT Projection --&gt; </t>
  </si>
  <si>
    <t>QC</t>
  </si>
  <si>
    <t>[1] Incr. NRx per Doc = lin.est*VDOTperMD + quad.est*(VDOTperMD)^2</t>
  </si>
  <si>
    <t>[2] VDOTperMD = (Total_VDOT/1.19) / N</t>
  </si>
  <si>
    <t>[4] Scaled Incr. NRx = 1.43 * 1.19 * N * (Incr. NRx per DOC)</t>
  </si>
  <si>
    <t xml:space="preserve">[3] VSpend = Total_VDOT * $perVDOT </t>
  </si>
  <si>
    <t>We need relationship between Scaled Incr. NRx and Vspend.</t>
  </si>
  <si>
    <t>Substituting Total_VDOT from eqn [3] into een. [2] and then into eqn. [1] then into eqn. [4], we get the below depicted "Equivalent Voucher Response Equation".</t>
  </si>
  <si>
    <t>Here, NPA NRx Scaling ratio = 1.43 and Unaccounted Sample DOT Projection Ratio = 1.19</t>
  </si>
  <si>
    <t>* Note: This equation is very similar to the one derived for "Equivalent Sample Response Equation"</t>
  </si>
  <si>
    <t>Equivalent Voucher Reponse Equation*</t>
  </si>
  <si>
    <t>Another way to derive this in simple terms from "Equivalent Sample Response Eqn" is:</t>
  </si>
  <si>
    <t>Let us say, ($perVoucherDOT / $perSampleDOT) = k</t>
  </si>
  <si>
    <t>Scaled Incr NRx = av*VSpend + bv*VSpend^2</t>
  </si>
  <si>
    <r>
      <rPr>
        <b/>
        <sz val="10"/>
        <color theme="1"/>
        <rFont val="Calibri"/>
        <family val="2"/>
        <scheme val="minor"/>
      </rPr>
      <t>av =</t>
    </r>
    <r>
      <rPr>
        <sz val="10"/>
        <color theme="1"/>
        <rFont val="Calibri"/>
        <family val="2"/>
        <scheme val="minor"/>
      </rPr>
      <t xml:space="preserve"> (NPA NRx Scaling Ratio * lin.est) / (2013 $perVDOT)</t>
    </r>
  </si>
  <si>
    <r>
      <rPr>
        <b/>
        <sz val="10"/>
        <color theme="1"/>
        <rFont val="Calibri"/>
        <family val="2"/>
        <scheme val="minor"/>
      </rPr>
      <t>bv =</t>
    </r>
    <r>
      <rPr>
        <sz val="10"/>
        <color theme="1"/>
        <rFont val="Calibri"/>
        <family val="2"/>
        <scheme val="minor"/>
      </rPr>
      <t xml:space="preserve">  (NPA NRx Scaling Ratio * quad.est) / ((2013 $perVDOT)^2 * N * Unaccounted Sample DOT Projection Ratio)</t>
    </r>
  </si>
  <si>
    <t>Then, "Equivalent Voucher Response Eqn" will be:</t>
  </si>
  <si>
    <r>
      <t xml:space="preserve">av = as/k; </t>
    </r>
    <r>
      <rPr>
        <sz val="11"/>
        <color theme="1"/>
        <rFont val="Calibri"/>
        <family val="2"/>
        <scheme val="minor"/>
      </rPr>
      <t>where as is the linear coefficient in "Equivalent Sample Response Eqn"</t>
    </r>
  </si>
  <si>
    <r>
      <t>bv = bs/(k^2);</t>
    </r>
    <r>
      <rPr>
        <sz val="11"/>
        <color theme="1"/>
        <rFont val="Calibri"/>
        <family val="2"/>
        <scheme val="minor"/>
      </rPr>
      <t xml:space="preserve"> where bs is the quadratic coefficient in "Equivalent Sample Response Eqn"</t>
    </r>
  </si>
  <si>
    <r>
      <rPr>
        <sz val="11"/>
        <color theme="1"/>
        <rFont val="Calibri"/>
        <family val="2"/>
        <scheme val="minor"/>
      </rPr>
      <t>Therefore:</t>
    </r>
    <r>
      <rPr>
        <b/>
        <i/>
        <sz val="11"/>
        <color theme="1"/>
        <rFont val="Calibri"/>
        <family val="2"/>
        <scheme val="minor"/>
      </rPr>
      <t xml:space="preserve"> Scaled Incr. NRx from Vouchers = (as/k)*Vspend + (bs/(k^2))*Vspend^2</t>
    </r>
  </si>
  <si>
    <t>k</t>
  </si>
  <si>
    <t>av</t>
  </si>
  <si>
    <t>bv</t>
  </si>
  <si>
    <t>Check:</t>
  </si>
  <si>
    <t>$perSampleDOT --&gt;</t>
  </si>
  <si>
    <t>&lt;-- as</t>
  </si>
  <si>
    <t>&lt;-- bs</t>
  </si>
  <si>
    <t>OK!</t>
  </si>
  <si>
    <t>Open Question: For Web Vouchers that are printed by Patients, is it ok to assume that this NRx lift is due to increase in their overall adherence? If so, converting to $ impact may not apply 3yr NPV.</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</si>
</sst>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000"/>
    <numFmt numFmtId="168" formatCode="0.0%"/>
    <numFmt numFmtId="169" formatCode="0.0000E+00"/>
    <numFmt numFmtId="170" formatCode="0.000"/>
    <numFmt numFmtId="175" formatCode="#,##0.0000000_);\(#,##0.0000000\)"/>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C00000"/>
      <name val="Calibri"/>
      <family val="2"/>
      <scheme val="minor"/>
    </font>
    <font>
      <b/>
      <sz val="11"/>
      <color rgb="FFC00000"/>
      <name val="Calibri"/>
      <family val="2"/>
      <scheme val="minor"/>
    </font>
    <font>
      <sz val="10"/>
      <name val="Arial"/>
      <family val="2"/>
    </font>
    <font>
      <sz val="10"/>
      <name val="MS Sans Serif"/>
      <family val="2"/>
    </font>
    <font>
      <b/>
      <sz val="10"/>
      <name val="MS Sans Serif"/>
      <family val="2"/>
    </font>
    <font>
      <sz val="10"/>
      <name val="Calibri"/>
      <family val="2"/>
      <scheme val="minor"/>
    </font>
    <font>
      <b/>
      <sz val="10"/>
      <name val="Calibri"/>
      <family val="2"/>
      <scheme val="minor"/>
    </font>
    <font>
      <b/>
      <sz val="10"/>
      <color theme="4" tint="-0.499984740745262"/>
      <name val="Calibri"/>
      <family val="2"/>
      <scheme val="minor"/>
    </font>
    <font>
      <sz val="10"/>
      <color theme="4" tint="-0.499984740745262"/>
      <name val="Calibri"/>
      <family val="2"/>
      <scheme val="minor"/>
    </font>
    <font>
      <sz val="10"/>
      <color theme="1"/>
      <name val="Calibri"/>
      <family val="2"/>
      <scheme val="minor"/>
    </font>
    <font>
      <b/>
      <sz val="10"/>
      <color theme="1"/>
      <name val="Calibri"/>
      <family val="2"/>
      <scheme val="minor"/>
    </font>
    <font>
      <b/>
      <sz val="10"/>
      <color rgb="FF0000FF"/>
      <name val="Calibri"/>
      <family val="2"/>
      <scheme val="minor"/>
    </font>
    <font>
      <sz val="10"/>
      <color rgb="FF0000FF"/>
      <name val="Calibri"/>
      <family val="2"/>
      <scheme val="minor"/>
    </font>
    <font>
      <b/>
      <sz val="10"/>
      <color rgb="FFC00000"/>
      <name val="Calibri"/>
      <family val="2"/>
      <scheme val="minor"/>
    </font>
    <font>
      <b/>
      <sz val="11"/>
      <color rgb="FF0000FF"/>
      <name val="Calibri"/>
      <family val="2"/>
      <scheme val="minor"/>
    </font>
    <font>
      <b/>
      <i/>
      <sz val="11"/>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3">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xf numFmtId="43" fontId="20" fillId="0" borderId="0" applyFont="0" applyFill="0" applyBorder="0" applyAlignment="0" applyProtection="0"/>
    <xf numFmtId="44" fontId="20" fillId="0" borderId="0" applyFont="0" applyFill="0" applyBorder="0" applyAlignment="0" applyProtection="0"/>
    <xf numFmtId="0" fontId="21" fillId="0" borderId="0"/>
    <xf numFmtId="43" fontId="21" fillId="0" borderId="0" applyFont="0" applyFill="0" applyBorder="0" applyAlignment="0" applyProtection="0"/>
    <xf numFmtId="9" fontId="21" fillId="0" borderId="0" applyFont="0" applyFill="0" applyBorder="0" applyAlignment="0" applyProtection="0"/>
    <xf numFmtId="0" fontId="20" fillId="0" borderId="0"/>
    <xf numFmtId="43" fontId="20" fillId="0" borderId="0" applyFont="0" applyFill="0" applyBorder="0" applyAlignment="0" applyProtection="0"/>
  </cellStyleXfs>
  <cellXfs count="95">
    <xf numFmtId="0" fontId="0" fillId="0" borderId="0" xfId="0"/>
    <xf numFmtId="0" fontId="18" fillId="0" borderId="0" xfId="0" applyFont="1"/>
    <xf numFmtId="0" fontId="19" fillId="0" borderId="0" xfId="0" applyFont="1"/>
    <xf numFmtId="3" fontId="0" fillId="0" borderId="0" xfId="0" applyNumberFormat="1"/>
    <xf numFmtId="0" fontId="0" fillId="0" borderId="0" xfId="0" applyAlignment="1">
      <alignment wrapText="1"/>
    </xf>
    <xf numFmtId="0" fontId="0" fillId="33" borderId="11" xfId="0" applyFill="1" applyBorder="1" applyAlignment="1">
      <alignment vertical="center" wrapText="1"/>
    </xf>
    <xf numFmtId="0" fontId="0" fillId="0" borderId="11" xfId="0" applyBorder="1" applyAlignment="1">
      <alignment wrapText="1"/>
    </xf>
    <xf numFmtId="165" fontId="0" fillId="0" borderId="11" xfId="2" applyNumberFormat="1" applyFont="1" applyBorder="1"/>
    <xf numFmtId="0" fontId="0" fillId="0" borderId="11" xfId="0" applyBorder="1"/>
    <xf numFmtId="165" fontId="19" fillId="0" borderId="11" xfId="0" applyNumberFormat="1" applyFont="1" applyBorder="1"/>
    <xf numFmtId="0" fontId="0" fillId="33" borderId="11" xfId="0" applyFill="1" applyBorder="1" applyAlignment="1">
      <alignment wrapText="1"/>
    </xf>
    <xf numFmtId="165" fontId="18" fillId="0" borderId="11" xfId="2" applyNumberFormat="1" applyFont="1" applyBorder="1"/>
    <xf numFmtId="44" fontId="0" fillId="0" borderId="11" xfId="2" applyFont="1" applyBorder="1"/>
    <xf numFmtId="37" fontId="0" fillId="0" borderId="11" xfId="0" applyNumberFormat="1" applyBorder="1"/>
    <xf numFmtId="44" fontId="18" fillId="0" borderId="11" xfId="0" applyNumberFormat="1" applyFont="1" applyBorder="1"/>
    <xf numFmtId="9" fontId="0" fillId="0" borderId="0" xfId="3" applyFont="1"/>
    <xf numFmtId="166" fontId="18" fillId="0" borderId="0" xfId="0" applyNumberFormat="1" applyFont="1"/>
    <xf numFmtId="166" fontId="0" fillId="0" borderId="0" xfId="0" applyNumberFormat="1"/>
    <xf numFmtId="170" fontId="0" fillId="0" borderId="0" xfId="0" applyNumberFormat="1"/>
    <xf numFmtId="170" fontId="18" fillId="0" borderId="0" xfId="0" applyNumberFormat="1" applyFont="1"/>
    <xf numFmtId="3" fontId="18" fillId="0" borderId="0" xfId="0" applyNumberFormat="1" applyFont="1"/>
    <xf numFmtId="165" fontId="18" fillId="35" borderId="0" xfId="0" applyNumberFormat="1" applyFont="1" applyFill="1"/>
    <xf numFmtId="3" fontId="18" fillId="35" borderId="0" xfId="0" applyNumberFormat="1" applyFont="1" applyFill="1"/>
    <xf numFmtId="164" fontId="0" fillId="0" borderId="11" xfId="1" applyNumberFormat="1" applyFont="1" applyBorder="1"/>
    <xf numFmtId="165" fontId="0" fillId="35" borderId="0" xfId="0" applyNumberFormat="1" applyFill="1"/>
    <xf numFmtId="168" fontId="0" fillId="0" borderId="11" xfId="3" applyNumberFormat="1" applyFont="1" applyBorder="1"/>
    <xf numFmtId="3" fontId="0" fillId="0" borderId="11" xfId="0" applyNumberFormat="1" applyBorder="1"/>
    <xf numFmtId="0" fontId="16" fillId="35" borderId="11" xfId="0" applyFont="1" applyFill="1" applyBorder="1" applyAlignment="1">
      <alignment wrapText="1"/>
    </xf>
    <xf numFmtId="3" fontId="0" fillId="35" borderId="0" xfId="0" applyNumberFormat="1" applyFill="1"/>
    <xf numFmtId="0" fontId="16" fillId="34" borderId="11" xfId="0" applyFont="1" applyFill="1" applyBorder="1" applyAlignment="1">
      <alignment wrapText="1"/>
    </xf>
    <xf numFmtId="0" fontId="0" fillId="0" borderId="0" xfId="0"/>
    <xf numFmtId="0" fontId="23" fillId="0" borderId="13" xfId="48" applyFont="1" applyBorder="1"/>
    <xf numFmtId="167" fontId="23" fillId="0" borderId="13" xfId="48" applyNumberFormat="1" applyFont="1" applyBorder="1"/>
    <xf numFmtId="2" fontId="23" fillId="0" borderId="13" xfId="48" applyNumberFormat="1" applyFont="1" applyBorder="1"/>
    <xf numFmtId="166" fontId="23" fillId="0" borderId="13" xfId="48" applyNumberFormat="1" applyFont="1" applyBorder="1"/>
    <xf numFmtId="164" fontId="23" fillId="0" borderId="13" xfId="49" applyNumberFormat="1" applyFont="1" applyBorder="1"/>
    <xf numFmtId="11" fontId="23" fillId="0" borderId="13" xfId="48" applyNumberFormat="1" applyFont="1" applyBorder="1"/>
    <xf numFmtId="166" fontId="23" fillId="0" borderId="12" xfId="48" applyNumberFormat="1" applyFont="1" applyBorder="1"/>
    <xf numFmtId="164" fontId="23" fillId="0" borderId="12" xfId="49" applyNumberFormat="1" applyFont="1" applyBorder="1"/>
    <xf numFmtId="0" fontId="23" fillId="0" borderId="10" xfId="48" applyFont="1" applyBorder="1"/>
    <xf numFmtId="11" fontId="23" fillId="0" borderId="12" xfId="48" applyNumberFormat="1" applyFont="1" applyBorder="1"/>
    <xf numFmtId="164" fontId="23" fillId="0" borderId="11" xfId="49" applyNumberFormat="1" applyFont="1" applyBorder="1"/>
    <xf numFmtId="0" fontId="24" fillId="34" borderId="11" xfId="48" applyFont="1" applyFill="1" applyBorder="1" applyAlignment="1">
      <alignment wrapText="1"/>
    </xf>
    <xf numFmtId="0" fontId="24" fillId="34" borderId="11" xfId="48" applyFont="1" applyFill="1" applyBorder="1" applyAlignment="1">
      <alignment horizontal="center" vertical="center" wrapText="1"/>
    </xf>
    <xf numFmtId="43" fontId="23" fillId="34" borderId="11" xfId="48" applyNumberFormat="1" applyFont="1" applyFill="1" applyBorder="1"/>
    <xf numFmtId="0" fontId="23" fillId="35" borderId="13" xfId="48" applyFont="1" applyFill="1" applyBorder="1"/>
    <xf numFmtId="167" fontId="23" fillId="35" borderId="13" xfId="48" applyNumberFormat="1" applyFont="1" applyFill="1" applyBorder="1"/>
    <xf numFmtId="2" fontId="23" fillId="35" borderId="13" xfId="48" applyNumberFormat="1" applyFont="1" applyFill="1" applyBorder="1"/>
    <xf numFmtId="0" fontId="25" fillId="35" borderId="12" xfId="48" applyFont="1" applyFill="1" applyBorder="1"/>
    <xf numFmtId="167" fontId="26" fillId="35" borderId="12" xfId="48" applyNumberFormat="1" applyFont="1" applyFill="1" applyBorder="1"/>
    <xf numFmtId="2" fontId="26" fillId="35" borderId="12" xfId="48" applyNumberFormat="1" applyFont="1" applyFill="1" applyBorder="1"/>
    <xf numFmtId="2" fontId="24" fillId="0" borderId="12" xfId="48" applyNumberFormat="1" applyFont="1" applyBorder="1"/>
    <xf numFmtId="167" fontId="26" fillId="35" borderId="13" xfId="48" applyNumberFormat="1" applyFont="1" applyFill="1" applyBorder="1"/>
    <xf numFmtId="2" fontId="26" fillId="35" borderId="13" xfId="48" applyNumberFormat="1" applyFont="1" applyFill="1" applyBorder="1"/>
    <xf numFmtId="0" fontId="25" fillId="35" borderId="13" xfId="48" applyFont="1" applyFill="1" applyBorder="1"/>
    <xf numFmtId="167" fontId="25" fillId="35" borderId="13" xfId="48" applyNumberFormat="1" applyFont="1" applyFill="1" applyBorder="1"/>
    <xf numFmtId="2" fontId="24" fillId="0" borderId="13" xfId="48" applyNumberFormat="1" applyFont="1" applyBorder="1"/>
    <xf numFmtId="0" fontId="21" fillId="0" borderId="0" xfId="48" applyFont="1"/>
    <xf numFmtId="0" fontId="29" fillId="0" borderId="0" xfId="0" applyFont="1"/>
    <xf numFmtId="169" fontId="25" fillId="35" borderId="12" xfId="48" applyNumberFormat="1" applyFont="1" applyFill="1" applyBorder="1"/>
    <xf numFmtId="0" fontId="22" fillId="0" borderId="0" xfId="48" applyFont="1"/>
    <xf numFmtId="37" fontId="23" fillId="0" borderId="12" xfId="49" applyNumberFormat="1" applyFont="1" applyBorder="1"/>
    <xf numFmtId="0" fontId="0" fillId="0" borderId="0" xfId="0"/>
    <xf numFmtId="3" fontId="30" fillId="0" borderId="11" xfId="0" applyNumberFormat="1" applyFont="1" applyBorder="1"/>
    <xf numFmtId="10" fontId="18" fillId="0" borderId="0" xfId="3" applyNumberFormat="1" applyFont="1"/>
    <xf numFmtId="10" fontId="0" fillId="0" borderId="0" xfId="3" applyNumberFormat="1" applyFont="1"/>
    <xf numFmtId="0" fontId="28" fillId="34" borderId="11" xfId="0" applyFont="1" applyFill="1" applyBorder="1" applyAlignment="1">
      <alignment wrapText="1"/>
    </xf>
    <xf numFmtId="0" fontId="27" fillId="0" borderId="0" xfId="0" applyFont="1" applyAlignment="1">
      <alignment wrapText="1"/>
    </xf>
    <xf numFmtId="3" fontId="27" fillId="0" borderId="11" xfId="0" applyNumberFormat="1" applyFont="1" applyBorder="1"/>
    <xf numFmtId="0" fontId="0" fillId="0" borderId="0" xfId="0"/>
    <xf numFmtId="0" fontId="0" fillId="0" borderId="11" xfId="0" applyBorder="1" applyAlignment="1">
      <alignment horizontal="right" wrapText="1"/>
    </xf>
    <xf numFmtId="0" fontId="27" fillId="0" borderId="0" xfId="0" applyFont="1" applyAlignment="1">
      <alignment horizontal="right" wrapText="1"/>
    </xf>
    <xf numFmtId="2" fontId="16" fillId="36" borderId="11" xfId="0" applyNumberFormat="1" applyFont="1" applyFill="1" applyBorder="1"/>
    <xf numFmtId="0" fontId="31" fillId="37" borderId="15" xfId="0" applyFont="1" applyFill="1" applyBorder="1" applyAlignment="1">
      <alignment horizontal="center" wrapText="1"/>
    </xf>
    <xf numFmtId="0" fontId="27" fillId="37" borderId="15" xfId="0" applyFont="1" applyFill="1" applyBorder="1" applyAlignment="1">
      <alignment horizontal="left" wrapText="1"/>
    </xf>
    <xf numFmtId="0" fontId="28" fillId="37" borderId="14" xfId="0" applyFont="1" applyFill="1" applyBorder="1" applyAlignment="1">
      <alignment horizontal="center" wrapText="1"/>
    </xf>
    <xf numFmtId="0" fontId="28" fillId="37" borderId="16" xfId="0" applyFont="1" applyFill="1" applyBorder="1" applyAlignment="1">
      <alignment horizontal="center" wrapText="1"/>
    </xf>
    <xf numFmtId="0" fontId="28" fillId="37" borderId="15" xfId="0" applyFont="1" applyFill="1" applyBorder="1" applyAlignment="1">
      <alignment horizontal="center" wrapText="1"/>
    </xf>
    <xf numFmtId="44" fontId="32" fillId="36" borderId="11" xfId="2" applyFont="1" applyFill="1" applyBorder="1"/>
    <xf numFmtId="0" fontId="31" fillId="37" borderId="16" xfId="0" applyFont="1" applyFill="1" applyBorder="1" applyAlignment="1">
      <alignment horizontal="center" wrapText="1"/>
    </xf>
    <xf numFmtId="0" fontId="31" fillId="37" borderId="14" xfId="0" applyFont="1" applyFill="1" applyBorder="1" applyAlignment="1">
      <alignment horizontal="center" wrapText="1"/>
    </xf>
    <xf numFmtId="0" fontId="33" fillId="0" borderId="0" xfId="0" applyFont="1"/>
    <xf numFmtId="0" fontId="16" fillId="0" borderId="0" xfId="0" applyFont="1"/>
    <xf numFmtId="175" fontId="28" fillId="37" borderId="11" xfId="0" applyNumberFormat="1" applyFont="1" applyFill="1" applyBorder="1"/>
    <xf numFmtId="169" fontId="28" fillId="38" borderId="11" xfId="0" applyNumberFormat="1" applyFont="1" applyFill="1" applyBorder="1"/>
    <xf numFmtId="0" fontId="27" fillId="0" borderId="0" xfId="0" applyFont="1" applyAlignment="1">
      <alignment horizontal="right"/>
    </xf>
    <xf numFmtId="0" fontId="27" fillId="37" borderId="14" xfId="0" applyFont="1" applyFill="1" applyBorder="1" applyAlignment="1">
      <alignment horizontal="left" wrapText="1"/>
    </xf>
    <xf numFmtId="0" fontId="0" fillId="0" borderId="0" xfId="0"/>
    <xf numFmtId="0" fontId="27" fillId="0" borderId="0" xfId="0" applyFont="1"/>
    <xf numFmtId="169" fontId="28" fillId="37" borderId="11" xfId="0" applyNumberFormat="1" applyFont="1" applyFill="1" applyBorder="1"/>
    <xf numFmtId="1" fontId="27" fillId="0" borderId="0" xfId="2" applyNumberFormat="1" applyFont="1"/>
    <xf numFmtId="0" fontId="28" fillId="38" borderId="11" xfId="0" applyFont="1" applyFill="1" applyBorder="1"/>
    <xf numFmtId="175" fontId="0" fillId="0" borderId="0" xfId="0" applyNumberFormat="1"/>
    <xf numFmtId="44" fontId="29" fillId="38" borderId="11" xfId="2" applyFont="1" applyFill="1" applyBorder="1"/>
    <xf numFmtId="0" fontId="0" fillId="0" borderId="0" xfId="0"/>
  </cellXfs>
  <cellStyles count="53">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46"/>
    <cellStyle name="Comma 2 2" xfId="52"/>
    <cellStyle name="Comma 2 3" xfId="49"/>
    <cellStyle name="Currency" xfId="2" builtinId="4"/>
    <cellStyle name="Currency 2" xfId="47"/>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xfId="45"/>
    <cellStyle name="Normal 2 2" xfId="51"/>
    <cellStyle name="Normal 2 3" xfId="48"/>
    <cellStyle name="Note" xfId="18" builtinId="10" customBuiltin="1"/>
    <cellStyle name="Output" xfId="13" builtinId="21" customBuiltin="1"/>
    <cellStyle name="Percent" xfId="3" builtinId="5"/>
    <cellStyle name="Percent 2" xfId="50"/>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Jantot:-</a:t>
            </a:r>
            <a:r>
              <a:rPr lang="en-US" sz="1000" baseline="0"/>
              <a:t> </a:t>
            </a:r>
            <a:r>
              <a:rPr lang="en-US" sz="1000"/>
              <a:t>Projected and Scaled Incr. NRx (SCALED TO NPA NRx Scale)</a:t>
            </a:r>
          </a:p>
        </c:rich>
      </c:tx>
      <c:layout>
        <c:manualLayout>
          <c:xMode val="edge"/>
          <c:yMode val="edge"/>
          <c:x val="0.1771851851851852"/>
          <c:y val="4.0186575277856892E-2"/>
        </c:manualLayout>
      </c:layout>
      <c:overlay val="0"/>
    </c:title>
    <c:autoTitleDeleted val="0"/>
    <c:plotArea>
      <c:layout/>
      <c:scatterChart>
        <c:scatterStyle val="smoothMarker"/>
        <c:varyColors val="0"/>
        <c:ser>
          <c:idx val="2"/>
          <c:order val="0"/>
          <c:tx>
            <c:strRef>
              <c:f>'JANTOT VCH Response Curve'!$F$23</c:f>
              <c:strCache>
                <c:ptCount val="1"/>
                <c:pt idx="0">
                  <c:v>Total Incr. NRx from Voucher DOTs</c:v>
                </c:pt>
              </c:strCache>
            </c:strRef>
          </c:tx>
          <c:marker>
            <c:symbol val="none"/>
          </c:marker>
          <c:xVal>
            <c:numRef>
              <c:f>'JANTOT VCH Response Curve'!$C$24:$C$39</c:f>
              <c:numCache>
                <c:formatCode>_("$"* #,##0_);_("$"* \(#,##0\);_("$"* "-"??_);_(@_)</c:formatCode>
                <c:ptCount val="16"/>
                <c:pt idx="0">
                  <c:v>0</c:v>
                </c:pt>
                <c:pt idx="1">
                  <c:v>835363.48228985572</c:v>
                </c:pt>
                <c:pt idx="2">
                  <c:v>1670726.9645797114</c:v>
                </c:pt>
                <c:pt idx="3">
                  <c:v>2506090.446869567</c:v>
                </c:pt>
                <c:pt idx="4">
                  <c:v>3341453.9291594229</c:v>
                </c:pt>
                <c:pt idx="5">
                  <c:v>3804704.7482632622</c:v>
                </c:pt>
                <c:pt idx="6">
                  <c:v>4176817.4114492787</c:v>
                </c:pt>
                <c:pt idx="7">
                  <c:v>5012180.8937391341</c:v>
                </c:pt>
                <c:pt idx="8">
                  <c:v>5847544.3760289904</c:v>
                </c:pt>
                <c:pt idx="9">
                  <c:v>6682907.8583188457</c:v>
                </c:pt>
                <c:pt idx="10">
                  <c:v>7518271.3406087011</c:v>
                </c:pt>
                <c:pt idx="11">
                  <c:v>8353634.8228985574</c:v>
                </c:pt>
                <c:pt idx="12">
                  <c:v>9188998.3051884137</c:v>
                </c:pt>
                <c:pt idx="13">
                  <c:v>10024361.787478268</c:v>
                </c:pt>
                <c:pt idx="14">
                  <c:v>10859725.269768124</c:v>
                </c:pt>
                <c:pt idx="15">
                  <c:v>11695088.752057981</c:v>
                </c:pt>
              </c:numCache>
            </c:numRef>
          </c:xVal>
          <c:yVal>
            <c:numRef>
              <c:f>'JANTOT VCH Response Curve'!$F$24:$F$39</c:f>
              <c:numCache>
                <c:formatCode>#,##0</c:formatCode>
                <c:ptCount val="16"/>
                <c:pt idx="0">
                  <c:v>0</c:v>
                </c:pt>
                <c:pt idx="1">
                  <c:v>2866.9668643539717</c:v>
                </c:pt>
                <c:pt idx="2">
                  <c:v>5733.9816036584616</c:v>
                </c:pt>
                <c:pt idx="3">
                  <c:v>8601.0442179134698</c:v>
                </c:pt>
                <c:pt idx="4">
                  <c:v>11468.154707118996</c:v>
                </c:pt>
                <c:pt idx="5">
                  <c:v>13058.131464823724</c:v>
                </c:pt>
                <c:pt idx="6">
                  <c:v>14335.313071275046</c:v>
                </c:pt>
                <c:pt idx="7">
                  <c:v>17202.519310381605</c:v>
                </c:pt>
                <c:pt idx="8">
                  <c:v>20069.773424438696</c:v>
                </c:pt>
                <c:pt idx="9">
                  <c:v>22937.075413446295</c:v>
                </c:pt>
                <c:pt idx="10">
                  <c:v>25804.425277404414</c:v>
                </c:pt>
                <c:pt idx="11">
                  <c:v>28671.823016313054</c:v>
                </c:pt>
                <c:pt idx="12">
                  <c:v>31539.268630172202</c:v>
                </c:pt>
                <c:pt idx="13">
                  <c:v>34406.762118981882</c:v>
                </c:pt>
                <c:pt idx="14">
                  <c:v>37274.303482742078</c:v>
                </c:pt>
                <c:pt idx="15">
                  <c:v>40141.892721452801</c:v>
                </c:pt>
              </c:numCache>
            </c:numRef>
          </c:yVal>
          <c:smooth val="1"/>
        </c:ser>
        <c:dLbls>
          <c:showLegendKey val="0"/>
          <c:showVal val="0"/>
          <c:showCatName val="0"/>
          <c:showSerName val="0"/>
          <c:showPercent val="0"/>
          <c:showBubbleSize val="0"/>
        </c:dLbls>
        <c:axId val="183233152"/>
        <c:axId val="236405888"/>
      </c:scatterChart>
      <c:valAx>
        <c:axId val="183233152"/>
        <c:scaling>
          <c:orientation val="minMax"/>
          <c:max val="12000000"/>
          <c:min val="0"/>
        </c:scaling>
        <c:delete val="0"/>
        <c:axPos val="b"/>
        <c:title>
          <c:tx>
            <c:rich>
              <a:bodyPr/>
              <a:lstStyle/>
              <a:p>
                <a:pPr>
                  <a:defRPr/>
                </a:pPr>
                <a:r>
                  <a:rPr lang="en-US"/>
                  <a:t>Jantot Yearly (2013) Voucher Spend (in $MM)</a:t>
                </a:r>
              </a:p>
            </c:rich>
          </c:tx>
          <c:layout/>
          <c:overlay val="0"/>
        </c:title>
        <c:numFmt formatCode="_(&quot;$&quot;* #,##0_);_(&quot;$&quot;* \(#,##0\);_(&quot;$&quot;* &quot;-&quot;_);_(@_)" sourceLinked="0"/>
        <c:majorTickMark val="out"/>
        <c:minorTickMark val="none"/>
        <c:tickLblPos val="nextTo"/>
        <c:crossAx val="236405888"/>
        <c:crosses val="autoZero"/>
        <c:crossBetween val="midCat"/>
        <c:majorUnit val="2000000"/>
        <c:dispUnits>
          <c:builtInUnit val="millions"/>
        </c:dispUnits>
      </c:valAx>
      <c:valAx>
        <c:axId val="236405888"/>
        <c:scaling>
          <c:orientation val="minMax"/>
        </c:scaling>
        <c:delete val="0"/>
        <c:axPos val="l"/>
        <c:majorGridlines/>
        <c:title>
          <c:tx>
            <c:rich>
              <a:bodyPr rot="-5400000" vert="horz"/>
              <a:lstStyle/>
              <a:p>
                <a:pPr>
                  <a:defRPr/>
                </a:pPr>
                <a:r>
                  <a:rPr lang="en-US"/>
                  <a:t>Projected and Scaled Incr. NRx ('000)</a:t>
                </a:r>
              </a:p>
            </c:rich>
          </c:tx>
          <c:layout/>
          <c:overlay val="0"/>
        </c:title>
        <c:numFmt formatCode="#,##0" sourceLinked="1"/>
        <c:majorTickMark val="out"/>
        <c:minorTickMark val="none"/>
        <c:tickLblPos val="nextTo"/>
        <c:crossAx val="183233152"/>
        <c:crosses val="autoZero"/>
        <c:crossBetween val="midCat"/>
        <c:dispUnits>
          <c:builtInUnit val="thousands"/>
        </c:dispUnits>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Jantot:-</a:t>
            </a:r>
            <a:r>
              <a:rPr lang="en-US" sz="1000" baseline="0"/>
              <a:t> </a:t>
            </a:r>
            <a:r>
              <a:rPr lang="en-US" sz="1000"/>
              <a:t>Projected and Scaled Incr. NRx (SCALED TO NPA NRx Scale)</a:t>
            </a:r>
          </a:p>
        </c:rich>
      </c:tx>
      <c:layout>
        <c:manualLayout>
          <c:xMode val="edge"/>
          <c:yMode val="edge"/>
          <c:x val="0.1771851851851852"/>
          <c:y val="4.0186575277856892E-2"/>
        </c:manualLayout>
      </c:layout>
      <c:overlay val="0"/>
    </c:title>
    <c:autoTitleDeleted val="0"/>
    <c:plotArea>
      <c:layout/>
      <c:scatterChart>
        <c:scatterStyle val="smoothMarker"/>
        <c:varyColors val="0"/>
        <c:ser>
          <c:idx val="2"/>
          <c:order val="0"/>
          <c:tx>
            <c:strRef>
              <c:f>'JANTOT VCH Response Curve'!$G$23</c:f>
              <c:strCache>
                <c:ptCount val="1"/>
                <c:pt idx="0">
                  <c:v>Projected Incr NRx. As % of NPA NRX </c:v>
                </c:pt>
              </c:strCache>
            </c:strRef>
          </c:tx>
          <c:marker>
            <c:symbol val="none"/>
          </c:marker>
          <c:xVal>
            <c:numRef>
              <c:f>'JANTOT VCH Response Curve'!$C$24:$C$39</c:f>
              <c:numCache>
                <c:formatCode>_("$"* #,##0_);_("$"* \(#,##0\);_("$"* "-"??_);_(@_)</c:formatCode>
                <c:ptCount val="16"/>
                <c:pt idx="0">
                  <c:v>0</c:v>
                </c:pt>
                <c:pt idx="1">
                  <c:v>835363.48228985572</c:v>
                </c:pt>
                <c:pt idx="2">
                  <c:v>1670726.9645797114</c:v>
                </c:pt>
                <c:pt idx="3">
                  <c:v>2506090.446869567</c:v>
                </c:pt>
                <c:pt idx="4">
                  <c:v>3341453.9291594229</c:v>
                </c:pt>
                <c:pt idx="5">
                  <c:v>3804704.7482632622</c:v>
                </c:pt>
                <c:pt idx="6">
                  <c:v>4176817.4114492787</c:v>
                </c:pt>
                <c:pt idx="7">
                  <c:v>5012180.8937391341</c:v>
                </c:pt>
                <c:pt idx="8">
                  <c:v>5847544.3760289904</c:v>
                </c:pt>
                <c:pt idx="9">
                  <c:v>6682907.8583188457</c:v>
                </c:pt>
                <c:pt idx="10">
                  <c:v>7518271.3406087011</c:v>
                </c:pt>
                <c:pt idx="11">
                  <c:v>8353634.8228985574</c:v>
                </c:pt>
                <c:pt idx="12">
                  <c:v>9188998.3051884137</c:v>
                </c:pt>
                <c:pt idx="13">
                  <c:v>10024361.787478268</c:v>
                </c:pt>
                <c:pt idx="14">
                  <c:v>10859725.269768124</c:v>
                </c:pt>
                <c:pt idx="15">
                  <c:v>11695088.752057981</c:v>
                </c:pt>
              </c:numCache>
            </c:numRef>
          </c:xVal>
          <c:yVal>
            <c:numRef>
              <c:f>'JANTOT VCH Response Curve'!$G$24:$G$39</c:f>
              <c:numCache>
                <c:formatCode>0.00%</c:formatCode>
                <c:ptCount val="16"/>
                <c:pt idx="0">
                  <c:v>0</c:v>
                </c:pt>
                <c:pt idx="1">
                  <c:v>5.5507586918760344E-4</c:v>
                </c:pt>
                <c:pt idx="2">
                  <c:v>1.1101610074846972E-3</c:v>
                </c:pt>
                <c:pt idx="3">
                  <c:v>1.6652554148912817E-3</c:v>
                </c:pt>
                <c:pt idx="4">
                  <c:v>2.2203590914073564E-3</c:v>
                </c:pt>
                <c:pt idx="5">
                  <c:v>2.5281958305563841E-3</c:v>
                </c:pt>
                <c:pt idx="6">
                  <c:v>2.7754720370329229E-3</c:v>
                </c:pt>
                <c:pt idx="7">
                  <c:v>3.3305942517679776E-3</c:v>
                </c:pt>
                <c:pt idx="8">
                  <c:v>3.8857257356125258E-3</c:v>
                </c:pt>
                <c:pt idx="9">
                  <c:v>4.4408664885665621E-3</c:v>
                </c:pt>
                <c:pt idx="10">
                  <c:v>4.9960165106300901E-3</c:v>
                </c:pt>
                <c:pt idx="11">
                  <c:v>5.5511758018031085E-3</c:v>
                </c:pt>
                <c:pt idx="12">
                  <c:v>6.1063443620856155E-3</c:v>
                </c:pt>
                <c:pt idx="13">
                  <c:v>6.6615221914776155E-3</c:v>
                </c:pt>
                <c:pt idx="14">
                  <c:v>7.2167092899791049E-3</c:v>
                </c:pt>
                <c:pt idx="15">
                  <c:v>7.7719056575900874E-3</c:v>
                </c:pt>
              </c:numCache>
            </c:numRef>
          </c:yVal>
          <c:smooth val="1"/>
        </c:ser>
        <c:dLbls>
          <c:showLegendKey val="0"/>
          <c:showVal val="0"/>
          <c:showCatName val="0"/>
          <c:showSerName val="0"/>
          <c:showPercent val="0"/>
          <c:showBubbleSize val="0"/>
        </c:dLbls>
        <c:axId val="236451328"/>
        <c:axId val="236978176"/>
      </c:scatterChart>
      <c:valAx>
        <c:axId val="236451328"/>
        <c:scaling>
          <c:orientation val="minMax"/>
          <c:max val="12000000"/>
          <c:min val="0"/>
        </c:scaling>
        <c:delete val="0"/>
        <c:axPos val="b"/>
        <c:title>
          <c:tx>
            <c:rich>
              <a:bodyPr/>
              <a:lstStyle/>
              <a:p>
                <a:pPr>
                  <a:defRPr/>
                </a:pPr>
                <a:r>
                  <a:rPr lang="en-US"/>
                  <a:t>Jantot Yearly (2013) Voucher Spend (in $MM)</a:t>
                </a:r>
              </a:p>
            </c:rich>
          </c:tx>
          <c:layout/>
          <c:overlay val="0"/>
        </c:title>
        <c:numFmt formatCode="_(&quot;$&quot;* #,##0_);_(&quot;$&quot;* \(#,##0\);_(&quot;$&quot;* &quot;-&quot;_);_(@_)" sourceLinked="0"/>
        <c:majorTickMark val="out"/>
        <c:minorTickMark val="none"/>
        <c:tickLblPos val="nextTo"/>
        <c:crossAx val="236978176"/>
        <c:crosses val="autoZero"/>
        <c:crossBetween val="midCat"/>
        <c:majorUnit val="2000000"/>
        <c:dispUnits>
          <c:builtInUnit val="millions"/>
        </c:dispUnits>
      </c:valAx>
      <c:valAx>
        <c:axId val="236978176"/>
        <c:scaling>
          <c:orientation val="minMax"/>
        </c:scaling>
        <c:delete val="0"/>
        <c:axPos val="l"/>
        <c:majorGridlines/>
        <c:title>
          <c:tx>
            <c:rich>
              <a:bodyPr rot="-5400000" vert="horz"/>
              <a:lstStyle/>
              <a:p>
                <a:pPr>
                  <a:defRPr/>
                </a:pPr>
                <a:r>
                  <a:rPr lang="en-US"/>
                  <a:t>Projected and Scaled Incr. NRx (as % of NPA NRx)</a:t>
                </a:r>
              </a:p>
            </c:rich>
          </c:tx>
          <c:layout/>
          <c:overlay val="0"/>
        </c:title>
        <c:numFmt formatCode="0.00%" sourceLinked="1"/>
        <c:majorTickMark val="out"/>
        <c:minorTickMark val="none"/>
        <c:tickLblPos val="nextTo"/>
        <c:crossAx val="23645132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579120</xdr:colOff>
      <xdr:row>22</xdr:row>
      <xdr:rowOff>716280</xdr:rowOff>
    </xdr:from>
    <xdr:to>
      <xdr:col>14</xdr:col>
      <xdr:colOff>251460</xdr:colOff>
      <xdr:row>37</xdr:row>
      <xdr:rowOff>179070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38</xdr:row>
      <xdr:rowOff>76200</xdr:rowOff>
    </xdr:from>
    <xdr:to>
      <xdr:col>14</xdr:col>
      <xdr:colOff>274320</xdr:colOff>
      <xdr:row>53</xdr:row>
      <xdr:rowOff>87630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F11" sqref="F11"/>
    </sheetView>
  </sheetViews>
  <sheetFormatPr defaultRowHeight="14.4" x14ac:dyDescent="0.3"/>
  <cols>
    <col min="1" max="1" width="16.44140625" customWidth="1"/>
    <col min="2" max="2" width="15.33203125" customWidth="1"/>
    <col min="3" max="3" width="12.5546875" customWidth="1"/>
    <col min="4" max="4" width="14.77734375" customWidth="1"/>
    <col min="6" max="6" width="11.109375" bestFit="1" customWidth="1"/>
    <col min="7" max="7" width="10.77734375" customWidth="1"/>
  </cols>
  <sheetData>
    <row r="1" spans="1:8" x14ac:dyDescent="0.3">
      <c r="A1" s="2" t="s">
        <v>20</v>
      </c>
    </row>
    <row r="3" spans="1:8" x14ac:dyDescent="0.3">
      <c r="A3" s="1" t="s">
        <v>10</v>
      </c>
    </row>
    <row r="4" spans="1:8" ht="28.8" x14ac:dyDescent="0.3">
      <c r="A4" s="5" t="s">
        <v>0</v>
      </c>
      <c r="B4" s="5" t="s">
        <v>1</v>
      </c>
      <c r="C4" s="5" t="s">
        <v>3</v>
      </c>
      <c r="D4" s="5" t="s">
        <v>2</v>
      </c>
    </row>
    <row r="5" spans="1:8" ht="43.2" x14ac:dyDescent="0.3">
      <c r="A5" s="6" t="s">
        <v>4</v>
      </c>
      <c r="B5" s="6" t="s">
        <v>5</v>
      </c>
      <c r="C5" s="7">
        <v>3375274</v>
      </c>
      <c r="D5" s="8" t="s">
        <v>9</v>
      </c>
    </row>
    <row r="6" spans="1:8" ht="28.8" x14ac:dyDescent="0.3">
      <c r="A6" s="6" t="s">
        <v>4</v>
      </c>
      <c r="B6" s="6" t="s">
        <v>6</v>
      </c>
      <c r="C6" s="7">
        <v>429442</v>
      </c>
      <c r="D6" s="8" t="s">
        <v>7</v>
      </c>
    </row>
    <row r="7" spans="1:8" x14ac:dyDescent="0.3">
      <c r="A7" s="70" t="s">
        <v>8</v>
      </c>
      <c r="B7" s="70"/>
      <c r="C7" s="9">
        <f>SUM(C5:C6)</f>
        <v>3804716</v>
      </c>
      <c r="D7" s="8"/>
    </row>
    <row r="9" spans="1:8" x14ac:dyDescent="0.3">
      <c r="A9" s="1" t="s">
        <v>11</v>
      </c>
    </row>
    <row r="10" spans="1:8" ht="86.4" x14ac:dyDescent="0.3">
      <c r="A10" s="10" t="s">
        <v>12</v>
      </c>
      <c r="B10" s="10" t="s">
        <v>13</v>
      </c>
      <c r="C10" s="10" t="s">
        <v>14</v>
      </c>
      <c r="D10" s="10" t="s">
        <v>15</v>
      </c>
      <c r="E10" s="10" t="s">
        <v>18</v>
      </c>
      <c r="F10" s="10" t="s">
        <v>19</v>
      </c>
      <c r="G10" s="10" t="s">
        <v>52</v>
      </c>
      <c r="H10" s="10" t="s">
        <v>62</v>
      </c>
    </row>
    <row r="11" spans="1:8" x14ac:dyDescent="0.3">
      <c r="A11" s="8" t="s">
        <v>16</v>
      </c>
      <c r="B11" s="11">
        <v>196269</v>
      </c>
      <c r="C11" s="7">
        <v>23788485</v>
      </c>
      <c r="D11" s="11">
        <v>3330388</v>
      </c>
      <c r="E11" s="12">
        <v>261.14999999999998</v>
      </c>
      <c r="F11" s="13">
        <f>C11/E11</f>
        <v>91091.269385410691</v>
      </c>
      <c r="G11" s="13">
        <f>F11*30</f>
        <v>2732738.0815623207</v>
      </c>
      <c r="H11" s="14">
        <f>C7/G11</f>
        <v>1.3922724704830929</v>
      </c>
    </row>
    <row r="12" spans="1:8" x14ac:dyDescent="0.3">
      <c r="A12" s="8" t="s">
        <v>17</v>
      </c>
      <c r="B12" s="7">
        <v>3090772</v>
      </c>
      <c r="C12" s="7">
        <v>35162234</v>
      </c>
      <c r="D12" s="7">
        <v>0</v>
      </c>
    </row>
    <row r="14" spans="1:8" ht="43.2" x14ac:dyDescent="0.3">
      <c r="C14" s="4" t="s">
        <v>21</v>
      </c>
      <c r="D14" s="15">
        <f>D11/C11</f>
        <v>0.14000000420371453</v>
      </c>
      <c r="E14" t="s">
        <v>22</v>
      </c>
    </row>
  </sheetData>
  <mergeCells count="1">
    <mergeCell ref="A7:B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V49"/>
  <sheetViews>
    <sheetView tabSelected="1" workbookViewId="0"/>
  </sheetViews>
  <sheetFormatPr defaultRowHeight="14.4" x14ac:dyDescent="0.3"/>
  <cols>
    <col min="1" max="1" width="12.109375" customWidth="1"/>
    <col min="2" max="2" width="12.21875" customWidth="1"/>
    <col min="3" max="3" width="15.33203125" customWidth="1"/>
    <col min="4" max="4" width="10.5546875" bestFit="1" customWidth="1"/>
    <col min="5" max="5" width="12" customWidth="1"/>
    <col min="6" max="6" width="11.44140625" customWidth="1"/>
    <col min="7" max="7" width="9.21875" customWidth="1"/>
    <col min="8" max="8" width="9.6640625" customWidth="1"/>
    <col min="10" max="10" width="15.109375" customWidth="1"/>
    <col min="12" max="12" width="10.88671875" customWidth="1"/>
    <col min="18" max="18" width="23.5546875" customWidth="1"/>
    <col min="19" max="19" width="14.109375" customWidth="1"/>
  </cols>
  <sheetData>
    <row r="1" spans="1:16" x14ac:dyDescent="0.3">
      <c r="A1" s="2" t="s">
        <v>23</v>
      </c>
    </row>
    <row r="2" spans="1:16" x14ac:dyDescent="0.3">
      <c r="A2" t="s">
        <v>24</v>
      </c>
    </row>
    <row r="3" spans="1:16" s="69" customFormat="1" x14ac:dyDescent="0.3">
      <c r="A3" s="69" t="s">
        <v>70</v>
      </c>
    </row>
    <row r="4" spans="1:16" s="94" customFormat="1" x14ac:dyDescent="0.3">
      <c r="A4" s="94" t="s">
        <v>99</v>
      </c>
    </row>
    <row r="6" spans="1:16" x14ac:dyDescent="0.3">
      <c r="A6" s="58" t="s">
        <v>50</v>
      </c>
      <c r="B6" s="30"/>
      <c r="C6" s="30"/>
      <c r="D6" s="30"/>
      <c r="E6" s="30"/>
      <c r="F6" s="30"/>
      <c r="G6" s="30"/>
      <c r="H6" s="30"/>
      <c r="I6" s="30"/>
      <c r="J6" s="30"/>
      <c r="K6" s="30"/>
      <c r="L6" s="30"/>
      <c r="M6" s="30"/>
      <c r="N6" s="30"/>
      <c r="O6" s="30"/>
      <c r="P6" s="30"/>
    </row>
    <row r="7" spans="1:16" ht="27.6" x14ac:dyDescent="0.3">
      <c r="A7" s="43" t="s">
        <v>25</v>
      </c>
      <c r="B7" s="43" t="s">
        <v>26</v>
      </c>
      <c r="C7" s="43" t="s">
        <v>27</v>
      </c>
      <c r="D7" s="43" t="s">
        <v>28</v>
      </c>
      <c r="E7" s="43" t="s">
        <v>29</v>
      </c>
      <c r="F7" s="43" t="s">
        <v>30</v>
      </c>
      <c r="G7" s="43" t="s">
        <v>31</v>
      </c>
      <c r="H7" s="43" t="s">
        <v>32</v>
      </c>
      <c r="I7" s="43" t="s">
        <v>33</v>
      </c>
      <c r="J7" s="43" t="s">
        <v>34</v>
      </c>
      <c r="K7" s="43" t="s">
        <v>35</v>
      </c>
      <c r="L7" s="42" t="s">
        <v>36</v>
      </c>
      <c r="M7" s="43" t="s">
        <v>37</v>
      </c>
      <c r="N7" s="43" t="s">
        <v>38</v>
      </c>
    </row>
    <row r="8" spans="1:16" x14ac:dyDescent="0.3">
      <c r="A8" s="31" t="s">
        <v>39</v>
      </c>
      <c r="B8" s="31" t="s">
        <v>40</v>
      </c>
      <c r="C8" s="32">
        <v>2.4795436854908446</v>
      </c>
      <c r="D8" s="32">
        <v>7.0364094226938026E-2</v>
      </c>
      <c r="E8" s="33">
        <v>35.238763644051602</v>
      </c>
      <c r="F8" s="33">
        <v>1.0121773498409603E-270</v>
      </c>
      <c r="G8" s="34">
        <v>0</v>
      </c>
      <c r="H8" s="32">
        <v>2.3638042148001737</v>
      </c>
      <c r="I8" s="32">
        <v>2.5952831561815155</v>
      </c>
      <c r="J8" s="35"/>
      <c r="K8" s="35"/>
      <c r="L8" s="41">
        <v>3267035</v>
      </c>
      <c r="M8" s="41">
        <v>128401</v>
      </c>
      <c r="N8" s="44">
        <v>25.44</v>
      </c>
    </row>
    <row r="9" spans="1:16" x14ac:dyDescent="0.3">
      <c r="A9" s="31" t="s">
        <v>39</v>
      </c>
      <c r="B9" s="31" t="s">
        <v>41</v>
      </c>
      <c r="C9" s="32">
        <v>-0.15426552914516262</v>
      </c>
      <c r="D9" s="32">
        <v>1.888475852163013E-3</v>
      </c>
      <c r="E9" s="33">
        <v>-81.687848414090524</v>
      </c>
      <c r="F9" s="33">
        <v>0</v>
      </c>
      <c r="G9" s="34">
        <v>2.2384922801456679</v>
      </c>
      <c r="H9" s="32">
        <v>-0.1573718179127907</v>
      </c>
      <c r="I9" s="32">
        <v>-0.15115924037753453</v>
      </c>
      <c r="J9" s="35">
        <v>2819318.6280000061</v>
      </c>
      <c r="K9" s="35">
        <v>128401</v>
      </c>
      <c r="L9" s="57"/>
      <c r="M9" s="30"/>
      <c r="N9" s="30"/>
    </row>
    <row r="10" spans="1:16" x14ac:dyDescent="0.3">
      <c r="A10" s="31" t="s">
        <v>39</v>
      </c>
      <c r="B10" s="31" t="s">
        <v>42</v>
      </c>
      <c r="C10" s="32">
        <v>8.8084832970519774E-3</v>
      </c>
      <c r="D10" s="32">
        <v>2.4583658743837912E-4</v>
      </c>
      <c r="E10" s="33">
        <v>35.830644204902548</v>
      </c>
      <c r="F10" s="33">
        <v>8.9713367785418939E-280</v>
      </c>
      <c r="G10" s="34">
        <v>2.014765277988757</v>
      </c>
      <c r="H10" s="32">
        <v>8.4041151769316171E-3</v>
      </c>
      <c r="I10" s="32">
        <v>9.2128514171723377E-3</v>
      </c>
      <c r="J10" s="35">
        <v>34453515.599999972</v>
      </c>
      <c r="K10" s="35">
        <v>128401</v>
      </c>
      <c r="L10" s="57"/>
      <c r="M10" s="30"/>
      <c r="N10" s="30"/>
    </row>
    <row r="11" spans="1:16" x14ac:dyDescent="0.3">
      <c r="A11" s="31" t="s">
        <v>39</v>
      </c>
      <c r="B11" s="31" t="s">
        <v>43</v>
      </c>
      <c r="C11" s="32">
        <v>8.840996562311676E-2</v>
      </c>
      <c r="D11" s="32">
        <v>1.1396134404364931E-2</v>
      </c>
      <c r="E11" s="33">
        <v>7.7578907448875034</v>
      </c>
      <c r="F11" s="33">
        <v>8.6984738476734224E-15</v>
      </c>
      <c r="G11" s="34">
        <v>1.380569037902609</v>
      </c>
      <c r="H11" s="32">
        <v>6.9664857363398891E-2</v>
      </c>
      <c r="I11" s="32">
        <v>0.10715507388283463</v>
      </c>
      <c r="J11" s="35">
        <v>319695</v>
      </c>
      <c r="K11" s="35">
        <v>128401</v>
      </c>
      <c r="L11" s="57"/>
      <c r="M11" s="30"/>
      <c r="N11" s="30"/>
    </row>
    <row r="12" spans="1:16" x14ac:dyDescent="0.3">
      <c r="A12" s="31" t="s">
        <v>39</v>
      </c>
      <c r="B12" s="31" t="s">
        <v>44</v>
      </c>
      <c r="C12" s="32">
        <v>0.74707690464529064</v>
      </c>
      <c r="D12" s="32">
        <v>0.25428381367193342</v>
      </c>
      <c r="E12" s="33">
        <v>2.9379648427372524</v>
      </c>
      <c r="F12" s="33">
        <v>3.3043320499497172E-3</v>
      </c>
      <c r="G12" s="34">
        <v>1.0168995273371824</v>
      </c>
      <c r="H12" s="32">
        <v>0.32881423356371475</v>
      </c>
      <c r="I12" s="32">
        <v>1.1653395757268665</v>
      </c>
      <c r="J12" s="35">
        <v>3042</v>
      </c>
      <c r="K12" s="35">
        <v>128401</v>
      </c>
      <c r="L12" s="60" t="s">
        <v>45</v>
      </c>
      <c r="M12" s="30"/>
      <c r="N12" s="30"/>
    </row>
    <row r="13" spans="1:16" x14ac:dyDescent="0.3">
      <c r="A13" s="45" t="s">
        <v>39</v>
      </c>
      <c r="B13" s="45" t="s">
        <v>46</v>
      </c>
      <c r="C13" s="46">
        <v>2.0913662005768899E-2</v>
      </c>
      <c r="D13" s="46">
        <v>6.861978008893049E-3</v>
      </c>
      <c r="E13" s="47">
        <v>3.047759986794627</v>
      </c>
      <c r="F13" s="33">
        <v>2.3060083761813578E-3</v>
      </c>
      <c r="G13" s="34">
        <v>8.0297812576536742</v>
      </c>
      <c r="H13" s="32">
        <v>9.6266311505311449E-3</v>
      </c>
      <c r="I13" s="32">
        <v>3.2200692861006651E-2</v>
      </c>
      <c r="J13" s="35">
        <v>1847207</v>
      </c>
      <c r="K13" s="35">
        <v>128401</v>
      </c>
      <c r="L13" s="60">
        <v>14.38623530969385</v>
      </c>
      <c r="M13" s="30"/>
      <c r="N13" s="30"/>
    </row>
    <row r="14" spans="1:16" x14ac:dyDescent="0.3">
      <c r="A14" s="45" t="s">
        <v>39</v>
      </c>
      <c r="B14" s="45" t="s">
        <v>47</v>
      </c>
      <c r="C14" s="46">
        <v>-2.207954909814375E-4</v>
      </c>
      <c r="D14" s="46">
        <v>1.0186265826559089E-4</v>
      </c>
      <c r="E14" s="47">
        <v>-2.167580296262718</v>
      </c>
      <c r="F14" s="33">
        <v>3.0192466070932861E-2</v>
      </c>
      <c r="G14" s="34">
        <v>6.1776183125256994</v>
      </c>
      <c r="H14" s="36">
        <v>-3.8834586280574673E-4</v>
      </c>
      <c r="I14" s="36">
        <v>-5.3245119157128293E-5</v>
      </c>
      <c r="J14" s="35">
        <v>63094089</v>
      </c>
      <c r="K14" s="35">
        <v>128401</v>
      </c>
      <c r="L14" s="60"/>
      <c r="M14" s="30"/>
      <c r="N14" s="30"/>
    </row>
    <row r="15" spans="1:16" x14ac:dyDescent="0.3">
      <c r="A15" s="54" t="s">
        <v>39</v>
      </c>
      <c r="B15" s="54" t="s">
        <v>48</v>
      </c>
      <c r="C15" s="55">
        <v>3.3511075117621204E-3</v>
      </c>
      <c r="D15" s="52">
        <v>1.0805647361065792E-4</v>
      </c>
      <c r="E15" s="53">
        <v>31.012556673250447</v>
      </c>
      <c r="F15" s="56">
        <v>2.1995620421983455E-210</v>
      </c>
      <c r="G15" s="34">
        <v>4.9147253888883764</v>
      </c>
      <c r="H15" s="32">
        <v>3.1733691467934417E-3</v>
      </c>
      <c r="I15" s="32">
        <v>3.5288458767307991E-3</v>
      </c>
      <c r="J15" s="35">
        <v>61082908</v>
      </c>
      <c r="K15" s="35">
        <v>128401</v>
      </c>
      <c r="L15" s="60">
        <v>475.71987757104694</v>
      </c>
      <c r="M15" s="30"/>
      <c r="N15" s="30"/>
    </row>
    <row r="16" spans="1:16" x14ac:dyDescent="0.3">
      <c r="A16" s="48" t="s">
        <v>39</v>
      </c>
      <c r="B16" s="48" t="s">
        <v>49</v>
      </c>
      <c r="C16" s="59">
        <v>7.1094049490819546E-9</v>
      </c>
      <c r="D16" s="49">
        <v>1.4789013656213087E-8</v>
      </c>
      <c r="E16" s="50">
        <v>0.48072204910671557</v>
      </c>
      <c r="F16" s="51">
        <v>0.63071487726562492</v>
      </c>
      <c r="G16" s="37">
        <v>3.1899013078176348</v>
      </c>
      <c r="H16" s="40">
        <v>-1.7216533321177415E-8</v>
      </c>
      <c r="I16" s="40">
        <v>3.1435343219341322E-8</v>
      </c>
      <c r="J16" s="61">
        <v>119198906024</v>
      </c>
      <c r="K16" s="38">
        <v>128401</v>
      </c>
      <c r="L16" s="39"/>
      <c r="M16" s="30"/>
      <c r="N16" s="30"/>
    </row>
    <row r="19" spans="1:22" s="30" customFormat="1" ht="72" x14ac:dyDescent="0.3">
      <c r="A19" s="29" t="s">
        <v>54</v>
      </c>
      <c r="B19" s="29" t="s">
        <v>55</v>
      </c>
      <c r="C19" s="29" t="s">
        <v>56</v>
      </c>
      <c r="D19" s="29" t="s">
        <v>57</v>
      </c>
      <c r="E19" s="29" t="s">
        <v>63</v>
      </c>
      <c r="F19" s="29" t="s">
        <v>19</v>
      </c>
      <c r="G19" s="29" t="s">
        <v>61</v>
      </c>
      <c r="H19" s="29" t="s">
        <v>65</v>
      </c>
      <c r="I19" s="66" t="s">
        <v>66</v>
      </c>
      <c r="J19" s="66" t="s">
        <v>67</v>
      </c>
    </row>
    <row r="20" spans="1:22" s="30" customFormat="1" x14ac:dyDescent="0.3">
      <c r="A20" s="8">
        <v>128401</v>
      </c>
      <c r="B20" s="26">
        <v>61082908</v>
      </c>
      <c r="C20" s="26">
        <v>72525068</v>
      </c>
      <c r="D20" s="25">
        <f>B20/C20</f>
        <v>0.84223165430193048</v>
      </c>
      <c r="E20" s="7">
        <v>3804716</v>
      </c>
      <c r="F20" s="23">
        <v>91091.269385410691</v>
      </c>
      <c r="G20" s="78">
        <f>E20/(F20*30)</f>
        <v>1.3922724704830929</v>
      </c>
      <c r="H20" s="7">
        <f>E20/F29</f>
        <v>291.36756742335041</v>
      </c>
      <c r="I20" s="63">
        <v>5165000</v>
      </c>
      <c r="J20" s="68">
        <v>3622354</v>
      </c>
    </row>
    <row r="21" spans="1:22" s="30" customFormat="1" ht="55.2" x14ac:dyDescent="0.3">
      <c r="C21" s="71" t="s">
        <v>71</v>
      </c>
      <c r="D21" s="72">
        <f>C20/B20</f>
        <v>1.1873217954849169</v>
      </c>
      <c r="J21" s="72">
        <f>I20/J20</f>
        <v>1.425868371782548</v>
      </c>
      <c r="K21" s="67" t="s">
        <v>68</v>
      </c>
    </row>
    <row r="22" spans="1:22" s="62" customFormat="1" x14ac:dyDescent="0.3">
      <c r="Q22" s="62" t="s">
        <v>73</v>
      </c>
    </row>
    <row r="23" spans="1:22" ht="57.6" x14ac:dyDescent="0.3">
      <c r="A23" s="29" t="s">
        <v>51</v>
      </c>
      <c r="B23" s="29" t="s">
        <v>53</v>
      </c>
      <c r="C23" s="27" t="s">
        <v>64</v>
      </c>
      <c r="D23" s="29" t="s">
        <v>59</v>
      </c>
      <c r="E23" s="29" t="s">
        <v>58</v>
      </c>
      <c r="F23" s="27" t="s">
        <v>60</v>
      </c>
      <c r="G23" s="66" t="s">
        <v>69</v>
      </c>
      <c r="Q23" t="s">
        <v>74</v>
      </c>
    </row>
    <row r="24" spans="1:22" ht="14.4" customHeight="1" x14ac:dyDescent="0.3">
      <c r="A24" s="3">
        <v>0</v>
      </c>
      <c r="B24" s="3">
        <f>A24*30</f>
        <v>0</v>
      </c>
      <c r="C24" s="24">
        <f>B24*$G$20</f>
        <v>0</v>
      </c>
      <c r="D24" s="17">
        <f t="shared" ref="D24:D39" si="0">B24*$D$20/$A$20</f>
        <v>0</v>
      </c>
      <c r="E24" s="18">
        <f>($C$15*D24)+($C$16*D24*D24)</f>
        <v>0</v>
      </c>
      <c r="F24" s="28">
        <f>((E24*$A$20)/$D$20)*$J$21</f>
        <v>0</v>
      </c>
      <c r="G24" s="65">
        <f>F24/$I$20</f>
        <v>0</v>
      </c>
      <c r="Q24" s="88" t="s">
        <v>76</v>
      </c>
      <c r="R24" s="87"/>
      <c r="S24" s="87"/>
    </row>
    <row r="25" spans="1:22" ht="14.4" customHeight="1" x14ac:dyDescent="0.3">
      <c r="A25" s="3">
        <v>20000</v>
      </c>
      <c r="B25" s="3">
        <f t="shared" ref="B25:B39" si="1">A25*30</f>
        <v>600000</v>
      </c>
      <c r="C25" s="24">
        <f t="shared" ref="C25:C39" si="2">B25*$G$20</f>
        <v>835363.48228985572</v>
      </c>
      <c r="D25" s="17">
        <f t="shared" si="0"/>
        <v>3.9356312846563366</v>
      </c>
      <c r="E25" s="18">
        <f t="shared" ref="E25:E39" si="3">($C$15*D25)+($C$16*D25*D25)</f>
        <v>1.3188833680487554E-2</v>
      </c>
      <c r="F25" s="28">
        <f t="shared" ref="F25:F39" si="4">((E25*$A$20)/$D$20)*$J$21</f>
        <v>2866.9668643539717</v>
      </c>
      <c r="G25" s="65">
        <f t="shared" ref="G25:G39" si="5">F25/$I$20</f>
        <v>5.5507586918760344E-4</v>
      </c>
      <c r="Q25" s="88" t="s">
        <v>75</v>
      </c>
      <c r="R25" s="87"/>
      <c r="S25" s="87"/>
    </row>
    <row r="26" spans="1:22" ht="14.4" customHeight="1" x14ac:dyDescent="0.3">
      <c r="A26" s="3">
        <v>40000</v>
      </c>
      <c r="B26" s="3">
        <f t="shared" si="1"/>
        <v>1200000</v>
      </c>
      <c r="C26" s="24">
        <f t="shared" si="2"/>
        <v>1670726.9645797114</v>
      </c>
      <c r="D26" s="17">
        <f t="shared" si="0"/>
        <v>7.8712625693126732</v>
      </c>
      <c r="E26" s="18">
        <f t="shared" si="3"/>
        <v>2.6377887598874505E-2</v>
      </c>
      <c r="F26" s="28">
        <f t="shared" si="4"/>
        <v>5733.9816036584616</v>
      </c>
      <c r="G26" s="65">
        <f t="shared" si="5"/>
        <v>1.1101610074846972E-3</v>
      </c>
      <c r="Q26" s="88" t="s">
        <v>77</v>
      </c>
      <c r="R26" s="87"/>
      <c r="S26" s="87"/>
    </row>
    <row r="27" spans="1:22" ht="14.4" customHeight="1" x14ac:dyDescent="0.3">
      <c r="A27" s="3">
        <v>60000</v>
      </c>
      <c r="B27" s="3">
        <f t="shared" si="1"/>
        <v>1800000</v>
      </c>
      <c r="C27" s="24">
        <f t="shared" si="2"/>
        <v>2506090.446869567</v>
      </c>
      <c r="D27" s="17">
        <f t="shared" si="0"/>
        <v>11.80689385396901</v>
      </c>
      <c r="E27" s="18">
        <f t="shared" si="3"/>
        <v>3.9567161755160854E-2</v>
      </c>
      <c r="F27" s="28">
        <f t="shared" si="4"/>
        <v>8601.0442179134698</v>
      </c>
      <c r="G27" s="65">
        <f t="shared" si="5"/>
        <v>1.6652554148912817E-3</v>
      </c>
      <c r="Q27" s="88" t="s">
        <v>78</v>
      </c>
      <c r="R27" s="87"/>
      <c r="S27" s="87"/>
    </row>
    <row r="28" spans="1:22" x14ac:dyDescent="0.3">
      <c r="A28" s="3">
        <v>80000</v>
      </c>
      <c r="B28" s="3">
        <f t="shared" si="1"/>
        <v>2400000</v>
      </c>
      <c r="C28" s="24">
        <f t="shared" si="2"/>
        <v>3341453.9291594229</v>
      </c>
      <c r="D28" s="17">
        <f t="shared" si="0"/>
        <v>15.742525138625346</v>
      </c>
      <c r="E28" s="18">
        <f t="shared" si="3"/>
        <v>5.2756656149346604E-2</v>
      </c>
      <c r="F28" s="28">
        <f t="shared" si="4"/>
        <v>11468.154707118996</v>
      </c>
      <c r="G28" s="65">
        <f t="shared" si="5"/>
        <v>2.2203590914073564E-3</v>
      </c>
      <c r="Q28" s="88" t="s">
        <v>79</v>
      </c>
      <c r="R28" s="87"/>
      <c r="S28" s="87"/>
    </row>
    <row r="29" spans="1:22" ht="15.6" customHeight="1" x14ac:dyDescent="0.3">
      <c r="A29" s="20">
        <v>91091</v>
      </c>
      <c r="B29" s="20">
        <f t="shared" si="1"/>
        <v>2732730</v>
      </c>
      <c r="C29" s="21">
        <f t="shared" si="2"/>
        <v>3804704.7482632622</v>
      </c>
      <c r="D29" s="16">
        <f>B29*$D$20/$A$20</f>
        <v>17.92502946753152</v>
      </c>
      <c r="E29" s="19">
        <f t="shared" si="3"/>
        <v>6.0070985196513244E-2</v>
      </c>
      <c r="F29" s="22">
        <f>((E29*$A$20)/$D$20)*$J$21</f>
        <v>13058.131464823724</v>
      </c>
      <c r="G29" s="64">
        <f t="shared" si="5"/>
        <v>2.5281958305563841E-3</v>
      </c>
      <c r="Q29" s="73" t="s">
        <v>81</v>
      </c>
      <c r="R29" s="79"/>
      <c r="S29" s="80"/>
    </row>
    <row r="30" spans="1:22" ht="21.6" customHeight="1" x14ac:dyDescent="0.3">
      <c r="A30" s="3">
        <v>100000</v>
      </c>
      <c r="B30" s="3">
        <f t="shared" si="1"/>
        <v>3000000</v>
      </c>
      <c r="C30" s="24">
        <f t="shared" si="2"/>
        <v>4176817.4114492787</v>
      </c>
      <c r="D30" s="17">
        <f t="shared" si="0"/>
        <v>19.678156423281685</v>
      </c>
      <c r="E30" s="18">
        <f t="shared" si="3"/>
        <v>6.5946370781431757E-2</v>
      </c>
      <c r="F30" s="28">
        <f t="shared" si="4"/>
        <v>14335.313071275046</v>
      </c>
      <c r="G30" s="65">
        <f t="shared" si="5"/>
        <v>2.7754720370329229E-3</v>
      </c>
      <c r="Q30" s="77" t="s">
        <v>84</v>
      </c>
      <c r="R30" s="76"/>
      <c r="S30" s="75"/>
    </row>
    <row r="31" spans="1:22" ht="48.6" customHeight="1" x14ac:dyDescent="0.3">
      <c r="A31" s="3">
        <v>120000</v>
      </c>
      <c r="B31" s="3">
        <f t="shared" si="1"/>
        <v>3600000</v>
      </c>
      <c r="C31" s="24">
        <f t="shared" si="2"/>
        <v>5012180.8937391341</v>
      </c>
      <c r="D31" s="17">
        <f t="shared" si="0"/>
        <v>23.61378770793802</v>
      </c>
      <c r="E31" s="18">
        <f t="shared" si="3"/>
        <v>7.91363056514163E-2</v>
      </c>
      <c r="F31" s="28">
        <f t="shared" si="4"/>
        <v>17202.519310381605</v>
      </c>
      <c r="G31" s="65">
        <f t="shared" si="5"/>
        <v>3.3305942517679776E-3</v>
      </c>
      <c r="Q31" s="74" t="s">
        <v>85</v>
      </c>
      <c r="R31" s="86"/>
      <c r="S31" s="83">
        <f>($J$21*$C$15)/$G$20</f>
        <v>3.4319706183708132E-3</v>
      </c>
    </row>
    <row r="32" spans="1:22" ht="59.4" customHeight="1" x14ac:dyDescent="0.3">
      <c r="A32" s="3">
        <v>140000</v>
      </c>
      <c r="B32" s="3">
        <f t="shared" si="1"/>
        <v>4200000</v>
      </c>
      <c r="C32" s="24">
        <f t="shared" si="2"/>
        <v>5847544.3760289904</v>
      </c>
      <c r="D32" s="17">
        <f t="shared" si="0"/>
        <v>27.549418992594358</v>
      </c>
      <c r="E32" s="18">
        <f t="shared" si="3"/>
        <v>9.2326460759300261E-2</v>
      </c>
      <c r="F32" s="28">
        <f t="shared" si="4"/>
        <v>20069.773424438696</v>
      </c>
      <c r="G32" s="65">
        <f t="shared" si="5"/>
        <v>3.8857257356125258E-3</v>
      </c>
      <c r="Q32" s="74" t="s">
        <v>86</v>
      </c>
      <c r="R32" s="86"/>
      <c r="S32" s="89">
        <f>($J$21*$C$16) / (($G$20^2)*$A$20*$D$21)</f>
        <v>3.4302626130901291E-14</v>
      </c>
      <c r="V32" s="88"/>
    </row>
    <row r="33" spans="1:20" x14ac:dyDescent="0.3">
      <c r="A33" s="3">
        <v>160000</v>
      </c>
      <c r="B33" s="3">
        <f t="shared" si="1"/>
        <v>4800000</v>
      </c>
      <c r="C33" s="24">
        <f t="shared" si="2"/>
        <v>6682907.8583188457</v>
      </c>
      <c r="D33" s="17">
        <f t="shared" si="0"/>
        <v>31.485050277250693</v>
      </c>
      <c r="E33" s="18">
        <f t="shared" si="3"/>
        <v>0.1055168361050836</v>
      </c>
      <c r="F33" s="28">
        <f t="shared" si="4"/>
        <v>22937.075413446295</v>
      </c>
      <c r="G33" s="65">
        <f t="shared" si="5"/>
        <v>4.4408664885665621E-3</v>
      </c>
      <c r="Q33" s="87" t="s">
        <v>80</v>
      </c>
      <c r="R33" s="87"/>
      <c r="S33" s="87"/>
    </row>
    <row r="34" spans="1:20" x14ac:dyDescent="0.3">
      <c r="A34" s="3">
        <v>180000</v>
      </c>
      <c r="B34" s="3">
        <f t="shared" si="1"/>
        <v>5400000</v>
      </c>
      <c r="C34" s="24">
        <f t="shared" si="2"/>
        <v>7518271.3406087011</v>
      </c>
      <c r="D34" s="17">
        <f t="shared" si="0"/>
        <v>35.420681561907031</v>
      </c>
      <c r="E34" s="18">
        <f t="shared" si="3"/>
        <v>0.11870743168876634</v>
      </c>
      <c r="F34" s="28">
        <f t="shared" si="4"/>
        <v>25804.425277404414</v>
      </c>
      <c r="G34" s="65">
        <f t="shared" si="5"/>
        <v>4.9960165106300901E-3</v>
      </c>
      <c r="Q34" s="87"/>
      <c r="R34" s="87"/>
      <c r="S34" s="87"/>
    </row>
    <row r="35" spans="1:20" x14ac:dyDescent="0.3">
      <c r="A35" s="3">
        <v>200000</v>
      </c>
      <c r="B35" s="3">
        <f t="shared" si="1"/>
        <v>6000000</v>
      </c>
      <c r="C35" s="24">
        <f t="shared" si="2"/>
        <v>8353634.8228985574</v>
      </c>
      <c r="D35" s="17">
        <f t="shared" si="0"/>
        <v>39.35631284656337</v>
      </c>
      <c r="E35" s="18">
        <f t="shared" si="3"/>
        <v>0.13189824751034848</v>
      </c>
      <c r="F35" s="28">
        <f t="shared" si="4"/>
        <v>28671.823016313054</v>
      </c>
      <c r="G35" s="65">
        <f t="shared" si="5"/>
        <v>5.5511758018031085E-3</v>
      </c>
      <c r="Q35" s="87"/>
      <c r="R35" s="85" t="s">
        <v>72</v>
      </c>
      <c r="S35" s="90">
        <f>S31*C29+S32*C29*C29</f>
        <v>13058.13146482372</v>
      </c>
    </row>
    <row r="36" spans="1:20" x14ac:dyDescent="0.3">
      <c r="A36" s="3">
        <v>220000</v>
      </c>
      <c r="B36" s="3">
        <f t="shared" si="1"/>
        <v>6600000</v>
      </c>
      <c r="C36" s="24">
        <f t="shared" si="2"/>
        <v>9188998.3051884137</v>
      </c>
      <c r="D36" s="17">
        <f t="shared" si="0"/>
        <v>43.291944131219701</v>
      </c>
      <c r="E36" s="18">
        <f t="shared" si="3"/>
        <v>0.14508928356983</v>
      </c>
      <c r="F36" s="28">
        <f t="shared" si="4"/>
        <v>31539.268630172202</v>
      </c>
      <c r="G36" s="65">
        <f t="shared" si="5"/>
        <v>6.1063443620856155E-3</v>
      </c>
    </row>
    <row r="37" spans="1:20" x14ac:dyDescent="0.3">
      <c r="A37" s="3">
        <v>240000</v>
      </c>
      <c r="B37" s="3">
        <f t="shared" si="1"/>
        <v>7200000</v>
      </c>
      <c r="C37" s="24">
        <f t="shared" si="2"/>
        <v>10024361.787478268</v>
      </c>
      <c r="D37" s="17">
        <f t="shared" si="0"/>
        <v>47.227575415876039</v>
      </c>
      <c r="E37" s="18">
        <f t="shared" si="3"/>
        <v>0.15828053986721094</v>
      </c>
      <c r="F37" s="28">
        <f t="shared" si="4"/>
        <v>34406.762118981882</v>
      </c>
      <c r="G37" s="65">
        <f t="shared" si="5"/>
        <v>6.6615221914776155E-3</v>
      </c>
      <c r="Q37" t="s">
        <v>82</v>
      </c>
    </row>
    <row r="38" spans="1:20" x14ac:dyDescent="0.3">
      <c r="A38" s="3">
        <v>260000</v>
      </c>
      <c r="B38" s="3">
        <f t="shared" si="1"/>
        <v>7800000</v>
      </c>
      <c r="C38" s="24">
        <f t="shared" si="2"/>
        <v>10859725.269768124</v>
      </c>
      <c r="D38" s="17">
        <f t="shared" si="0"/>
        <v>51.163206700532378</v>
      </c>
      <c r="E38" s="18">
        <f t="shared" si="3"/>
        <v>0.1714720164024913</v>
      </c>
      <c r="F38" s="28">
        <f t="shared" si="4"/>
        <v>37274.303482742078</v>
      </c>
      <c r="G38" s="65">
        <f t="shared" si="5"/>
        <v>7.2167092899791049E-3</v>
      </c>
      <c r="Q38" t="s">
        <v>83</v>
      </c>
    </row>
    <row r="39" spans="1:20" x14ac:dyDescent="0.3">
      <c r="A39" s="3">
        <v>280000</v>
      </c>
      <c r="B39" s="3">
        <f t="shared" si="1"/>
        <v>8400000</v>
      </c>
      <c r="C39" s="24">
        <f t="shared" si="2"/>
        <v>11695088.752057981</v>
      </c>
      <c r="D39" s="17">
        <f t="shared" si="0"/>
        <v>55.098837985188716</v>
      </c>
      <c r="E39" s="18">
        <f t="shared" si="3"/>
        <v>0.18466371317567107</v>
      </c>
      <c r="F39" s="28">
        <f t="shared" si="4"/>
        <v>40141.892721452801</v>
      </c>
      <c r="G39" s="65">
        <f t="shared" si="5"/>
        <v>7.7719056575900874E-3</v>
      </c>
      <c r="Q39" t="s">
        <v>87</v>
      </c>
    </row>
    <row r="40" spans="1:20" x14ac:dyDescent="0.3">
      <c r="Q40" s="81" t="s">
        <v>88</v>
      </c>
    </row>
    <row r="41" spans="1:20" x14ac:dyDescent="0.3">
      <c r="Q41" s="81" t="s">
        <v>89</v>
      </c>
    </row>
    <row r="42" spans="1:20" x14ac:dyDescent="0.3">
      <c r="Q42" s="81" t="s">
        <v>90</v>
      </c>
    </row>
    <row r="45" spans="1:20" x14ac:dyDescent="0.3">
      <c r="R45" s="82" t="s">
        <v>94</v>
      </c>
      <c r="S45" s="91">
        <v>1.8615094382687998E-2</v>
      </c>
      <c r="T45" t="s">
        <v>96</v>
      </c>
    </row>
    <row r="46" spans="1:20" ht="43.2" x14ac:dyDescent="0.3">
      <c r="Q46" s="4" t="s">
        <v>95</v>
      </c>
      <c r="R46" s="93">
        <v>0.25668621996933161</v>
      </c>
      <c r="S46" s="84">
        <v>1.0091848743878766E-12</v>
      </c>
      <c r="T46" t="s">
        <v>97</v>
      </c>
    </row>
    <row r="47" spans="1:20" x14ac:dyDescent="0.3">
      <c r="R47" t="s">
        <v>91</v>
      </c>
      <c r="S47">
        <f>G20/R46</f>
        <v>5.4240249852502362</v>
      </c>
    </row>
    <row r="48" spans="1:20" x14ac:dyDescent="0.3">
      <c r="R48" t="s">
        <v>92</v>
      </c>
      <c r="S48" s="92">
        <f>S45/S47</f>
        <v>3.4319706183708141E-3</v>
      </c>
      <c r="T48" t="s">
        <v>98</v>
      </c>
    </row>
    <row r="49" spans="18:20" x14ac:dyDescent="0.3">
      <c r="R49" t="s">
        <v>93</v>
      </c>
      <c r="S49">
        <f>S46/(S47*S47)</f>
        <v>3.4302626130901291E-14</v>
      </c>
      <c r="T49" t="s">
        <v>98</v>
      </c>
    </row>
  </sheetData>
  <mergeCells count="4">
    <mergeCell ref="Q29:S29"/>
    <mergeCell ref="Q30:S30"/>
    <mergeCell ref="Q31:R31"/>
    <mergeCell ref="Q32:R32"/>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JANTOT VCH Costs and DOT</vt:lpstr>
      <vt:lpstr>JANTOT VCH Response Curve</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2013-04-05T14:54:38Z</dcterms:modified>
</cp:coreProperties>
</file>