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1"/>
  </bookViews>
  <sheets>
    <sheet name="ReadMe" sheetId="5" r:id="rId1"/>
    <sheet name="Inputs" sheetId="1" r:id="rId2"/>
    <sheet name="Adherence" sheetId="2" r:id="rId3"/>
    <sheet name="S1 - $24MM Calculation" sheetId="3" r:id="rId4"/>
    <sheet name="S2 - $30MM Calculation" sheetId="4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I18" i="1" l="1"/>
  <c r="H18" i="1"/>
  <c r="G18" i="1"/>
  <c r="I28" i="1" l="1"/>
  <c r="G25" i="1"/>
  <c r="S11" i="3" l="1"/>
  <c r="S10" i="3"/>
  <c r="C18" i="4"/>
  <c r="C19" i="4"/>
  <c r="C20" i="4"/>
  <c r="C21" i="4"/>
  <c r="C14" i="3"/>
  <c r="C12" i="3"/>
  <c r="V10" i="3"/>
  <c r="C11" i="3"/>
  <c r="C17" i="4" s="1"/>
  <c r="H28" i="1" l="1"/>
  <c r="G28" i="1"/>
  <c r="G14" i="1"/>
  <c r="B36" i="4" l="1"/>
  <c r="B37" i="4"/>
  <c r="B38" i="4"/>
  <c r="N11" i="4"/>
  <c r="M11" i="4"/>
  <c r="L11" i="4"/>
  <c r="K11" i="4"/>
  <c r="J11" i="4"/>
  <c r="I11" i="4"/>
  <c r="H11" i="4"/>
  <c r="G11" i="4"/>
  <c r="F11" i="4"/>
  <c r="E11" i="4"/>
  <c r="D11" i="4"/>
  <c r="C11" i="4"/>
  <c r="O3" i="4"/>
  <c r="O4" i="4"/>
  <c r="O5" i="4"/>
  <c r="D5" i="4"/>
  <c r="E5" i="4"/>
  <c r="F5" i="4"/>
  <c r="G5" i="4"/>
  <c r="H5" i="4"/>
  <c r="C5" i="4"/>
  <c r="C27" i="4" s="1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B25" i="4"/>
  <c r="B26" i="4"/>
  <c r="B27" i="4"/>
  <c r="B14" i="4"/>
  <c r="B15" i="4"/>
  <c r="B16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B21" i="4"/>
  <c r="B32" i="4" s="1"/>
  <c r="B43" i="4" s="1"/>
  <c r="B20" i="4"/>
  <c r="B31" i="4" s="1"/>
  <c r="B42" i="4" s="1"/>
  <c r="B19" i="4"/>
  <c r="B30" i="4" s="1"/>
  <c r="B41" i="4" s="1"/>
  <c r="B18" i="4"/>
  <c r="B29" i="4" s="1"/>
  <c r="B40" i="4" s="1"/>
  <c r="B17" i="4"/>
  <c r="B28" i="4" s="1"/>
  <c r="B39" i="4" s="1"/>
  <c r="O10" i="4"/>
  <c r="H9" i="4"/>
  <c r="G9" i="4"/>
  <c r="G31" i="4" s="1"/>
  <c r="F9" i="4"/>
  <c r="E9" i="4"/>
  <c r="E31" i="4" s="1"/>
  <c r="D9" i="4"/>
  <c r="C9" i="4"/>
  <c r="C31" i="4" s="1"/>
  <c r="O8" i="4"/>
  <c r="O7" i="4"/>
  <c r="O6" i="4"/>
  <c r="H6" i="3"/>
  <c r="G6" i="3"/>
  <c r="F6" i="3"/>
  <c r="E6" i="3"/>
  <c r="D6" i="3"/>
  <c r="C6" i="3"/>
  <c r="N33" i="4" l="1"/>
  <c r="L33" i="4"/>
  <c r="J33" i="4"/>
  <c r="M33" i="4"/>
  <c r="K33" i="4"/>
  <c r="I33" i="4"/>
  <c r="G33" i="4"/>
  <c r="E33" i="4"/>
  <c r="O27" i="4"/>
  <c r="O26" i="4"/>
  <c r="C33" i="4"/>
  <c r="O25" i="4"/>
  <c r="O28" i="4"/>
  <c r="O29" i="4"/>
  <c r="O30" i="4"/>
  <c r="O32" i="4"/>
  <c r="O9" i="4"/>
  <c r="D31" i="4"/>
  <c r="D33" i="4" s="1"/>
  <c r="F31" i="4"/>
  <c r="F33" i="4" s="1"/>
  <c r="H31" i="4"/>
  <c r="H33" i="4" s="1"/>
  <c r="O3" i="3"/>
  <c r="B19" i="3"/>
  <c r="B27" i="3" s="1"/>
  <c r="B12" i="3"/>
  <c r="B20" i="3" s="1"/>
  <c r="B28" i="3" s="1"/>
  <c r="B13" i="3"/>
  <c r="B21" i="3" s="1"/>
  <c r="B29" i="3" s="1"/>
  <c r="B14" i="3"/>
  <c r="B22" i="3" s="1"/>
  <c r="B30" i="3" s="1"/>
  <c r="B15" i="3"/>
  <c r="B23" i="3" s="1"/>
  <c r="B31" i="3" s="1"/>
  <c r="B11" i="3"/>
  <c r="O31" i="4" l="1"/>
  <c r="O11" i="4"/>
  <c r="BA3" i="2"/>
  <c r="AW4" i="2"/>
  <c r="AV4" i="2"/>
  <c r="AW5" i="2" s="1"/>
  <c r="AU4" i="2"/>
  <c r="AV5" i="2" s="1"/>
  <c r="AW6" i="2" s="1"/>
  <c r="AT4" i="2"/>
  <c r="AU5" i="2" s="1"/>
  <c r="AV6" i="2" s="1"/>
  <c r="AW7" i="2" s="1"/>
  <c r="AS4" i="2"/>
  <c r="AT5" i="2" s="1"/>
  <c r="AU6" i="2" s="1"/>
  <c r="AV7" i="2" s="1"/>
  <c r="AW8" i="2" s="1"/>
  <c r="AR4" i="2"/>
  <c r="AS5" i="2" s="1"/>
  <c r="AT6" i="2" s="1"/>
  <c r="AU7" i="2" s="1"/>
  <c r="AV8" i="2" s="1"/>
  <c r="AW9" i="2" s="1"/>
  <c r="AQ4" i="2"/>
  <c r="AR5" i="2" s="1"/>
  <c r="AS6" i="2" s="1"/>
  <c r="AT7" i="2" s="1"/>
  <c r="AU8" i="2" s="1"/>
  <c r="AV9" i="2" s="1"/>
  <c r="AW10" i="2" s="1"/>
  <c r="AP4" i="2"/>
  <c r="AQ5" i="2" s="1"/>
  <c r="AR6" i="2" s="1"/>
  <c r="AS7" i="2" s="1"/>
  <c r="AT8" i="2" s="1"/>
  <c r="AU9" i="2" s="1"/>
  <c r="AV10" i="2" s="1"/>
  <c r="AW11" i="2" s="1"/>
  <c r="AO4" i="2"/>
  <c r="AP5" i="2" s="1"/>
  <c r="AQ6" i="2" s="1"/>
  <c r="AR7" i="2" s="1"/>
  <c r="AS8" i="2" s="1"/>
  <c r="AT9" i="2" s="1"/>
  <c r="AU10" i="2" s="1"/>
  <c r="AV11" i="2" s="1"/>
  <c r="AW12" i="2" s="1"/>
  <c r="AN4" i="2"/>
  <c r="AO5" i="2" s="1"/>
  <c r="AP6" i="2" s="1"/>
  <c r="AQ7" i="2" s="1"/>
  <c r="AR8" i="2" s="1"/>
  <c r="AS9" i="2" s="1"/>
  <c r="AT10" i="2" s="1"/>
  <c r="AU11" i="2" s="1"/>
  <c r="AV12" i="2" s="1"/>
  <c r="AW13" i="2" s="1"/>
  <c r="AM4" i="2"/>
  <c r="AN5" i="2" s="1"/>
  <c r="AO6" i="2" s="1"/>
  <c r="AP7" i="2" s="1"/>
  <c r="AQ8" i="2" s="1"/>
  <c r="AR9" i="2" s="1"/>
  <c r="AS10" i="2" s="1"/>
  <c r="AT11" i="2" s="1"/>
  <c r="AU12" i="2" s="1"/>
  <c r="AV13" i="2" s="1"/>
  <c r="AW14" i="2" s="1"/>
  <c r="O33" i="4" l="1"/>
  <c r="N23" i="3"/>
  <c r="M23" i="3"/>
  <c r="L23" i="3"/>
  <c r="K23" i="3"/>
  <c r="J23" i="3"/>
  <c r="I23" i="3"/>
  <c r="H23" i="3"/>
  <c r="G23" i="3"/>
  <c r="F23" i="3"/>
  <c r="E23" i="3"/>
  <c r="D23" i="3"/>
  <c r="C23" i="3"/>
  <c r="O23" i="3" s="1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24" i="3"/>
  <c r="M24" i="3"/>
  <c r="L24" i="3"/>
  <c r="K24" i="3"/>
  <c r="J24" i="3"/>
  <c r="I24" i="3"/>
  <c r="H24" i="3"/>
  <c r="G24" i="3"/>
  <c r="F24" i="3"/>
  <c r="E24" i="3"/>
  <c r="D24" i="3"/>
  <c r="C24" i="3"/>
  <c r="D8" i="3"/>
  <c r="E8" i="3"/>
  <c r="F8" i="3"/>
  <c r="G8" i="3"/>
  <c r="H8" i="3"/>
  <c r="I8" i="3"/>
  <c r="J8" i="3"/>
  <c r="K8" i="3"/>
  <c r="L8" i="3"/>
  <c r="M8" i="3"/>
  <c r="N8" i="3"/>
  <c r="C8" i="3"/>
  <c r="O4" i="3"/>
  <c r="O5" i="3"/>
  <c r="O6" i="3"/>
  <c r="O7" i="3"/>
  <c r="C3" i="2"/>
  <c r="D4" i="2" s="1"/>
  <c r="E5" i="2" s="1"/>
  <c r="F6" i="2" s="1"/>
  <c r="G7" i="2" s="1"/>
  <c r="H8" i="2" s="1"/>
  <c r="I9" i="2" s="1"/>
  <c r="J10" i="2" s="1"/>
  <c r="K11" i="2" s="1"/>
  <c r="L12" i="2" s="1"/>
  <c r="M13" i="2" s="1"/>
  <c r="N14" i="2" s="1"/>
  <c r="D3" i="2"/>
  <c r="E4" i="2" s="1"/>
  <c r="F5" i="2" s="1"/>
  <c r="G6" i="2" s="1"/>
  <c r="H7" i="2" s="1"/>
  <c r="I8" i="2" s="1"/>
  <c r="J9" i="2" s="1"/>
  <c r="K10" i="2" s="1"/>
  <c r="L11" i="2" s="1"/>
  <c r="M12" i="2" s="1"/>
  <c r="N13" i="2" s="1"/>
  <c r="E3" i="2"/>
  <c r="F4" i="2" s="1"/>
  <c r="G5" i="2" s="1"/>
  <c r="H6" i="2" s="1"/>
  <c r="I7" i="2" s="1"/>
  <c r="J8" i="2" s="1"/>
  <c r="K9" i="2" s="1"/>
  <c r="L10" i="2" s="1"/>
  <c r="M11" i="2" s="1"/>
  <c r="N12" i="2" s="1"/>
  <c r="F3" i="2"/>
  <c r="G4" i="2" s="1"/>
  <c r="H5" i="2" s="1"/>
  <c r="I6" i="2" s="1"/>
  <c r="J7" i="2" s="1"/>
  <c r="K8" i="2" s="1"/>
  <c r="L9" i="2" s="1"/>
  <c r="M10" i="2" s="1"/>
  <c r="N11" i="2" s="1"/>
  <c r="G3" i="2"/>
  <c r="H4" i="2" s="1"/>
  <c r="I5" i="2" s="1"/>
  <c r="J6" i="2" s="1"/>
  <c r="K7" i="2" s="1"/>
  <c r="L8" i="2" s="1"/>
  <c r="M9" i="2" s="1"/>
  <c r="N10" i="2" s="1"/>
  <c r="H3" i="2"/>
  <c r="I4" i="2" s="1"/>
  <c r="J5" i="2" s="1"/>
  <c r="K6" i="2" s="1"/>
  <c r="L7" i="2" s="1"/>
  <c r="M8" i="2" s="1"/>
  <c r="N9" i="2" s="1"/>
  <c r="I3" i="2"/>
  <c r="J4" i="2" s="1"/>
  <c r="K5" i="2" s="1"/>
  <c r="L6" i="2" s="1"/>
  <c r="M7" i="2" s="1"/>
  <c r="N8" i="2" s="1"/>
  <c r="J3" i="2"/>
  <c r="K4" i="2" s="1"/>
  <c r="L5" i="2" s="1"/>
  <c r="M6" i="2" s="1"/>
  <c r="N7" i="2" s="1"/>
  <c r="K3" i="2"/>
  <c r="L4" i="2" s="1"/>
  <c r="M5" i="2" s="1"/>
  <c r="N6" i="2" s="1"/>
  <c r="L3" i="2"/>
  <c r="M4" i="2" s="1"/>
  <c r="N5" i="2" s="1"/>
  <c r="M3" i="2"/>
  <c r="N4" i="2" s="1"/>
  <c r="N3" i="2"/>
  <c r="O3" i="2"/>
  <c r="P4" i="2" s="1"/>
  <c r="Q5" i="2" s="1"/>
  <c r="R6" i="2" s="1"/>
  <c r="S7" i="2" s="1"/>
  <c r="T8" i="2" s="1"/>
  <c r="U9" i="2" s="1"/>
  <c r="V10" i="2" s="1"/>
  <c r="W11" i="2" s="1"/>
  <c r="X12" i="2" s="1"/>
  <c r="Y13" i="2" s="1"/>
  <c r="Z14" i="2" s="1"/>
  <c r="P3" i="2"/>
  <c r="Q4" i="2" s="1"/>
  <c r="R5" i="2" s="1"/>
  <c r="S6" i="2" s="1"/>
  <c r="T7" i="2" s="1"/>
  <c r="U8" i="2" s="1"/>
  <c r="V9" i="2" s="1"/>
  <c r="W10" i="2" s="1"/>
  <c r="X11" i="2" s="1"/>
  <c r="Y12" i="2" s="1"/>
  <c r="Z13" i="2" s="1"/>
  <c r="Q3" i="2"/>
  <c r="R4" i="2" s="1"/>
  <c r="S5" i="2" s="1"/>
  <c r="T6" i="2" s="1"/>
  <c r="U7" i="2" s="1"/>
  <c r="V8" i="2" s="1"/>
  <c r="W9" i="2" s="1"/>
  <c r="X10" i="2" s="1"/>
  <c r="Y11" i="2" s="1"/>
  <c r="Z12" i="2" s="1"/>
  <c r="R3" i="2"/>
  <c r="S4" i="2" s="1"/>
  <c r="T5" i="2" s="1"/>
  <c r="U6" i="2" s="1"/>
  <c r="V7" i="2" s="1"/>
  <c r="W8" i="2" s="1"/>
  <c r="X9" i="2" s="1"/>
  <c r="Y10" i="2" s="1"/>
  <c r="Z11" i="2" s="1"/>
  <c r="S3" i="2"/>
  <c r="T4" i="2" s="1"/>
  <c r="U5" i="2" s="1"/>
  <c r="V6" i="2" s="1"/>
  <c r="W7" i="2" s="1"/>
  <c r="X8" i="2" s="1"/>
  <c r="Y9" i="2" s="1"/>
  <c r="Z10" i="2" s="1"/>
  <c r="T3" i="2"/>
  <c r="U4" i="2" s="1"/>
  <c r="V5" i="2" s="1"/>
  <c r="W6" i="2" s="1"/>
  <c r="X7" i="2" s="1"/>
  <c r="Y8" i="2" s="1"/>
  <c r="Z9" i="2" s="1"/>
  <c r="U3" i="2"/>
  <c r="V4" i="2" s="1"/>
  <c r="W5" i="2" s="1"/>
  <c r="X6" i="2" s="1"/>
  <c r="Y7" i="2" s="1"/>
  <c r="Z8" i="2" s="1"/>
  <c r="V3" i="2"/>
  <c r="W4" i="2" s="1"/>
  <c r="X5" i="2" s="1"/>
  <c r="Y6" i="2" s="1"/>
  <c r="Z7" i="2" s="1"/>
  <c r="W3" i="2"/>
  <c r="X4" i="2" s="1"/>
  <c r="Y5" i="2" s="1"/>
  <c r="Z6" i="2" s="1"/>
  <c r="X3" i="2"/>
  <c r="Y4" i="2" s="1"/>
  <c r="Z5" i="2" s="1"/>
  <c r="Y3" i="2"/>
  <c r="Z4" i="2" s="1"/>
  <c r="Z3" i="2"/>
  <c r="AA4" i="2" s="1"/>
  <c r="AB5" i="2" s="1"/>
  <c r="AC6" i="2" s="1"/>
  <c r="AD7" i="2" s="1"/>
  <c r="AE8" i="2" s="1"/>
  <c r="AF9" i="2" s="1"/>
  <c r="AG10" i="2" s="1"/>
  <c r="AH11" i="2" s="1"/>
  <c r="AI12" i="2" s="1"/>
  <c r="AJ13" i="2" s="1"/>
  <c r="AK14" i="2" s="1"/>
  <c r="AA3" i="2"/>
  <c r="AB4" i="2" s="1"/>
  <c r="AC5" i="2" s="1"/>
  <c r="AD6" i="2" s="1"/>
  <c r="AE7" i="2" s="1"/>
  <c r="AF8" i="2" s="1"/>
  <c r="AG9" i="2" s="1"/>
  <c r="AH10" i="2" s="1"/>
  <c r="AI11" i="2" s="1"/>
  <c r="AJ12" i="2" s="1"/>
  <c r="AK13" i="2" s="1"/>
  <c r="AL14" i="2" s="1"/>
  <c r="AB3" i="2"/>
  <c r="AC4" i="2" s="1"/>
  <c r="AD5" i="2" s="1"/>
  <c r="AE6" i="2" s="1"/>
  <c r="AF7" i="2" s="1"/>
  <c r="AG8" i="2" s="1"/>
  <c r="AH9" i="2" s="1"/>
  <c r="AI10" i="2" s="1"/>
  <c r="AJ11" i="2" s="1"/>
  <c r="AK12" i="2" s="1"/>
  <c r="AL13" i="2" s="1"/>
  <c r="AC3" i="2"/>
  <c r="AD4" i="2" s="1"/>
  <c r="AE5" i="2" s="1"/>
  <c r="AF6" i="2" s="1"/>
  <c r="AG7" i="2" s="1"/>
  <c r="AH8" i="2" s="1"/>
  <c r="AI9" i="2" s="1"/>
  <c r="AJ10" i="2" s="1"/>
  <c r="AK11" i="2" s="1"/>
  <c r="AL12" i="2" s="1"/>
  <c r="AD3" i="2"/>
  <c r="AE4" i="2" s="1"/>
  <c r="AF5" i="2" s="1"/>
  <c r="AG6" i="2" s="1"/>
  <c r="AH7" i="2" s="1"/>
  <c r="AI8" i="2" s="1"/>
  <c r="AJ9" i="2" s="1"/>
  <c r="AK10" i="2" s="1"/>
  <c r="AL11" i="2" s="1"/>
  <c r="AE3" i="2"/>
  <c r="AF4" i="2" s="1"/>
  <c r="AG5" i="2" s="1"/>
  <c r="AH6" i="2" s="1"/>
  <c r="AI7" i="2" s="1"/>
  <c r="AJ8" i="2" s="1"/>
  <c r="AK9" i="2" s="1"/>
  <c r="AL10" i="2" s="1"/>
  <c r="AF3" i="2"/>
  <c r="AG4" i="2" s="1"/>
  <c r="AH5" i="2" s="1"/>
  <c r="AI6" i="2" s="1"/>
  <c r="AJ7" i="2" s="1"/>
  <c r="AK8" i="2" s="1"/>
  <c r="AL9" i="2" s="1"/>
  <c r="AG3" i="2"/>
  <c r="AH4" i="2" s="1"/>
  <c r="AI5" i="2" s="1"/>
  <c r="AJ6" i="2" s="1"/>
  <c r="AK7" i="2" s="1"/>
  <c r="AL8" i="2" s="1"/>
  <c r="AH3" i="2"/>
  <c r="AI4" i="2" s="1"/>
  <c r="AJ5" i="2" s="1"/>
  <c r="AK6" i="2" s="1"/>
  <c r="AL7" i="2" s="1"/>
  <c r="AI3" i="2"/>
  <c r="AJ4" i="2" s="1"/>
  <c r="AK5" i="2" s="1"/>
  <c r="AL6" i="2" s="1"/>
  <c r="AJ3" i="2"/>
  <c r="AK4" i="2" s="1"/>
  <c r="AL5" i="2" s="1"/>
  <c r="AK3" i="2"/>
  <c r="AL4" i="2" s="1"/>
  <c r="B3" i="2"/>
  <c r="O21" i="3" l="1"/>
  <c r="O8" i="3"/>
  <c r="AM7" i="2"/>
  <c r="AN8" i="2" s="1"/>
  <c r="AO9" i="2" s="1"/>
  <c r="AP10" i="2" s="1"/>
  <c r="AQ11" i="2" s="1"/>
  <c r="AR12" i="2" s="1"/>
  <c r="AS13" i="2" s="1"/>
  <c r="AT14" i="2" s="1"/>
  <c r="AM6" i="2"/>
  <c r="AN7" i="2" s="1"/>
  <c r="AO8" i="2" s="1"/>
  <c r="AP9" i="2" s="1"/>
  <c r="AQ10" i="2" s="1"/>
  <c r="AR11" i="2" s="1"/>
  <c r="AS12" i="2" s="1"/>
  <c r="AT13" i="2" s="1"/>
  <c r="AU14" i="2" s="1"/>
  <c r="AM8" i="2"/>
  <c r="AN9" i="2" s="1"/>
  <c r="AO10" i="2" s="1"/>
  <c r="AP11" i="2" s="1"/>
  <c r="AQ12" i="2" s="1"/>
  <c r="AR13" i="2" s="1"/>
  <c r="AS14" i="2" s="1"/>
  <c r="AM10" i="2"/>
  <c r="AN11" i="2" s="1"/>
  <c r="AO12" i="2" s="1"/>
  <c r="AP13" i="2" s="1"/>
  <c r="AQ14" i="2" s="1"/>
  <c r="AM12" i="2"/>
  <c r="AN13" i="2" s="1"/>
  <c r="AO14" i="2" s="1"/>
  <c r="AM14" i="2"/>
  <c r="AM5" i="2"/>
  <c r="AN6" i="2" s="1"/>
  <c r="AO7" i="2" s="1"/>
  <c r="AP8" i="2" s="1"/>
  <c r="AQ9" i="2" s="1"/>
  <c r="AR10" i="2" s="1"/>
  <c r="AS11" i="2" s="1"/>
  <c r="AT12" i="2" s="1"/>
  <c r="AU13" i="2" s="1"/>
  <c r="AV14" i="2" s="1"/>
  <c r="BA4" i="2"/>
  <c r="AM9" i="2"/>
  <c r="AN10" i="2" s="1"/>
  <c r="AO11" i="2" s="1"/>
  <c r="AP12" i="2" s="1"/>
  <c r="AQ13" i="2" s="1"/>
  <c r="AR14" i="2" s="1"/>
  <c r="AM11" i="2"/>
  <c r="AN12" i="2" s="1"/>
  <c r="AO13" i="2" s="1"/>
  <c r="AP14" i="2" s="1"/>
  <c r="AM13" i="2"/>
  <c r="AN14" i="2" s="1"/>
  <c r="AX3" i="2"/>
  <c r="AA6" i="2"/>
  <c r="AB7" i="2" s="1"/>
  <c r="AC8" i="2" s="1"/>
  <c r="AD9" i="2" s="1"/>
  <c r="AE10" i="2" s="1"/>
  <c r="AF11" i="2" s="1"/>
  <c r="AG12" i="2" s="1"/>
  <c r="AH13" i="2" s="1"/>
  <c r="AI14" i="2" s="1"/>
  <c r="AA8" i="2"/>
  <c r="AB9" i="2" s="1"/>
  <c r="AC10" i="2" s="1"/>
  <c r="AD11" i="2" s="1"/>
  <c r="AE12" i="2" s="1"/>
  <c r="AF13" i="2" s="1"/>
  <c r="AG14" i="2" s="1"/>
  <c r="AA14" i="2"/>
  <c r="O6" i="2"/>
  <c r="P7" i="2" s="1"/>
  <c r="Q8" i="2" s="1"/>
  <c r="R9" i="2" s="1"/>
  <c r="S10" i="2" s="1"/>
  <c r="T11" i="2" s="1"/>
  <c r="U12" i="2" s="1"/>
  <c r="V13" i="2" s="1"/>
  <c r="W14" i="2" s="1"/>
  <c r="O8" i="2"/>
  <c r="P9" i="2" s="1"/>
  <c r="Q10" i="2" s="1"/>
  <c r="R11" i="2" s="1"/>
  <c r="S12" i="2" s="1"/>
  <c r="T13" i="2" s="1"/>
  <c r="U14" i="2" s="1"/>
  <c r="O10" i="2"/>
  <c r="P11" i="2" s="1"/>
  <c r="Q12" i="2" s="1"/>
  <c r="R13" i="2" s="1"/>
  <c r="S14" i="2" s="1"/>
  <c r="O14" i="2"/>
  <c r="AA10" i="2"/>
  <c r="AB11" i="2" s="1"/>
  <c r="AC12" i="2" s="1"/>
  <c r="AD13" i="2" s="1"/>
  <c r="AE14" i="2" s="1"/>
  <c r="AA12" i="2"/>
  <c r="AB13" i="2" s="1"/>
  <c r="AC14" i="2" s="1"/>
  <c r="O12" i="2"/>
  <c r="P13" i="2" s="1"/>
  <c r="Q14" i="2" s="1"/>
  <c r="AY3" i="2"/>
  <c r="AA7" i="2"/>
  <c r="AB8" i="2" s="1"/>
  <c r="AC9" i="2" s="1"/>
  <c r="AD10" i="2" s="1"/>
  <c r="AE11" i="2" s="1"/>
  <c r="AF12" i="2" s="1"/>
  <c r="AG13" i="2" s="1"/>
  <c r="AH14" i="2" s="1"/>
  <c r="O5" i="2"/>
  <c r="P6" i="2" s="1"/>
  <c r="Q7" i="2" s="1"/>
  <c r="R8" i="2" s="1"/>
  <c r="S9" i="2" s="1"/>
  <c r="T10" i="2" s="1"/>
  <c r="U11" i="2" s="1"/>
  <c r="V12" i="2" s="1"/>
  <c r="W13" i="2" s="1"/>
  <c r="X14" i="2" s="1"/>
  <c r="O11" i="2"/>
  <c r="P12" i="2" s="1"/>
  <c r="Q13" i="2" s="1"/>
  <c r="R14" i="2" s="1"/>
  <c r="O13" i="2"/>
  <c r="P14" i="2" s="1"/>
  <c r="O4" i="2"/>
  <c r="P5" i="2" s="1"/>
  <c r="Q6" i="2" s="1"/>
  <c r="R7" i="2" s="1"/>
  <c r="S8" i="2" s="1"/>
  <c r="T9" i="2" s="1"/>
  <c r="U10" i="2" s="1"/>
  <c r="V11" i="2" s="1"/>
  <c r="W12" i="2" s="1"/>
  <c r="X13" i="2" s="1"/>
  <c r="Y14" i="2" s="1"/>
  <c r="AZ3" i="2"/>
  <c r="C4" i="2"/>
  <c r="AA5" i="2"/>
  <c r="AB6" i="2" s="1"/>
  <c r="AC7" i="2" s="1"/>
  <c r="AD8" i="2" s="1"/>
  <c r="AE9" i="2" s="1"/>
  <c r="AF10" i="2" s="1"/>
  <c r="AG11" i="2" s="1"/>
  <c r="AH12" i="2" s="1"/>
  <c r="AI13" i="2" s="1"/>
  <c r="AJ14" i="2" s="1"/>
  <c r="AZ4" i="2"/>
  <c r="AA9" i="2"/>
  <c r="AB10" i="2" s="1"/>
  <c r="AC11" i="2" s="1"/>
  <c r="AD12" i="2" s="1"/>
  <c r="AE13" i="2" s="1"/>
  <c r="AF14" i="2" s="1"/>
  <c r="AA11" i="2"/>
  <c r="AB12" i="2" s="1"/>
  <c r="AC13" i="2" s="1"/>
  <c r="AD14" i="2" s="1"/>
  <c r="AA13" i="2"/>
  <c r="AB14" i="2" s="1"/>
  <c r="O7" i="2"/>
  <c r="P8" i="2" s="1"/>
  <c r="Q9" i="2" s="1"/>
  <c r="R10" i="2" s="1"/>
  <c r="S11" i="2" s="1"/>
  <c r="T12" i="2" s="1"/>
  <c r="U13" i="2" s="1"/>
  <c r="V14" i="2" s="1"/>
  <c r="O9" i="2"/>
  <c r="P10" i="2" s="1"/>
  <c r="Q11" i="2" s="1"/>
  <c r="R12" i="2" s="1"/>
  <c r="S13" i="2" s="1"/>
  <c r="T14" i="2" s="1"/>
  <c r="O20" i="3"/>
  <c r="O22" i="3"/>
  <c r="O24" i="3"/>
  <c r="O19" i="3"/>
  <c r="C3" i="1"/>
  <c r="C4" i="1" s="1"/>
  <c r="BD3" i="2" l="1"/>
  <c r="BA12" i="2"/>
  <c r="BA10" i="2"/>
  <c r="BA8" i="2"/>
  <c r="BA13" i="2"/>
  <c r="BA11" i="2"/>
  <c r="BA9" i="2"/>
  <c r="BA7" i="2"/>
  <c r="BA5" i="2"/>
  <c r="BE3" i="2"/>
  <c r="BB3" i="2"/>
  <c r="BA14" i="2"/>
  <c r="BC3" i="2"/>
  <c r="BA6" i="2"/>
  <c r="AY14" i="2"/>
  <c r="AY6" i="2"/>
  <c r="AZ14" i="2"/>
  <c r="AY4" i="2"/>
  <c r="AY12" i="2"/>
  <c r="AY8" i="2"/>
  <c r="AZ12" i="2"/>
  <c r="AZ10" i="2"/>
  <c r="AZ8" i="2"/>
  <c r="D5" i="2"/>
  <c r="AX4" i="2"/>
  <c r="AZ6" i="2"/>
  <c r="AY11" i="2"/>
  <c r="AZ11" i="2"/>
  <c r="AZ9" i="2"/>
  <c r="AY13" i="2"/>
  <c r="AY9" i="2"/>
  <c r="AY7" i="2"/>
  <c r="AY5" i="2"/>
  <c r="AZ13" i="2"/>
  <c r="AZ7" i="2"/>
  <c r="AZ5" i="2"/>
  <c r="AY10" i="2"/>
  <c r="C10" i="1"/>
  <c r="C55" i="1"/>
  <c r="C57" i="1"/>
  <c r="C50" i="1"/>
  <c r="C52" i="1"/>
  <c r="C46" i="1"/>
  <c r="C54" i="1"/>
  <c r="C56" i="1"/>
  <c r="C53" i="1"/>
  <c r="D53" i="1" s="1"/>
  <c r="C51" i="1"/>
  <c r="C48" i="1"/>
  <c r="C49" i="1"/>
  <c r="C47" i="1"/>
  <c r="D51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BC4" i="2" l="1"/>
  <c r="BB4" i="2"/>
  <c r="BE4" i="2"/>
  <c r="BD4" i="2"/>
  <c r="D49" i="1"/>
  <c r="D55" i="1"/>
  <c r="D10" i="1"/>
  <c r="E6" i="2"/>
  <c r="AX5" i="2"/>
  <c r="BC5" i="2" s="1"/>
  <c r="D13" i="1"/>
  <c r="D17" i="1"/>
  <c r="D21" i="1"/>
  <c r="D25" i="1"/>
  <c r="D29" i="1"/>
  <c r="D33" i="1"/>
  <c r="D37" i="1"/>
  <c r="D41" i="1"/>
  <c r="D45" i="1"/>
  <c r="D52" i="1"/>
  <c r="D57" i="1"/>
  <c r="D46" i="1"/>
  <c r="D50" i="1"/>
  <c r="D56" i="1"/>
  <c r="D47" i="1"/>
  <c r="D48" i="1"/>
  <c r="D54" i="1"/>
  <c r="D12" i="1"/>
  <c r="D16" i="1"/>
  <c r="D20" i="1"/>
  <c r="D24" i="1"/>
  <c r="D28" i="1"/>
  <c r="D32" i="1"/>
  <c r="D36" i="1"/>
  <c r="D40" i="1"/>
  <c r="D44" i="1"/>
  <c r="D11" i="1"/>
  <c r="D15" i="1"/>
  <c r="D19" i="1"/>
  <c r="D23" i="1"/>
  <c r="D27" i="1"/>
  <c r="D31" i="1"/>
  <c r="D35" i="1"/>
  <c r="D39" i="1"/>
  <c r="D43" i="1"/>
  <c r="D14" i="1"/>
  <c r="D18" i="1"/>
  <c r="D22" i="1"/>
  <c r="D26" i="1"/>
  <c r="D30" i="1"/>
  <c r="D34" i="1"/>
  <c r="D38" i="1"/>
  <c r="D42" i="1"/>
  <c r="BB5" i="2" l="1"/>
  <c r="BE5" i="2"/>
  <c r="BD5" i="2"/>
  <c r="F7" i="2"/>
  <c r="AX6" i="2"/>
  <c r="BB6" i="2" l="1"/>
  <c r="BD6" i="2"/>
  <c r="BE6" i="2"/>
  <c r="BC6" i="2"/>
  <c r="G8" i="2"/>
  <c r="AX7" i="2"/>
  <c r="BB7" i="2" l="1"/>
  <c r="BE7" i="2"/>
  <c r="BD7" i="2"/>
  <c r="BC7" i="2"/>
  <c r="H9" i="2"/>
  <c r="AX8" i="2"/>
  <c r="BB8" i="2" l="1"/>
  <c r="BE8" i="2"/>
  <c r="BD8" i="2"/>
  <c r="BC8" i="2"/>
  <c r="I10" i="2"/>
  <c r="AX9" i="2"/>
  <c r="BB9" i="2" l="1"/>
  <c r="BE9" i="2"/>
  <c r="BD9" i="2"/>
  <c r="BC9" i="2"/>
  <c r="J11" i="2"/>
  <c r="AX10" i="2"/>
  <c r="BB10" i="2" l="1"/>
  <c r="BE10" i="2"/>
  <c r="BC10" i="2"/>
  <c r="BD10" i="2"/>
  <c r="K12" i="2"/>
  <c r="AX11" i="2"/>
  <c r="BB11" i="2" l="1"/>
  <c r="BE11" i="2"/>
  <c r="BC11" i="2"/>
  <c r="BD11" i="2"/>
  <c r="L13" i="2"/>
  <c r="AX12" i="2"/>
  <c r="BB12" i="2" l="1"/>
  <c r="BE12" i="2"/>
  <c r="BD12" i="2"/>
  <c r="BC12" i="2"/>
  <c r="M14" i="2"/>
  <c r="AX14" i="2" s="1"/>
  <c r="AX13" i="2"/>
  <c r="BB13" i="2" l="1"/>
  <c r="BE13" i="2"/>
  <c r="BD13" i="2"/>
  <c r="BC13" i="2"/>
  <c r="BB14" i="2"/>
  <c r="BE14" i="2"/>
  <c r="BC14" i="2"/>
  <c r="BD14" i="2"/>
  <c r="C6" i="1" l="1"/>
  <c r="J37" i="4" s="1"/>
  <c r="G38" i="4"/>
  <c r="L36" i="4"/>
  <c r="J38" i="4"/>
  <c r="E37" i="4"/>
  <c r="M38" i="4"/>
  <c r="E40" i="4"/>
  <c r="K41" i="4"/>
  <c r="K43" i="4"/>
  <c r="N39" i="4"/>
  <c r="F41" i="4"/>
  <c r="D43" i="4"/>
  <c r="E38" i="4"/>
  <c r="J36" i="4"/>
  <c r="H38" i="4"/>
  <c r="C37" i="4"/>
  <c r="H37" i="4"/>
  <c r="I39" i="4"/>
  <c r="G40" i="4"/>
  <c r="E41" i="4"/>
  <c r="M41" i="4"/>
  <c r="E43" i="4"/>
  <c r="M43" i="4"/>
  <c r="H39" i="4"/>
  <c r="D40" i="4"/>
  <c r="L40" i="4"/>
  <c r="H41" i="4"/>
  <c r="J42" i="4"/>
  <c r="F43" i="4"/>
  <c r="N43" i="4"/>
  <c r="C40" i="4"/>
  <c r="C39" i="4"/>
  <c r="H42" i="4"/>
  <c r="D42" i="4"/>
  <c r="F28" i="3"/>
  <c r="N28" i="3"/>
  <c r="J29" i="3"/>
  <c r="G28" i="3"/>
  <c r="C29" i="3"/>
  <c r="K29" i="3"/>
  <c r="G30" i="3"/>
  <c r="C31" i="3"/>
  <c r="K38" i="4"/>
  <c r="N37" i="4"/>
  <c r="D37" i="4"/>
  <c r="H36" i="4"/>
  <c r="N38" i="4"/>
  <c r="F38" i="4"/>
  <c r="I37" i="4"/>
  <c r="M36" i="4"/>
  <c r="E36" i="4"/>
  <c r="G42" i="4"/>
  <c r="K39" i="4"/>
  <c r="I40" i="4"/>
  <c r="G41" i="4"/>
  <c r="I42" i="4"/>
  <c r="G43" i="4"/>
  <c r="E42" i="4"/>
  <c r="J39" i="4"/>
  <c r="F40" i="4"/>
  <c r="N40" i="4"/>
  <c r="J41" i="4"/>
  <c r="L42" i="4"/>
  <c r="H43" i="4"/>
  <c r="I38" i="4"/>
  <c r="L37" i="4"/>
  <c r="N36" i="4"/>
  <c r="F36" i="4"/>
  <c r="L38" i="4"/>
  <c r="D38" i="4"/>
  <c r="G37" i="4"/>
  <c r="K36" i="4"/>
  <c r="C36" i="4"/>
  <c r="E39" i="4"/>
  <c r="M39" i="4"/>
  <c r="K40" i="4"/>
  <c r="I41" i="4"/>
  <c r="K42" i="4"/>
  <c r="I43" i="4"/>
  <c r="D39" i="4"/>
  <c r="L39" i="4"/>
  <c r="H40" i="4"/>
  <c r="D41" i="4"/>
  <c r="L41" i="4"/>
  <c r="N42" i="4"/>
  <c r="J43" i="4"/>
  <c r="C42" i="4"/>
  <c r="C43" i="4"/>
  <c r="C41" i="4"/>
  <c r="F42" i="4"/>
  <c r="D28" i="3"/>
  <c r="H28" i="3"/>
  <c r="L28" i="3"/>
  <c r="D29" i="3"/>
  <c r="H29" i="3"/>
  <c r="L29" i="3"/>
  <c r="E28" i="3"/>
  <c r="I28" i="3"/>
  <c r="M28" i="3"/>
  <c r="E29" i="3"/>
  <c r="I29" i="3"/>
  <c r="M29" i="3"/>
  <c r="E30" i="3"/>
  <c r="I30" i="3"/>
  <c r="M30" i="3"/>
  <c r="E31" i="3"/>
  <c r="I31" i="3"/>
  <c r="H30" i="3"/>
  <c r="D31" i="3"/>
  <c r="K31" i="3"/>
  <c r="D27" i="3"/>
  <c r="H27" i="3"/>
  <c r="L27" i="3"/>
  <c r="N29" i="3"/>
  <c r="J30" i="3"/>
  <c r="F31" i="3"/>
  <c r="L31" i="3"/>
  <c r="E27" i="3"/>
  <c r="I27" i="3"/>
  <c r="M27" i="3"/>
  <c r="J28" i="3"/>
  <c r="F29" i="3"/>
  <c r="C28" i="3"/>
  <c r="K28" i="3"/>
  <c r="G29" i="3"/>
  <c r="C30" i="3"/>
  <c r="K30" i="3"/>
  <c r="G31" i="3"/>
  <c r="L30" i="3"/>
  <c r="M31" i="3"/>
  <c r="J27" i="3"/>
  <c r="F30" i="3"/>
  <c r="J31" i="3"/>
  <c r="G27" i="3"/>
  <c r="C27" i="3"/>
  <c r="D30" i="3"/>
  <c r="H31" i="3"/>
  <c r="F27" i="3"/>
  <c r="F32" i="3" s="1"/>
  <c r="N27" i="3"/>
  <c r="N30" i="3"/>
  <c r="N31" i="3"/>
  <c r="K27" i="3"/>
  <c r="G36" i="4" l="1"/>
  <c r="K37" i="4"/>
  <c r="K44" i="4" s="1"/>
  <c r="C38" i="4"/>
  <c r="C44" i="4" s="1"/>
  <c r="F37" i="4"/>
  <c r="L43" i="4"/>
  <c r="N41" i="4"/>
  <c r="N44" i="4" s="1"/>
  <c r="J40" i="4"/>
  <c r="F39" i="4"/>
  <c r="M42" i="4"/>
  <c r="M40" i="4"/>
  <c r="G39" i="4"/>
  <c r="I36" i="4"/>
  <c r="M37" i="4"/>
  <c r="D36" i="4"/>
  <c r="D44" i="4" s="1"/>
  <c r="O28" i="3"/>
  <c r="I32" i="3"/>
  <c r="I35" i="3" s="1"/>
  <c r="D32" i="3"/>
  <c r="D35" i="3" s="1"/>
  <c r="O41" i="4"/>
  <c r="O42" i="4"/>
  <c r="E44" i="4"/>
  <c r="E81" i="4" s="1"/>
  <c r="C32" i="3"/>
  <c r="O27" i="3"/>
  <c r="K32" i="3"/>
  <c r="F38" i="3"/>
  <c r="F35" i="3"/>
  <c r="F39" i="3"/>
  <c r="F44" i="3"/>
  <c r="F48" i="3"/>
  <c r="F43" i="3"/>
  <c r="F47" i="3"/>
  <c r="F51" i="3"/>
  <c r="F55" i="3"/>
  <c r="F56" i="3"/>
  <c r="F60" i="3"/>
  <c r="F64" i="3"/>
  <c r="F68" i="3"/>
  <c r="F72" i="3"/>
  <c r="F54" i="3"/>
  <c r="F59" i="3"/>
  <c r="F63" i="3"/>
  <c r="F67" i="3"/>
  <c r="F71" i="3"/>
  <c r="F36" i="3"/>
  <c r="F40" i="3"/>
  <c r="F37" i="3"/>
  <c r="F42" i="3"/>
  <c r="F46" i="3"/>
  <c r="F41" i="3"/>
  <c r="F45" i="3"/>
  <c r="F49" i="3"/>
  <c r="F53" i="3"/>
  <c r="F52" i="3"/>
  <c r="F58" i="3"/>
  <c r="F62" i="3"/>
  <c r="F66" i="3"/>
  <c r="F70" i="3"/>
  <c r="F50" i="3"/>
  <c r="F57" i="3"/>
  <c r="F61" i="3"/>
  <c r="F65" i="3"/>
  <c r="F69" i="3"/>
  <c r="F73" i="3"/>
  <c r="G32" i="3"/>
  <c r="O30" i="3"/>
  <c r="M32" i="3"/>
  <c r="E32" i="3"/>
  <c r="H32" i="3"/>
  <c r="O43" i="4"/>
  <c r="F44" i="4"/>
  <c r="H44" i="4"/>
  <c r="O31" i="3"/>
  <c r="O38" i="4"/>
  <c r="I44" i="4"/>
  <c r="N32" i="3"/>
  <c r="J32" i="3"/>
  <c r="I49" i="3"/>
  <c r="I59" i="3"/>
  <c r="I57" i="3"/>
  <c r="L32" i="3"/>
  <c r="D39" i="3"/>
  <c r="D36" i="3"/>
  <c r="D55" i="3"/>
  <c r="D57" i="3"/>
  <c r="D56" i="3"/>
  <c r="D54" i="3"/>
  <c r="D73" i="3"/>
  <c r="D52" i="3"/>
  <c r="D58" i="3"/>
  <c r="D45" i="3"/>
  <c r="D37" i="3"/>
  <c r="D68" i="3"/>
  <c r="D38" i="3"/>
  <c r="D69" i="3"/>
  <c r="D70" i="3"/>
  <c r="D50" i="3"/>
  <c r="D41" i="3"/>
  <c r="D40" i="3"/>
  <c r="D60" i="3"/>
  <c r="E83" i="4"/>
  <c r="E85" i="4"/>
  <c r="O29" i="3"/>
  <c r="O37" i="4"/>
  <c r="L44" i="4"/>
  <c r="E61" i="4" l="1"/>
  <c r="O36" i="4"/>
  <c r="I39" i="3"/>
  <c r="I56" i="3"/>
  <c r="O39" i="4"/>
  <c r="E74" i="4"/>
  <c r="E48" i="4"/>
  <c r="M44" i="4"/>
  <c r="M83" i="4" s="1"/>
  <c r="O40" i="4"/>
  <c r="I66" i="3"/>
  <c r="I38" i="3"/>
  <c r="I45" i="3"/>
  <c r="I70" i="3"/>
  <c r="E50" i="4"/>
  <c r="E76" i="4"/>
  <c r="E62" i="4"/>
  <c r="E71" i="4"/>
  <c r="E66" i="4"/>
  <c r="E69" i="4"/>
  <c r="E67" i="4"/>
  <c r="E57" i="4"/>
  <c r="E51" i="4"/>
  <c r="E54" i="4"/>
  <c r="E64" i="4"/>
  <c r="E82" i="4"/>
  <c r="E63" i="4"/>
  <c r="E73" i="4"/>
  <c r="E84" i="4"/>
  <c r="I72" i="3"/>
  <c r="I42" i="3"/>
  <c r="I53" i="3"/>
  <c r="I60" i="3"/>
  <c r="I68" i="3"/>
  <c r="I71" i="3"/>
  <c r="I69" i="3"/>
  <c r="I47" i="3"/>
  <c r="I46" i="3"/>
  <c r="I67" i="3"/>
  <c r="G44" i="4"/>
  <c r="G79" i="4" s="1"/>
  <c r="E65" i="4"/>
  <c r="E75" i="4"/>
  <c r="E52" i="4"/>
  <c r="E68" i="4"/>
  <c r="E49" i="4"/>
  <c r="E60" i="4"/>
  <c r="E80" i="4"/>
  <c r="E59" i="4"/>
  <c r="E77" i="4"/>
  <c r="E53" i="4"/>
  <c r="E56" i="4"/>
  <c r="E70" i="4"/>
  <c r="E78" i="4"/>
  <c r="E47" i="4"/>
  <c r="E55" i="4"/>
  <c r="E58" i="4"/>
  <c r="E72" i="4"/>
  <c r="E79" i="4"/>
  <c r="I62" i="3"/>
  <c r="I41" i="3"/>
  <c r="I36" i="3"/>
  <c r="I50" i="3"/>
  <c r="I37" i="3"/>
  <c r="I48" i="3"/>
  <c r="I44" i="3"/>
  <c r="I43" i="3"/>
  <c r="I52" i="3"/>
  <c r="I51" i="3"/>
  <c r="I58" i="3"/>
  <c r="I73" i="3"/>
  <c r="I61" i="3"/>
  <c r="I40" i="3"/>
  <c r="I64" i="3"/>
  <c r="I55" i="3"/>
  <c r="I63" i="3"/>
  <c r="I54" i="3"/>
  <c r="I65" i="3"/>
  <c r="J44" i="4"/>
  <c r="J83" i="4" s="1"/>
  <c r="D43" i="3"/>
  <c r="D59" i="3"/>
  <c r="D42" i="3"/>
  <c r="D49" i="3"/>
  <c r="D62" i="3"/>
  <c r="D61" i="3"/>
  <c r="D44" i="3"/>
  <c r="D51" i="3"/>
  <c r="D67" i="3"/>
  <c r="D46" i="3"/>
  <c r="D53" i="3"/>
  <c r="D66" i="3"/>
  <c r="D65" i="3"/>
  <c r="D72" i="3"/>
  <c r="D48" i="3"/>
  <c r="D63" i="3"/>
  <c r="D64" i="3"/>
  <c r="D47" i="3"/>
  <c r="D71" i="3"/>
  <c r="L85" i="4"/>
  <c r="L70" i="4"/>
  <c r="L56" i="4"/>
  <c r="L48" i="4"/>
  <c r="L72" i="4"/>
  <c r="L60" i="4"/>
  <c r="L47" i="4"/>
  <c r="L71" i="4"/>
  <c r="L50" i="4"/>
  <c r="L58" i="4"/>
  <c r="L59" i="4"/>
  <c r="L73" i="4"/>
  <c r="L79" i="4"/>
  <c r="L65" i="4"/>
  <c r="L82" i="4"/>
  <c r="L54" i="4"/>
  <c r="L55" i="4"/>
  <c r="L69" i="4"/>
  <c r="L84" i="4"/>
  <c r="L83" i="4"/>
  <c r="L77" i="4"/>
  <c r="L68" i="4"/>
  <c r="L51" i="4"/>
  <c r="L80" i="4"/>
  <c r="L61" i="4"/>
  <c r="L52" i="4"/>
  <c r="L57" i="4"/>
  <c r="L78" i="4"/>
  <c r="L53" i="4"/>
  <c r="L66" i="4"/>
  <c r="L67" i="4"/>
  <c r="L75" i="4"/>
  <c r="L64" i="4"/>
  <c r="L76" i="4"/>
  <c r="L49" i="4"/>
  <c r="L62" i="4"/>
  <c r="L63" i="4"/>
  <c r="L74" i="4"/>
  <c r="L81" i="4"/>
  <c r="N83" i="4"/>
  <c r="N79" i="4"/>
  <c r="N75" i="4"/>
  <c r="N76" i="4"/>
  <c r="N68" i="4"/>
  <c r="N61" i="4"/>
  <c r="N66" i="4"/>
  <c r="N58" i="4"/>
  <c r="N47" i="4"/>
  <c r="N85" i="4"/>
  <c r="N80" i="4"/>
  <c r="N77" i="4"/>
  <c r="N70" i="4"/>
  <c r="N69" i="4"/>
  <c r="N63" i="4"/>
  <c r="N55" i="4"/>
  <c r="N60" i="4"/>
  <c r="N52" i="4"/>
  <c r="N81" i="4"/>
  <c r="N84" i="4"/>
  <c r="N72" i="4"/>
  <c r="N71" i="4"/>
  <c r="N65" i="4"/>
  <c r="N57" i="4"/>
  <c r="N62" i="4"/>
  <c r="N54" i="4"/>
  <c r="N50" i="4"/>
  <c r="N82" i="4"/>
  <c r="N78" i="4"/>
  <c r="N74" i="4"/>
  <c r="N73" i="4"/>
  <c r="N67" i="4"/>
  <c r="N59" i="4"/>
  <c r="N64" i="4"/>
  <c r="N56" i="4"/>
  <c r="N49" i="4"/>
  <c r="N48" i="4"/>
  <c r="N51" i="4"/>
  <c r="N53" i="4"/>
  <c r="L36" i="3"/>
  <c r="L40" i="3"/>
  <c r="L38" i="3"/>
  <c r="L35" i="3"/>
  <c r="L39" i="3"/>
  <c r="L44" i="3"/>
  <c r="L41" i="3"/>
  <c r="L45" i="3"/>
  <c r="L49" i="3"/>
  <c r="L53" i="3"/>
  <c r="L50" i="3"/>
  <c r="L56" i="3"/>
  <c r="L60" i="3"/>
  <c r="L64" i="3"/>
  <c r="L68" i="3"/>
  <c r="L72" i="3"/>
  <c r="L52" i="3"/>
  <c r="L59" i="3"/>
  <c r="L63" i="3"/>
  <c r="L67" i="3"/>
  <c r="L71" i="3"/>
  <c r="L37" i="3"/>
  <c r="L46" i="3"/>
  <c r="L47" i="3"/>
  <c r="L55" i="3"/>
  <c r="L58" i="3"/>
  <c r="L66" i="3"/>
  <c r="L48" i="3"/>
  <c r="L61" i="3"/>
  <c r="L69" i="3"/>
  <c r="L42" i="3"/>
  <c r="L43" i="3"/>
  <c r="L51" i="3"/>
  <c r="L54" i="3"/>
  <c r="L62" i="3"/>
  <c r="L70" i="3"/>
  <c r="L57" i="3"/>
  <c r="L65" i="3"/>
  <c r="L73" i="3"/>
  <c r="J36" i="3"/>
  <c r="J40" i="3"/>
  <c r="J37" i="3"/>
  <c r="J42" i="3"/>
  <c r="J46" i="3"/>
  <c r="J43" i="3"/>
  <c r="J47" i="3"/>
  <c r="J51" i="3"/>
  <c r="J55" i="3"/>
  <c r="J52" i="3"/>
  <c r="J58" i="3"/>
  <c r="J62" i="3"/>
  <c r="J66" i="3"/>
  <c r="J70" i="3"/>
  <c r="J50" i="3"/>
  <c r="J57" i="3"/>
  <c r="J61" i="3"/>
  <c r="J65" i="3"/>
  <c r="J69" i="3"/>
  <c r="J73" i="3"/>
  <c r="J38" i="3"/>
  <c r="J39" i="3"/>
  <c r="J41" i="3"/>
  <c r="J49" i="3"/>
  <c r="J48" i="3"/>
  <c r="J60" i="3"/>
  <c r="J68" i="3"/>
  <c r="J54" i="3"/>
  <c r="J63" i="3"/>
  <c r="J71" i="3"/>
  <c r="J35" i="3"/>
  <c r="J44" i="3"/>
  <c r="J45" i="3"/>
  <c r="J53" i="3"/>
  <c r="J56" i="3"/>
  <c r="J64" i="3"/>
  <c r="J72" i="3"/>
  <c r="J59" i="3"/>
  <c r="J67" i="3"/>
  <c r="D81" i="4"/>
  <c r="D77" i="4"/>
  <c r="D78" i="4"/>
  <c r="D69" i="4"/>
  <c r="D63" i="4"/>
  <c r="D68" i="4"/>
  <c r="D60" i="4"/>
  <c r="D52" i="4"/>
  <c r="D47" i="4"/>
  <c r="D85" i="4"/>
  <c r="D80" i="4"/>
  <c r="D76" i="4"/>
  <c r="D75" i="4"/>
  <c r="D70" i="4"/>
  <c r="D61" i="4"/>
  <c r="D66" i="4"/>
  <c r="D58" i="4"/>
  <c r="D53" i="4"/>
  <c r="D55" i="4"/>
  <c r="D83" i="4"/>
  <c r="D79" i="4"/>
  <c r="D74" i="4"/>
  <c r="D73" i="4"/>
  <c r="D67" i="4"/>
  <c r="D59" i="4"/>
  <c r="D64" i="4"/>
  <c r="D56" i="4"/>
  <c r="D51" i="4"/>
  <c r="D50" i="4"/>
  <c r="D82" i="4"/>
  <c r="D84" i="4"/>
  <c r="D72" i="4"/>
  <c r="D71" i="4"/>
  <c r="D65" i="4"/>
  <c r="D57" i="4"/>
  <c r="D62" i="4"/>
  <c r="D54" i="4"/>
  <c r="D49" i="4"/>
  <c r="D48" i="4"/>
  <c r="H85" i="4"/>
  <c r="H74" i="4"/>
  <c r="H64" i="4"/>
  <c r="H48" i="4"/>
  <c r="H73" i="4"/>
  <c r="H56" i="4"/>
  <c r="H79" i="4"/>
  <c r="H52" i="4"/>
  <c r="H69" i="4"/>
  <c r="H53" i="4"/>
  <c r="H66" i="4"/>
  <c r="H70" i="4"/>
  <c r="H76" i="4"/>
  <c r="H47" i="4"/>
  <c r="H63" i="4"/>
  <c r="H81" i="4"/>
  <c r="H54" i="4"/>
  <c r="H57" i="4"/>
  <c r="H71" i="4"/>
  <c r="H84" i="4"/>
  <c r="H67" i="4"/>
  <c r="H51" i="4"/>
  <c r="H83" i="4"/>
  <c r="H59" i="4"/>
  <c r="H55" i="4"/>
  <c r="H50" i="4"/>
  <c r="H68" i="4"/>
  <c r="H77" i="4"/>
  <c r="H58" i="4"/>
  <c r="H61" i="4"/>
  <c r="H75" i="4"/>
  <c r="H80" i="4"/>
  <c r="H60" i="4"/>
  <c r="H78" i="4"/>
  <c r="H49" i="4"/>
  <c r="H62" i="4"/>
  <c r="H65" i="4"/>
  <c r="H72" i="4"/>
  <c r="H82" i="4"/>
  <c r="F83" i="4"/>
  <c r="F54" i="4"/>
  <c r="F57" i="4"/>
  <c r="F62" i="4"/>
  <c r="F50" i="4"/>
  <c r="F66" i="4"/>
  <c r="F78" i="4"/>
  <c r="F52" i="4"/>
  <c r="F70" i="4"/>
  <c r="F69" i="4"/>
  <c r="F77" i="4"/>
  <c r="F53" i="4"/>
  <c r="F49" i="4"/>
  <c r="F82" i="4"/>
  <c r="F58" i="4"/>
  <c r="F75" i="4"/>
  <c r="F51" i="4"/>
  <c r="F64" i="4"/>
  <c r="F67" i="4"/>
  <c r="F74" i="4"/>
  <c r="F48" i="4"/>
  <c r="F55" i="4"/>
  <c r="F85" i="4"/>
  <c r="F63" i="4"/>
  <c r="F81" i="4"/>
  <c r="F65" i="4"/>
  <c r="F61" i="4"/>
  <c r="F56" i="4"/>
  <c r="F73" i="4"/>
  <c r="F71" i="4"/>
  <c r="F72" i="4"/>
  <c r="F68" i="4"/>
  <c r="F60" i="4"/>
  <c r="F76" i="4"/>
  <c r="F84" i="4"/>
  <c r="F47" i="4"/>
  <c r="F80" i="4"/>
  <c r="F59" i="4"/>
  <c r="F79" i="4"/>
  <c r="E35" i="3"/>
  <c r="E58" i="3"/>
  <c r="E62" i="3"/>
  <c r="E66" i="3"/>
  <c r="E59" i="3"/>
  <c r="E60" i="3"/>
  <c r="E71" i="3"/>
  <c r="E65" i="3"/>
  <c r="E50" i="3"/>
  <c r="E42" i="3"/>
  <c r="E70" i="3"/>
  <c r="E67" i="3"/>
  <c r="E48" i="3"/>
  <c r="E40" i="3"/>
  <c r="E51" i="3"/>
  <c r="E57" i="3"/>
  <c r="E41" i="3"/>
  <c r="E72" i="3"/>
  <c r="E55" i="3"/>
  <c r="E44" i="3"/>
  <c r="E36" i="3"/>
  <c r="E54" i="3"/>
  <c r="E46" i="3"/>
  <c r="E39" i="3"/>
  <c r="E64" i="3"/>
  <c r="E69" i="3"/>
  <c r="E61" i="3"/>
  <c r="E53" i="3"/>
  <c r="E45" i="3"/>
  <c r="E73" i="3"/>
  <c r="E49" i="3"/>
  <c r="E56" i="3"/>
  <c r="E47" i="3"/>
  <c r="E37" i="3"/>
  <c r="E68" i="3"/>
  <c r="E38" i="3"/>
  <c r="E63" i="3"/>
  <c r="E52" i="3"/>
  <c r="E43" i="3"/>
  <c r="J79" i="4"/>
  <c r="J59" i="4"/>
  <c r="J50" i="4"/>
  <c r="J71" i="4"/>
  <c r="J54" i="4"/>
  <c r="J77" i="4"/>
  <c r="J70" i="4"/>
  <c r="J85" i="4"/>
  <c r="J68" i="4"/>
  <c r="J55" i="4"/>
  <c r="C82" i="4"/>
  <c r="C78" i="4"/>
  <c r="C73" i="4"/>
  <c r="C70" i="4"/>
  <c r="C62" i="4"/>
  <c r="C69" i="4"/>
  <c r="C61" i="4"/>
  <c r="C53" i="4"/>
  <c r="C47" i="4"/>
  <c r="C83" i="4"/>
  <c r="C79" i="4"/>
  <c r="C75" i="4"/>
  <c r="C85" i="4"/>
  <c r="C77" i="4"/>
  <c r="C66" i="4"/>
  <c r="C65" i="4"/>
  <c r="C50" i="4"/>
  <c r="C84" i="4"/>
  <c r="C76" i="4"/>
  <c r="C72" i="4"/>
  <c r="C64" i="4"/>
  <c r="C56" i="4"/>
  <c r="C63" i="4"/>
  <c r="C55" i="4"/>
  <c r="C48" i="4"/>
  <c r="C49" i="4"/>
  <c r="C80" i="4"/>
  <c r="C74" i="4"/>
  <c r="C58" i="4"/>
  <c r="C57" i="4"/>
  <c r="C51" i="4"/>
  <c r="C81" i="4"/>
  <c r="C71" i="4"/>
  <c r="C68" i="4"/>
  <c r="C60" i="4"/>
  <c r="C67" i="4"/>
  <c r="C59" i="4"/>
  <c r="C54" i="4"/>
  <c r="C52" i="4"/>
  <c r="D74" i="3"/>
  <c r="N36" i="3"/>
  <c r="N40" i="3"/>
  <c r="N37" i="3"/>
  <c r="N42" i="3"/>
  <c r="N46" i="3"/>
  <c r="N43" i="3"/>
  <c r="N47" i="3"/>
  <c r="N51" i="3"/>
  <c r="N55" i="3"/>
  <c r="N52" i="3"/>
  <c r="N58" i="3"/>
  <c r="N62" i="3"/>
  <c r="N66" i="3"/>
  <c r="N70" i="3"/>
  <c r="N50" i="3"/>
  <c r="N57" i="3"/>
  <c r="N61" i="3"/>
  <c r="N65" i="3"/>
  <c r="N69" i="3"/>
  <c r="N73" i="3"/>
  <c r="N38" i="3"/>
  <c r="N35" i="3"/>
  <c r="N39" i="3"/>
  <c r="N44" i="3"/>
  <c r="N41" i="3"/>
  <c r="N45" i="3"/>
  <c r="N49" i="3"/>
  <c r="N53" i="3"/>
  <c r="N48" i="3"/>
  <c r="N56" i="3"/>
  <c r="N60" i="3"/>
  <c r="N64" i="3"/>
  <c r="N68" i="3"/>
  <c r="N72" i="3"/>
  <c r="N54" i="3"/>
  <c r="N59" i="3"/>
  <c r="N63" i="3"/>
  <c r="N67" i="3"/>
  <c r="N71" i="3"/>
  <c r="I84" i="4"/>
  <c r="I81" i="4"/>
  <c r="I76" i="4"/>
  <c r="I77" i="4"/>
  <c r="I68" i="4"/>
  <c r="I62" i="4"/>
  <c r="I67" i="4"/>
  <c r="I85" i="4"/>
  <c r="I80" i="4"/>
  <c r="I75" i="4"/>
  <c r="I74" i="4"/>
  <c r="I69" i="4"/>
  <c r="I60" i="4"/>
  <c r="I65" i="4"/>
  <c r="I59" i="4"/>
  <c r="I52" i="4"/>
  <c r="I51" i="4"/>
  <c r="I57" i="4"/>
  <c r="I50" i="4"/>
  <c r="I49" i="4"/>
  <c r="I83" i="4"/>
  <c r="I79" i="4"/>
  <c r="I73" i="4"/>
  <c r="I72" i="4"/>
  <c r="I66" i="4"/>
  <c r="I58" i="4"/>
  <c r="I63" i="4"/>
  <c r="I82" i="4"/>
  <c r="I78" i="4"/>
  <c r="I71" i="4"/>
  <c r="I70" i="4"/>
  <c r="I64" i="4"/>
  <c r="I56" i="4"/>
  <c r="I61" i="4"/>
  <c r="I55" i="4"/>
  <c r="I48" i="4"/>
  <c r="I47" i="4"/>
  <c r="I53" i="4"/>
  <c r="I54" i="4"/>
  <c r="G83" i="4"/>
  <c r="G64" i="4"/>
  <c r="G85" i="4"/>
  <c r="G66" i="4"/>
  <c r="G50" i="4"/>
  <c r="G81" i="4"/>
  <c r="G60" i="4"/>
  <c r="G82" i="4"/>
  <c r="G62" i="4"/>
  <c r="G52" i="4"/>
  <c r="M79" i="4"/>
  <c r="M72" i="4"/>
  <c r="M58" i="4"/>
  <c r="M55" i="4"/>
  <c r="M47" i="4"/>
  <c r="M78" i="4"/>
  <c r="M70" i="4"/>
  <c r="M56" i="4"/>
  <c r="M53" i="4"/>
  <c r="M84" i="4"/>
  <c r="M76" i="4"/>
  <c r="M68" i="4"/>
  <c r="M67" i="4"/>
  <c r="M52" i="4"/>
  <c r="M85" i="4"/>
  <c r="M75" i="4"/>
  <c r="M69" i="4"/>
  <c r="M65" i="4"/>
  <c r="M50" i="4"/>
  <c r="K85" i="4"/>
  <c r="K80" i="4"/>
  <c r="K77" i="4"/>
  <c r="K74" i="4"/>
  <c r="K66" i="4"/>
  <c r="K58" i="4"/>
  <c r="K65" i="4"/>
  <c r="K57" i="4"/>
  <c r="K50" i="4"/>
  <c r="K49" i="4"/>
  <c r="K83" i="4"/>
  <c r="K79" i="4"/>
  <c r="K73" i="4"/>
  <c r="K72" i="4"/>
  <c r="K64" i="4"/>
  <c r="K56" i="4"/>
  <c r="K63" i="4"/>
  <c r="K55" i="4"/>
  <c r="K48" i="4"/>
  <c r="K47" i="4"/>
  <c r="K78" i="4"/>
  <c r="K70" i="4"/>
  <c r="K69" i="4"/>
  <c r="K53" i="4"/>
  <c r="K84" i="4"/>
  <c r="K76" i="4"/>
  <c r="K68" i="4"/>
  <c r="K67" i="4"/>
  <c r="K54" i="4"/>
  <c r="K82" i="4"/>
  <c r="K71" i="4"/>
  <c r="K62" i="4"/>
  <c r="K61" i="4"/>
  <c r="K52" i="4"/>
  <c r="K81" i="4"/>
  <c r="K75" i="4"/>
  <c r="K60" i="4"/>
  <c r="K59" i="4"/>
  <c r="K51" i="4"/>
  <c r="H35" i="3"/>
  <c r="H48" i="3"/>
  <c r="H45" i="3"/>
  <c r="H69" i="3"/>
  <c r="H68" i="3"/>
  <c r="H41" i="3"/>
  <c r="H38" i="3"/>
  <c r="H61" i="3"/>
  <c r="H53" i="3"/>
  <c r="H43" i="3"/>
  <c r="H46" i="3"/>
  <c r="H65" i="3"/>
  <c r="H55" i="3"/>
  <c r="H52" i="3"/>
  <c r="H73" i="3"/>
  <c r="H57" i="3"/>
  <c r="H47" i="3"/>
  <c r="H71" i="3"/>
  <c r="H63" i="3"/>
  <c r="H64" i="3"/>
  <c r="H56" i="3"/>
  <c r="H49" i="3"/>
  <c r="H36" i="3"/>
  <c r="H62" i="3"/>
  <c r="H44" i="3"/>
  <c r="H72" i="3"/>
  <c r="H66" i="3"/>
  <c r="H58" i="3"/>
  <c r="H40" i="3"/>
  <c r="H37" i="3"/>
  <c r="H42" i="3"/>
  <c r="H67" i="3"/>
  <c r="H59" i="3"/>
  <c r="H60" i="3"/>
  <c r="H50" i="3"/>
  <c r="H39" i="3"/>
  <c r="H51" i="3"/>
  <c r="H70" i="3"/>
  <c r="H54" i="3"/>
  <c r="M67" i="3"/>
  <c r="M65" i="3"/>
  <c r="M54" i="3"/>
  <c r="M46" i="3"/>
  <c r="M63" i="3"/>
  <c r="M55" i="3"/>
  <c r="M43" i="3"/>
  <c r="M60" i="3"/>
  <c r="M44" i="3"/>
  <c r="M64" i="3"/>
  <c r="M56" i="3"/>
  <c r="M40" i="3"/>
  <c r="M69" i="3"/>
  <c r="M61" i="3"/>
  <c r="M53" i="3"/>
  <c r="M45" i="3"/>
  <c r="M37" i="3"/>
  <c r="M73" i="3"/>
  <c r="M71" i="3"/>
  <c r="M58" i="3"/>
  <c r="M59" i="3"/>
  <c r="M68" i="3"/>
  <c r="M52" i="3"/>
  <c r="M38" i="3"/>
  <c r="M39" i="3"/>
  <c r="M49" i="3"/>
  <c r="M70" i="3"/>
  <c r="M47" i="3"/>
  <c r="M48" i="3"/>
  <c r="M66" i="3"/>
  <c r="M50" i="3"/>
  <c r="M42" i="3"/>
  <c r="M51" i="3"/>
  <c r="M36" i="3"/>
  <c r="M57" i="3"/>
  <c r="M41" i="3"/>
  <c r="M72" i="3"/>
  <c r="M62" i="3"/>
  <c r="M35" i="3"/>
  <c r="G35" i="3"/>
  <c r="G43" i="3"/>
  <c r="G60" i="3"/>
  <c r="G44" i="3"/>
  <c r="G49" i="3"/>
  <c r="G70" i="3"/>
  <c r="G47" i="3"/>
  <c r="G67" i="3"/>
  <c r="G54" i="3"/>
  <c r="G46" i="3"/>
  <c r="G39" i="3"/>
  <c r="G48" i="3"/>
  <c r="G53" i="3"/>
  <c r="G37" i="3"/>
  <c r="G66" i="3"/>
  <c r="G50" i="3"/>
  <c r="G42" i="3"/>
  <c r="G36" i="3"/>
  <c r="G57" i="3"/>
  <c r="G41" i="3"/>
  <c r="G72" i="3"/>
  <c r="G62" i="3"/>
  <c r="G65" i="3"/>
  <c r="G63" i="3"/>
  <c r="G55" i="3"/>
  <c r="G64" i="3"/>
  <c r="G56" i="3"/>
  <c r="G40" i="3"/>
  <c r="G69" i="3"/>
  <c r="G61" i="3"/>
  <c r="G45" i="3"/>
  <c r="G73" i="3"/>
  <c r="G71" i="3"/>
  <c r="G58" i="3"/>
  <c r="G59" i="3"/>
  <c r="G51" i="3"/>
  <c r="G68" i="3"/>
  <c r="G52" i="3"/>
  <c r="G38" i="3"/>
  <c r="F74" i="3"/>
  <c r="K37" i="3"/>
  <c r="K36" i="3"/>
  <c r="K41" i="3"/>
  <c r="K45" i="3"/>
  <c r="K40" i="3"/>
  <c r="K44" i="3"/>
  <c r="K48" i="3"/>
  <c r="K52" i="3"/>
  <c r="K49" i="3"/>
  <c r="K57" i="3"/>
  <c r="K61" i="3"/>
  <c r="K65" i="3"/>
  <c r="K69" i="3"/>
  <c r="K73" i="3"/>
  <c r="K55" i="3"/>
  <c r="K58" i="3"/>
  <c r="K62" i="3"/>
  <c r="K66" i="3"/>
  <c r="K70" i="3"/>
  <c r="K35" i="3"/>
  <c r="K39" i="3"/>
  <c r="K38" i="3"/>
  <c r="K43" i="3"/>
  <c r="K47" i="3"/>
  <c r="K42" i="3"/>
  <c r="K46" i="3"/>
  <c r="K50" i="3"/>
  <c r="K54" i="3"/>
  <c r="K53" i="3"/>
  <c r="K59" i="3"/>
  <c r="K63" i="3"/>
  <c r="K67" i="3"/>
  <c r="K71" i="3"/>
  <c r="K51" i="3"/>
  <c r="K56" i="3"/>
  <c r="K60" i="3"/>
  <c r="K64" i="3"/>
  <c r="K68" i="3"/>
  <c r="K72" i="3"/>
  <c r="C64" i="3"/>
  <c r="C68" i="3"/>
  <c r="C72" i="3"/>
  <c r="C38" i="3"/>
  <c r="C42" i="3"/>
  <c r="C46" i="3"/>
  <c r="C50" i="3"/>
  <c r="C54" i="3"/>
  <c r="C66" i="3"/>
  <c r="C36" i="3"/>
  <c r="C44" i="3"/>
  <c r="C52" i="3"/>
  <c r="C58" i="3"/>
  <c r="C35" i="3"/>
  <c r="C65" i="3"/>
  <c r="C69" i="3"/>
  <c r="C73" i="3"/>
  <c r="C39" i="3"/>
  <c r="C43" i="3"/>
  <c r="C47" i="3"/>
  <c r="C51" i="3"/>
  <c r="C55" i="3"/>
  <c r="C59" i="3"/>
  <c r="O32" i="3"/>
  <c r="C62" i="3"/>
  <c r="C70" i="3"/>
  <c r="C40" i="3"/>
  <c r="C48" i="3"/>
  <c r="C56" i="3"/>
  <c r="C60" i="3"/>
  <c r="C63" i="3"/>
  <c r="C67" i="3"/>
  <c r="C71" i="3"/>
  <c r="C37" i="3"/>
  <c r="C41" i="3"/>
  <c r="C45" i="3"/>
  <c r="C49" i="3"/>
  <c r="C53" i="3"/>
  <c r="C57" i="3"/>
  <c r="C61" i="3"/>
  <c r="U43" i="3" l="1"/>
  <c r="M49" i="4"/>
  <c r="M86" i="4" s="1"/>
  <c r="M57" i="4"/>
  <c r="M60" i="4"/>
  <c r="M74" i="4"/>
  <c r="M80" i="4"/>
  <c r="U54" i="4" s="1"/>
  <c r="M51" i="4"/>
  <c r="M59" i="4"/>
  <c r="M62" i="4"/>
  <c r="M77" i="4"/>
  <c r="M81" i="4"/>
  <c r="M54" i="4"/>
  <c r="M61" i="4"/>
  <c r="M64" i="4"/>
  <c r="O64" i="4" s="1"/>
  <c r="M71" i="4"/>
  <c r="M82" i="4"/>
  <c r="M48" i="4"/>
  <c r="M63" i="4"/>
  <c r="M66" i="4"/>
  <c r="M73" i="4"/>
  <c r="I74" i="3"/>
  <c r="G47" i="4"/>
  <c r="R51" i="4" s="1"/>
  <c r="G61" i="4"/>
  <c r="G73" i="4"/>
  <c r="G59" i="4"/>
  <c r="G71" i="4"/>
  <c r="O71" i="4" s="1"/>
  <c r="G48" i="4"/>
  <c r="G65" i="4"/>
  <c r="G77" i="4"/>
  <c r="G63" i="4"/>
  <c r="S55" i="4" s="1"/>
  <c r="G75" i="4"/>
  <c r="O44" i="4"/>
  <c r="J66" i="4"/>
  <c r="J75" i="4"/>
  <c r="O75" i="4" s="1"/>
  <c r="J52" i="4"/>
  <c r="O52" i="4" s="1"/>
  <c r="J69" i="4"/>
  <c r="J48" i="4"/>
  <c r="J57" i="4"/>
  <c r="J84" i="4"/>
  <c r="J56" i="4"/>
  <c r="J73" i="4"/>
  <c r="O44" i="3"/>
  <c r="U45" i="3"/>
  <c r="E86" i="4"/>
  <c r="G55" i="4"/>
  <c r="G53" i="4"/>
  <c r="G69" i="4"/>
  <c r="G70" i="4"/>
  <c r="O70" i="4" s="1"/>
  <c r="G78" i="4"/>
  <c r="G51" i="4"/>
  <c r="G67" i="4"/>
  <c r="G68" i="4"/>
  <c r="O68" i="4" s="1"/>
  <c r="G76" i="4"/>
  <c r="T56" i="4" s="1"/>
  <c r="G84" i="4"/>
  <c r="G49" i="4"/>
  <c r="R53" i="4" s="1"/>
  <c r="G57" i="4"/>
  <c r="O57" i="4" s="1"/>
  <c r="G58" i="4"/>
  <c r="S50" i="4" s="1"/>
  <c r="G74" i="4"/>
  <c r="G80" i="4"/>
  <c r="G54" i="4"/>
  <c r="G56" i="4"/>
  <c r="G72" i="4"/>
  <c r="T52" i="4" s="1"/>
  <c r="J53" i="4"/>
  <c r="J58" i="4"/>
  <c r="J61" i="4"/>
  <c r="S56" i="4" s="1"/>
  <c r="J76" i="4"/>
  <c r="U47" i="4" s="1"/>
  <c r="J80" i="4"/>
  <c r="J47" i="4"/>
  <c r="R54" i="4" s="1"/>
  <c r="J60" i="4"/>
  <c r="J63" i="4"/>
  <c r="O63" i="4" s="1"/>
  <c r="J72" i="4"/>
  <c r="J81" i="4"/>
  <c r="O81" i="4" s="1"/>
  <c r="J49" i="4"/>
  <c r="J62" i="4"/>
  <c r="O62" i="4" s="1"/>
  <c r="J65" i="4"/>
  <c r="J74" i="4"/>
  <c r="J82" i="4"/>
  <c r="J51" i="4"/>
  <c r="J64" i="4"/>
  <c r="J67" i="4"/>
  <c r="J78" i="4"/>
  <c r="U49" i="4" s="1"/>
  <c r="O41" i="3"/>
  <c r="O43" i="3"/>
  <c r="O42" i="3"/>
  <c r="U57" i="4"/>
  <c r="AE74" i="4" s="1"/>
  <c r="U41" i="3"/>
  <c r="AE58" i="3" s="1"/>
  <c r="M74" i="3"/>
  <c r="U40" i="3"/>
  <c r="AF57" i="3" s="1"/>
  <c r="R45" i="3"/>
  <c r="U62" i="3" s="1"/>
  <c r="R41" i="3"/>
  <c r="T58" i="3" s="1"/>
  <c r="R43" i="3"/>
  <c r="U60" i="3" s="1"/>
  <c r="U38" i="3"/>
  <c r="AD55" i="3" s="1"/>
  <c r="R44" i="3"/>
  <c r="S61" i="3" s="1"/>
  <c r="R42" i="3"/>
  <c r="R59" i="3" s="1"/>
  <c r="R46" i="3"/>
  <c r="T63" i="3" s="1"/>
  <c r="U51" i="4"/>
  <c r="AD68" i="4" s="1"/>
  <c r="AF60" i="3"/>
  <c r="AG60" i="3"/>
  <c r="AE60" i="3"/>
  <c r="AD60" i="3"/>
  <c r="S62" i="3"/>
  <c r="T60" i="3"/>
  <c r="R61" i="3"/>
  <c r="U35" i="3"/>
  <c r="O71" i="3"/>
  <c r="O56" i="3"/>
  <c r="S44" i="3"/>
  <c r="O62" i="3"/>
  <c r="T38" i="3"/>
  <c r="O59" i="3"/>
  <c r="T35" i="3"/>
  <c r="O51" i="3"/>
  <c r="S39" i="3"/>
  <c r="U37" i="3"/>
  <c r="O73" i="3"/>
  <c r="T41" i="3"/>
  <c r="O65" i="3"/>
  <c r="S46" i="3"/>
  <c r="O58" i="3"/>
  <c r="O64" i="3"/>
  <c r="T40" i="3"/>
  <c r="K74" i="3"/>
  <c r="T37" i="3"/>
  <c r="O61" i="3"/>
  <c r="S41" i="3"/>
  <c r="O53" i="3"/>
  <c r="O45" i="3"/>
  <c r="O37" i="3"/>
  <c r="R37" i="3"/>
  <c r="T43" i="3"/>
  <c r="O67" i="3"/>
  <c r="O60" i="3"/>
  <c r="T36" i="3"/>
  <c r="S36" i="3"/>
  <c r="O48" i="3"/>
  <c r="O70" i="3"/>
  <c r="T46" i="3"/>
  <c r="O55" i="3"/>
  <c r="S43" i="3"/>
  <c r="O47" i="3"/>
  <c r="S35" i="3"/>
  <c r="R39" i="3"/>
  <c r="O39" i="3"/>
  <c r="T45" i="3"/>
  <c r="O69" i="3"/>
  <c r="R35" i="3"/>
  <c r="C74" i="3"/>
  <c r="O35" i="3"/>
  <c r="O52" i="3"/>
  <c r="S40" i="3"/>
  <c r="O36" i="3"/>
  <c r="R36" i="3"/>
  <c r="S42" i="3"/>
  <c r="O54" i="3"/>
  <c r="O46" i="3"/>
  <c r="R38" i="3"/>
  <c r="O38" i="3"/>
  <c r="T44" i="3"/>
  <c r="O68" i="3"/>
  <c r="G74" i="3"/>
  <c r="U42" i="3"/>
  <c r="H74" i="3"/>
  <c r="K86" i="4"/>
  <c r="I86" i="4"/>
  <c r="R56" i="4"/>
  <c r="R57" i="4"/>
  <c r="N74" i="3"/>
  <c r="O54" i="4"/>
  <c r="T57" i="4"/>
  <c r="R49" i="4"/>
  <c r="O55" i="4"/>
  <c r="O72" i="4"/>
  <c r="U48" i="4"/>
  <c r="T53" i="4"/>
  <c r="T51" i="4"/>
  <c r="O83" i="4"/>
  <c r="S49" i="4"/>
  <c r="O61" i="4"/>
  <c r="T49" i="4"/>
  <c r="J86" i="4"/>
  <c r="E74" i="3"/>
  <c r="F86" i="4"/>
  <c r="U50" i="4"/>
  <c r="J74" i="3"/>
  <c r="L74" i="3"/>
  <c r="O57" i="3"/>
  <c r="S45" i="3"/>
  <c r="O49" i="3"/>
  <c r="S37" i="3"/>
  <c r="O63" i="3"/>
  <c r="T39" i="3"/>
  <c r="O40" i="3"/>
  <c r="R40" i="3"/>
  <c r="O66" i="3"/>
  <c r="T42" i="3"/>
  <c r="S38" i="3"/>
  <c r="O50" i="3"/>
  <c r="O72" i="3"/>
  <c r="U36" i="3"/>
  <c r="AG62" i="3"/>
  <c r="AE62" i="3"/>
  <c r="AF62" i="3"/>
  <c r="AD62" i="3"/>
  <c r="AG58" i="3"/>
  <c r="AG74" i="4"/>
  <c r="AD74" i="4"/>
  <c r="U53" i="4"/>
  <c r="U55" i="4"/>
  <c r="R52" i="4"/>
  <c r="S48" i="4"/>
  <c r="T47" i="4"/>
  <c r="O51" i="4"/>
  <c r="R48" i="4"/>
  <c r="S52" i="4"/>
  <c r="R50" i="4"/>
  <c r="O50" i="4"/>
  <c r="S54" i="4"/>
  <c r="O66" i="4"/>
  <c r="O85" i="4"/>
  <c r="O79" i="4"/>
  <c r="T55" i="4"/>
  <c r="C86" i="4"/>
  <c r="R47" i="4"/>
  <c r="S57" i="4"/>
  <c r="T54" i="4"/>
  <c r="O78" i="4"/>
  <c r="U56" i="4"/>
  <c r="U39" i="3"/>
  <c r="U52" i="4"/>
  <c r="H86" i="4"/>
  <c r="D86" i="4"/>
  <c r="U44" i="3"/>
  <c r="U46" i="3"/>
  <c r="N86" i="4"/>
  <c r="L86" i="4"/>
  <c r="U58" i="4"/>
  <c r="S58" i="4" l="1"/>
  <c r="O47" i="4"/>
  <c r="O76" i="4"/>
  <c r="O80" i="4"/>
  <c r="S47" i="4"/>
  <c r="AF58" i="3"/>
  <c r="T58" i="4"/>
  <c r="T50" i="4"/>
  <c r="AA67" i="4" s="1"/>
  <c r="O82" i="4"/>
  <c r="O65" i="4"/>
  <c r="O60" i="4"/>
  <c r="O56" i="4"/>
  <c r="O77" i="4"/>
  <c r="O59" i="4"/>
  <c r="R60" i="3"/>
  <c r="T62" i="3"/>
  <c r="O69" i="4"/>
  <c r="O73" i="4"/>
  <c r="O84" i="4"/>
  <c r="R55" i="4"/>
  <c r="S72" i="4" s="1"/>
  <c r="G86" i="4"/>
  <c r="S51" i="4"/>
  <c r="X68" i="4" s="1"/>
  <c r="O48" i="4"/>
  <c r="AF74" i="4"/>
  <c r="O49" i="4"/>
  <c r="O67" i="4"/>
  <c r="S53" i="4"/>
  <c r="O53" i="4"/>
  <c r="AD58" i="3"/>
  <c r="U61" i="3"/>
  <c r="S60" i="3"/>
  <c r="R62" i="3"/>
  <c r="R58" i="4"/>
  <c r="O74" i="4"/>
  <c r="O58" i="4"/>
  <c r="T48" i="4"/>
  <c r="Z65" i="4" s="1"/>
  <c r="U63" i="3"/>
  <c r="T61" i="3"/>
  <c r="S63" i="3"/>
  <c r="R63" i="3"/>
  <c r="U59" i="3"/>
  <c r="U58" i="3"/>
  <c r="AG68" i="4"/>
  <c r="AE55" i="3"/>
  <c r="AG57" i="3"/>
  <c r="AF68" i="4"/>
  <c r="S59" i="3"/>
  <c r="AF55" i="3"/>
  <c r="S58" i="3"/>
  <c r="AD57" i="3"/>
  <c r="AE68" i="4"/>
  <c r="T59" i="3"/>
  <c r="AG55" i="3"/>
  <c r="R58" i="3"/>
  <c r="AE57" i="3"/>
  <c r="AG63" i="3"/>
  <c r="AE63" i="3"/>
  <c r="AD63" i="3"/>
  <c r="AF63" i="3"/>
  <c r="AF69" i="4"/>
  <c r="AD69" i="4"/>
  <c r="AE69" i="4"/>
  <c r="AG69" i="4"/>
  <c r="AA71" i="4"/>
  <c r="AB71" i="4"/>
  <c r="AC71" i="4"/>
  <c r="Z71" i="4"/>
  <c r="W74" i="4"/>
  <c r="Y74" i="4"/>
  <c r="X74" i="4"/>
  <c r="V74" i="4"/>
  <c r="AF66" i="4"/>
  <c r="AE66" i="4"/>
  <c r="AG66" i="4"/>
  <c r="AD66" i="4"/>
  <c r="W71" i="4"/>
  <c r="X71" i="4"/>
  <c r="V71" i="4"/>
  <c r="Y71" i="4"/>
  <c r="S67" i="4"/>
  <c r="R67" i="4"/>
  <c r="T67" i="4"/>
  <c r="U67" i="4"/>
  <c r="V68" i="4"/>
  <c r="W68" i="4"/>
  <c r="AA73" i="4"/>
  <c r="AC73" i="4"/>
  <c r="AB73" i="4"/>
  <c r="Z73" i="4"/>
  <c r="AA64" i="4"/>
  <c r="AC64" i="4"/>
  <c r="Z64" i="4"/>
  <c r="AB64" i="4"/>
  <c r="T59" i="4"/>
  <c r="Y65" i="4"/>
  <c r="W65" i="4"/>
  <c r="X65" i="4"/>
  <c r="V65" i="4"/>
  <c r="X64" i="4"/>
  <c r="W64" i="4"/>
  <c r="Y64" i="4"/>
  <c r="V64" i="4"/>
  <c r="T69" i="4"/>
  <c r="R69" i="4"/>
  <c r="S69" i="4"/>
  <c r="U69" i="4"/>
  <c r="AF72" i="4"/>
  <c r="AG72" i="4"/>
  <c r="AD72" i="4"/>
  <c r="AE72" i="4"/>
  <c r="T72" i="4"/>
  <c r="R72" i="4"/>
  <c r="AD70" i="4"/>
  <c r="AF70" i="4"/>
  <c r="AE70" i="4"/>
  <c r="AG70" i="4"/>
  <c r="AD53" i="3"/>
  <c r="AF53" i="3"/>
  <c r="AE53" i="3"/>
  <c r="AG53" i="3"/>
  <c r="AA59" i="3"/>
  <c r="AB59" i="3"/>
  <c r="AC59" i="3"/>
  <c r="Z59" i="3"/>
  <c r="T57" i="3"/>
  <c r="R57" i="3"/>
  <c r="U57" i="3"/>
  <c r="S57" i="3"/>
  <c r="AC56" i="3"/>
  <c r="Z56" i="3"/>
  <c r="AB56" i="3"/>
  <c r="AA56" i="3"/>
  <c r="V54" i="3"/>
  <c r="X54" i="3"/>
  <c r="Y54" i="3"/>
  <c r="W54" i="3"/>
  <c r="W62" i="3"/>
  <c r="X62" i="3"/>
  <c r="V62" i="3"/>
  <c r="Y62" i="3"/>
  <c r="AF67" i="4"/>
  <c r="AD67" i="4"/>
  <c r="AG67" i="4"/>
  <c r="AE67" i="4"/>
  <c r="AC75" i="4"/>
  <c r="AA75" i="4"/>
  <c r="Z75" i="4"/>
  <c r="AB75" i="4"/>
  <c r="AA66" i="4"/>
  <c r="AC66" i="4"/>
  <c r="Z66" i="4"/>
  <c r="AB66" i="4"/>
  <c r="V67" i="4"/>
  <c r="X67" i="4"/>
  <c r="W67" i="4"/>
  <c r="Y67" i="4"/>
  <c r="W66" i="4"/>
  <c r="Y66" i="4"/>
  <c r="V66" i="4"/>
  <c r="X66" i="4"/>
  <c r="AB70" i="4"/>
  <c r="AC70" i="4"/>
  <c r="AA70" i="4"/>
  <c r="Z70" i="4"/>
  <c r="T66" i="4"/>
  <c r="R66" i="4"/>
  <c r="U66" i="4"/>
  <c r="S66" i="4"/>
  <c r="AC67" i="4"/>
  <c r="Z67" i="4"/>
  <c r="AA74" i="4"/>
  <c r="AC74" i="4"/>
  <c r="AB74" i="4"/>
  <c r="Z74" i="4"/>
  <c r="W73" i="4"/>
  <c r="Y73" i="4"/>
  <c r="X73" i="4"/>
  <c r="V73" i="4"/>
  <c r="V72" i="4"/>
  <c r="X72" i="4"/>
  <c r="Y72" i="4"/>
  <c r="W72" i="4"/>
  <c r="S74" i="4"/>
  <c r="U74" i="4"/>
  <c r="T74" i="4"/>
  <c r="R74" i="4"/>
  <c r="T70" i="4"/>
  <c r="S70" i="4"/>
  <c r="U70" i="4"/>
  <c r="R70" i="4"/>
  <c r="AE59" i="3"/>
  <c r="AD59" i="3"/>
  <c r="AF59" i="3"/>
  <c r="AG59" i="3"/>
  <c r="X59" i="3"/>
  <c r="Y59" i="3"/>
  <c r="W59" i="3"/>
  <c r="V59" i="3"/>
  <c r="X52" i="3"/>
  <c r="S47" i="3"/>
  <c r="Y52" i="3"/>
  <c r="V52" i="3"/>
  <c r="W52" i="3"/>
  <c r="X60" i="3"/>
  <c r="Y60" i="3"/>
  <c r="W60" i="3"/>
  <c r="V60" i="3"/>
  <c r="AC63" i="3"/>
  <c r="AA63" i="3"/>
  <c r="Z63" i="3"/>
  <c r="AB63" i="3"/>
  <c r="AA53" i="3"/>
  <c r="AC53" i="3"/>
  <c r="AB53" i="3"/>
  <c r="Z53" i="3"/>
  <c r="T54" i="3"/>
  <c r="R54" i="3"/>
  <c r="S54" i="3"/>
  <c r="U54" i="3"/>
  <c r="W58" i="3"/>
  <c r="X58" i="3"/>
  <c r="Y58" i="3"/>
  <c r="V58" i="3"/>
  <c r="AC54" i="3"/>
  <c r="AA54" i="3"/>
  <c r="Z54" i="3"/>
  <c r="AB54" i="3"/>
  <c r="AB57" i="3"/>
  <c r="Z57" i="3"/>
  <c r="AA57" i="3"/>
  <c r="AC57" i="3"/>
  <c r="X56" i="3"/>
  <c r="W56" i="3"/>
  <c r="V56" i="3"/>
  <c r="Y56" i="3"/>
  <c r="AB52" i="3"/>
  <c r="AA52" i="3"/>
  <c r="Z52" i="3"/>
  <c r="AC52" i="3"/>
  <c r="T47" i="3"/>
  <c r="AA55" i="3"/>
  <c r="AC55" i="3"/>
  <c r="AB55" i="3"/>
  <c r="Z55" i="3"/>
  <c r="W61" i="3"/>
  <c r="Y61" i="3"/>
  <c r="X61" i="3"/>
  <c r="V61" i="3"/>
  <c r="AE73" i="4"/>
  <c r="AG73" i="4"/>
  <c r="AF73" i="4"/>
  <c r="AD73" i="4"/>
  <c r="W75" i="4"/>
  <c r="V75" i="4"/>
  <c r="X75" i="4"/>
  <c r="Y75" i="4"/>
  <c r="AE75" i="4"/>
  <c r="AD75" i="4"/>
  <c r="AF75" i="4"/>
  <c r="AG75" i="4"/>
  <c r="AG61" i="3"/>
  <c r="AF61" i="3"/>
  <c r="AE61" i="3"/>
  <c r="AD61" i="3"/>
  <c r="AD56" i="3"/>
  <c r="AF56" i="3"/>
  <c r="AG56" i="3"/>
  <c r="AE56" i="3"/>
  <c r="S64" i="4"/>
  <c r="U64" i="4"/>
  <c r="R64" i="4"/>
  <c r="T64" i="4"/>
  <c r="AA72" i="4"/>
  <c r="AB72" i="4"/>
  <c r="AC72" i="4"/>
  <c r="Z72" i="4"/>
  <c r="AB69" i="4"/>
  <c r="Z69" i="4"/>
  <c r="AA69" i="4"/>
  <c r="AC69" i="4"/>
  <c r="X69" i="4"/>
  <c r="V69" i="4"/>
  <c r="W69" i="4"/>
  <c r="Y69" i="4"/>
  <c r="R65" i="4"/>
  <c r="T65" i="4"/>
  <c r="S65" i="4"/>
  <c r="U65" i="4"/>
  <c r="T68" i="4"/>
  <c r="R68" i="4"/>
  <c r="U68" i="4"/>
  <c r="S68" i="4"/>
  <c r="U75" i="4"/>
  <c r="R75" i="4"/>
  <c r="U71" i="4"/>
  <c r="S71" i="4"/>
  <c r="T71" i="4"/>
  <c r="R71" i="4"/>
  <c r="X55" i="3"/>
  <c r="V55" i="3"/>
  <c r="W55" i="3"/>
  <c r="Y55" i="3"/>
  <c r="AE71" i="4"/>
  <c r="AF71" i="4"/>
  <c r="AG71" i="4"/>
  <c r="AD71" i="4"/>
  <c r="AF64" i="4"/>
  <c r="AE64" i="4"/>
  <c r="AG64" i="4"/>
  <c r="U59" i="4"/>
  <c r="AD64" i="4"/>
  <c r="Z68" i="4"/>
  <c r="AC68" i="4"/>
  <c r="AA68" i="4"/>
  <c r="AB68" i="4"/>
  <c r="W70" i="4"/>
  <c r="V70" i="4"/>
  <c r="AF65" i="4"/>
  <c r="AD65" i="4"/>
  <c r="AG65" i="4"/>
  <c r="AE65" i="4"/>
  <c r="AB65" i="4"/>
  <c r="AC65" i="4"/>
  <c r="S73" i="4"/>
  <c r="U73" i="4"/>
  <c r="T73" i="4"/>
  <c r="R73" i="4"/>
  <c r="AA61" i="3"/>
  <c r="Z61" i="3"/>
  <c r="AC61" i="3"/>
  <c r="AB61" i="3"/>
  <c r="R55" i="3"/>
  <c r="S55" i="3"/>
  <c r="T55" i="3"/>
  <c r="U55" i="3"/>
  <c r="R53" i="3"/>
  <c r="T53" i="3"/>
  <c r="U53" i="3"/>
  <c r="S53" i="3"/>
  <c r="W57" i="3"/>
  <c r="X57" i="3"/>
  <c r="V57" i="3"/>
  <c r="Y57" i="3"/>
  <c r="O74" i="3"/>
  <c r="T52" i="3"/>
  <c r="S52" i="3"/>
  <c r="R52" i="3"/>
  <c r="U52" i="3"/>
  <c r="R47" i="3"/>
  <c r="AB62" i="3"/>
  <c r="Z62" i="3"/>
  <c r="AA62" i="3"/>
  <c r="AC62" i="3"/>
  <c r="R56" i="3"/>
  <c r="T56" i="3"/>
  <c r="S56" i="3"/>
  <c r="U56" i="3"/>
  <c r="W53" i="3"/>
  <c r="X53" i="3"/>
  <c r="Y53" i="3"/>
  <c r="V53" i="3"/>
  <c r="AB60" i="3"/>
  <c r="AC60" i="3"/>
  <c r="AA60" i="3"/>
  <c r="Z60" i="3"/>
  <c r="Y63" i="3"/>
  <c r="W63" i="3"/>
  <c r="V63" i="3"/>
  <c r="X63" i="3"/>
  <c r="AC58" i="3"/>
  <c r="AB58" i="3"/>
  <c r="AA58" i="3"/>
  <c r="Z58" i="3"/>
  <c r="AD54" i="3"/>
  <c r="AF54" i="3"/>
  <c r="AG54" i="3"/>
  <c r="AE54" i="3"/>
  <c r="AF52" i="3"/>
  <c r="AE52" i="3"/>
  <c r="AD52" i="3"/>
  <c r="AG52" i="3"/>
  <c r="U47" i="3"/>
  <c r="AA65" i="4" l="1"/>
  <c r="AB67" i="4"/>
  <c r="U72" i="4"/>
  <c r="Y68" i="4"/>
  <c r="O86" i="4"/>
  <c r="R59" i="4"/>
  <c r="S59" i="4"/>
  <c r="Y70" i="4"/>
  <c r="R81" i="4" s="1"/>
  <c r="H7" i="1" s="1"/>
  <c r="H22" i="1" s="1"/>
  <c r="H32" i="1" s="1"/>
  <c r="X70" i="4"/>
  <c r="T75" i="4"/>
  <c r="S75" i="4"/>
  <c r="R69" i="3"/>
  <c r="G7" i="1" s="1"/>
  <c r="G22" i="1" s="1"/>
  <c r="G32" i="1" s="1"/>
  <c r="R67" i="3"/>
  <c r="G5" i="1" s="1"/>
  <c r="G20" i="1" s="1"/>
  <c r="G30" i="1" s="1"/>
  <c r="R78" i="4"/>
  <c r="R79" i="4"/>
  <c r="H5" i="1" s="1"/>
  <c r="R66" i="3"/>
  <c r="R68" i="3"/>
  <c r="G6" i="1" s="1"/>
  <c r="G21" i="1" s="1"/>
  <c r="G31" i="1" s="1"/>
  <c r="R80" i="4"/>
  <c r="H6" i="1" s="1"/>
  <c r="I22" i="1" l="1"/>
  <c r="I32" i="1" s="1"/>
  <c r="I6" i="1"/>
  <c r="H21" i="1"/>
  <c r="I5" i="1"/>
  <c r="H20" i="1"/>
  <c r="R70" i="3"/>
  <c r="G4" i="1"/>
  <c r="R82" i="4"/>
  <c r="H4" i="1"/>
  <c r="H19" i="1" s="1"/>
  <c r="H29" i="1" s="1"/>
  <c r="I7" i="1"/>
  <c r="I20" i="1" l="1"/>
  <c r="I30" i="1" s="1"/>
  <c r="H30" i="1"/>
  <c r="H33" i="1" s="1"/>
  <c r="I33" i="1" s="1"/>
  <c r="I21" i="1"/>
  <c r="I31" i="1" s="1"/>
  <c r="H31" i="1"/>
  <c r="H23" i="1"/>
  <c r="G8" i="1"/>
  <c r="G19" i="1"/>
  <c r="G29" i="1" s="1"/>
  <c r="G33" i="1" s="1"/>
  <c r="H8" i="1"/>
  <c r="I4" i="1"/>
  <c r="I8" i="1" l="1"/>
  <c r="G23" i="1"/>
  <c r="I23" i="1" s="1"/>
  <c r="I19" i="1"/>
  <c r="I29" i="1" s="1"/>
</calcChain>
</file>

<file path=xl/sharedStrings.xml><?xml version="1.0" encoding="utf-8"?>
<sst xmlns="http://schemas.openxmlformats.org/spreadsheetml/2006/main" count="407" uniqueCount="146">
  <si>
    <t>Month</t>
  </si>
  <si>
    <t>Half-life: (Weeks)</t>
  </si>
  <si>
    <t>Half-life: (Months)</t>
  </si>
  <si>
    <t>Decay rate: (lamda)</t>
  </si>
  <si>
    <t>Decay factor</t>
  </si>
  <si>
    <t>Tax-rate:</t>
  </si>
  <si>
    <t>3-Yr NPV (2014-16)</t>
  </si>
  <si>
    <t># New Patients: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</si>
  <si>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</si>
  <si>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</si>
  <si>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</si>
  <si>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</si>
  <si>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</si>
  <si>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</si>
  <si>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</si>
  <si>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</si>
  <si>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</si>
  <si>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</si>
  <si>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</si>
  <si>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</si>
  <si>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</si>
  <si>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1</t>
  </si>
  <si>
    <t>Year 2</t>
  </si>
  <si>
    <t>Year 3</t>
  </si>
  <si>
    <t>Year1</t>
  </si>
  <si>
    <t>Year2</t>
  </si>
  <si>
    <t>Year3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</si>
  <si>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</si>
  <si>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</si>
  <si>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</si>
  <si>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</si>
  <si>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</si>
  <si>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</si>
  <si>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</si>
  <si>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</si>
  <si>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</si>
  <si>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</si>
  <si>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</si>
  <si>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</si>
  <si>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</si>
  <si>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ROI</t>
  </si>
  <si>
    <t>Pre-tax Cost:</t>
  </si>
  <si>
    <t>After-tax Revenue:</t>
  </si>
  <si>
    <t># Incremental New Patients:</t>
  </si>
  <si>
    <t>Media Type:</t>
  </si>
  <si>
    <t>New Patients by Months:</t>
  </si>
  <si>
    <t>L.Month + 0</t>
  </si>
  <si>
    <t>L.Month + 1</t>
  </si>
  <si>
    <t>L.Month + 2</t>
  </si>
  <si>
    <t>L.Month + 3</t>
  </si>
  <si>
    <t>L.Month + 4</t>
  </si>
  <si>
    <t>L.Month + 5</t>
  </si>
  <si>
    <t>L.Month + 6</t>
  </si>
  <si>
    <t>L.Month + 7</t>
  </si>
  <si>
    <t>L.Month + 8</t>
  </si>
  <si>
    <t>L.Month + 9</t>
  </si>
  <si>
    <t>L.Month + 10</t>
  </si>
  <si>
    <t>L.Month + 11</t>
  </si>
  <si>
    <t>L.Month + 12</t>
  </si>
  <si>
    <t>L.Month + 13</t>
  </si>
  <si>
    <t>L.Month + 14</t>
  </si>
  <si>
    <t>L.Month + 15</t>
  </si>
  <si>
    <t>L.Month + 16</t>
  </si>
  <si>
    <t>L.Month + 17</t>
  </si>
  <si>
    <t>L.Month + 18</t>
  </si>
  <si>
    <t>L.Month + 19</t>
  </si>
  <si>
    <t>L.Month + 20</t>
  </si>
  <si>
    <t>L.Month + 21</t>
  </si>
  <si>
    <t>L.Month + 22</t>
  </si>
  <si>
    <t>L.Month + 23</t>
  </si>
  <si>
    <t>L.Month + 24</t>
  </si>
  <si>
    <t>L.Month + 25</t>
  </si>
  <si>
    <t>L.Month + 26</t>
  </si>
  <si>
    <t>L.Month + 27</t>
  </si>
  <si>
    <t>L.Month + 28</t>
  </si>
  <si>
    <t>L.Month + 29</t>
  </si>
  <si>
    <t>L.Month + 30</t>
  </si>
  <si>
    <t>L.Month + 31</t>
  </si>
  <si>
    <t>L.Month + 32</t>
  </si>
  <si>
    <t>L.Month + 33</t>
  </si>
  <si>
    <t>L.Month + 34</t>
  </si>
  <si>
    <t>L.Month + 35</t>
  </si>
  <si>
    <t>L.Month + 36</t>
  </si>
  <si>
    <t>L.Month + 37</t>
  </si>
  <si>
    <t>L.Month + 38</t>
  </si>
  <si>
    <t>%Year1</t>
  </si>
  <si>
    <t>%Year2</t>
  </si>
  <si>
    <t>%Year3</t>
  </si>
  <si>
    <t>Year4</t>
  </si>
  <si>
    <t>%Year4</t>
  </si>
  <si>
    <t>Total In-year Revenue:</t>
  </si>
  <si>
    <t>2014 Activation:</t>
  </si>
  <si>
    <t>Revenue realized :</t>
  </si>
  <si>
    <t>in 2014</t>
  </si>
  <si>
    <t>in 2015</t>
  </si>
  <si>
    <t>in 2016</t>
  </si>
  <si>
    <t>in 2017</t>
  </si>
  <si>
    <t>2015 Activation:</t>
  </si>
  <si>
    <t>2016 Activation:</t>
  </si>
  <si>
    <t>in 2018</t>
  </si>
  <si>
    <t>in 2019</t>
  </si>
  <si>
    <t>in 2020</t>
  </si>
  <si>
    <t>Year:</t>
  </si>
  <si>
    <t>Revenue:</t>
  </si>
  <si>
    <t>Total:</t>
  </si>
  <si>
    <t>% Activated</t>
  </si>
  <si>
    <t>In-office</t>
  </si>
  <si>
    <t>Display/Mobile</t>
  </si>
  <si>
    <t>Email</t>
  </si>
  <si>
    <t>Online Video</t>
  </si>
  <si>
    <t>Search</t>
  </si>
  <si>
    <t>2017 &amp; Beyond</t>
  </si>
  <si>
    <t>Magazines</t>
  </si>
  <si>
    <t>Local Newspaper</t>
  </si>
  <si>
    <t>Social</t>
  </si>
  <si>
    <t>2017 Activation:</t>
  </si>
  <si>
    <t>2017 &amp; Beyond:</t>
  </si>
  <si>
    <t>After-tax Revenue by Year:</t>
  </si>
  <si>
    <t>Steps for Revenue per Year Calculation:</t>
  </si>
  <si>
    <t>Choose appropriate half-life period</t>
  </si>
  <si>
    <t>Obtain Monthly decay rate</t>
  </si>
  <si>
    <t>Calculate 1- decay rate to obtain % influenced at time t</t>
  </si>
  <si>
    <t>Calculate after-tax cost</t>
  </si>
  <si>
    <t>Use Janie's ROI to get after-tax total revenue.</t>
  </si>
  <si>
    <t>Obtain equivalent total NPS from AT revenue &amp; after-tax 3-yr NPV.</t>
  </si>
  <si>
    <t>Once total NPS is obtained, split NPS by 1-decay rate % to assume NPS obtained over time due to adstocking effect of HCC.</t>
  </si>
  <si>
    <t>Calculate total NPS across all media types.</t>
  </si>
  <si>
    <t>Calculate 2014, 2015, 2016, 2017 &amp; beyond NPS.</t>
  </si>
  <si>
    <t>Calculate Monthly % revenue proportion using adherence curves</t>
  </si>
  <si>
    <t>Apply NPS*Monthly contribution*NPV to get AT revenue for each Year-Month combination</t>
  </si>
  <si>
    <t>Sum revenue for 2014, 15, 16 , 17 &amp; beyond.</t>
  </si>
  <si>
    <t>Gross sales to PV:</t>
  </si>
  <si>
    <t>Gross Sales by Year:</t>
  </si>
  <si>
    <t>In-office : Pre-tax cost</t>
  </si>
  <si>
    <t>Weighted ROI:</t>
  </si>
  <si>
    <t>Display: Pre-tax</t>
  </si>
  <si>
    <t>Weighted avg of 2012-13 from Senthil and 2013 from Jane Deck.</t>
  </si>
  <si>
    <t>"--&gt;&gt;&gt;&gt;"</t>
  </si>
  <si>
    <t>From Jane's deck.</t>
  </si>
  <si>
    <t>Assumed to be same as Display</t>
  </si>
  <si>
    <t>Same as RealAge - Senthils deck.</t>
  </si>
  <si>
    <t>Net Only of Discounts: Discount Rate:</t>
  </si>
  <si>
    <t>Scenario 1 ($24MM)</t>
  </si>
  <si>
    <t>Scenario 2 ($30MM)</t>
  </si>
  <si>
    <t>Scenario 2 vs 1:
 Incremental ($6MM)</t>
  </si>
  <si>
    <t>Net Revenue by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</si>
</sst>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7" formatCode="&quot;$&quot;#,##0.00_);\(&quot;$&quot;#,##0.00\)"/>
    <numFmt numFmtId="164" formatCode="0.000"/>
    <numFmt numFmtId="165" formatCode="&quot;$&quot;#,##0"/>
    <numFmt numFmtId="166" formatCode="#,##0.000"/>
    <numFmt numFmtId="167" formatCode="0.0%"/>
    <numFmt numFmtId="168" formatCode="0.0"/>
    <numFmt numFmtId="169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Book Antiqua"/>
      <family val="1"/>
    </font>
    <font>
      <sz val="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5" fontId="0" fillId="0" borderId="0" xfId="0" applyNumberFormat="1"/>
    <xf numFmtId="7" fontId="0" fillId="0" borderId="0" xfId="0" applyNumberFormat="1"/>
    <xf numFmtId="166" fontId="0" fillId="0" borderId="0" xfId="0" applyNumberFormat="1"/>
    <xf numFmtId="3" fontId="0" fillId="0" borderId="0" xfId="0" applyNumberFormat="1"/>
    <xf numFmtId="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165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4" borderId="0" xfId="0" applyFill="1"/>
    <xf numFmtId="0" fontId="6" fillId="6" borderId="0" xfId="0" applyFont="1" applyFill="1"/>
    <xf numFmtId="3" fontId="4" fillId="4" borderId="0" xfId="0" applyNumberFormat="1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4" fillId="9" borderId="0" xfId="0" applyNumberFormat="1" applyFont="1" applyFill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9" fontId="5" fillId="7" borderId="1" xfId="0" applyNumberFormat="1" applyFont="1" applyFill="1" applyBorder="1"/>
    <xf numFmtId="9" fontId="5" fillId="6" borderId="1" xfId="0" applyNumberFormat="1" applyFont="1" applyFill="1" applyBorder="1"/>
    <xf numFmtId="9" fontId="5" fillId="3" borderId="1" xfId="0" applyNumberFormat="1" applyFont="1" applyFill="1" applyBorder="1"/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0" borderId="0" xfId="0" applyNumberFormat="1"/>
    <xf numFmtId="167" fontId="7" fillId="14" borderId="2" xfId="1" applyNumberFormat="1" applyFont="1" applyFill="1" applyBorder="1"/>
    <xf numFmtId="167" fontId="7" fillId="14" borderId="0" xfId="1" applyNumberFormat="1" applyFont="1" applyFill="1" applyBorder="1"/>
    <xf numFmtId="9" fontId="8" fillId="13" borderId="0" xfId="0" applyNumberFormat="1" applyFont="1" applyFill="1" applyBorder="1"/>
    <xf numFmtId="3" fontId="0" fillId="12" borderId="0" xfId="0" applyNumberFormat="1" applyFill="1"/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8" borderId="0" xfId="0" applyFill="1"/>
    <xf numFmtId="165" fontId="4" fillId="0" borderId="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" fillId="15" borderId="0" xfId="0" applyFont="1" applyFill="1" applyAlignment="1">
      <alignment horizontal="center"/>
    </xf>
    <xf numFmtId="165" fontId="9" fillId="15" borderId="0" xfId="0" applyNumberFormat="1" applyFont="1" applyFill="1"/>
    <xf numFmtId="165" fontId="9" fillId="15" borderId="0" xfId="0" applyNumberFormat="1" applyFont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2" fillId="5" borderId="13" xfId="0" applyNumberFormat="1" applyFont="1" applyFill="1" applyBorder="1" applyAlignment="1">
      <alignment horizontal="center"/>
    </xf>
    <xf numFmtId="0" fontId="0" fillId="11" borderId="0" xfId="0" applyFill="1"/>
    <xf numFmtId="0" fontId="0" fillId="10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6" borderId="1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8" fontId="0" fillId="16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65" fontId="2" fillId="5" borderId="13" xfId="0" applyNumberFormat="1" applyFont="1" applyFill="1" applyBorder="1" applyAlignment="1">
      <alignment horizontal="center" vertical="center"/>
    </xf>
    <xf numFmtId="165" fontId="2" fillId="5" borderId="10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Product%20NPV%20AB2014%20received%207-9-13%20VERSION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Monthly%20Adherence%20Curves%20Raw%20&amp;%20Adju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 Summary"/>
      <sheetName val="NPV SHARING POLICIES"/>
      <sheetName val="NPV2014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Notes"/>
      <sheetName val="Sheet1"/>
      <sheetName val="Fosamax"/>
      <sheetName val="Fosamax Plus D"/>
      <sheetName val="Fosamax Total"/>
    </sheetNames>
    <sheetDataSet>
      <sheetData sheetId="0"/>
      <sheetData sheetId="1">
        <row r="24">
          <cell r="D24">
            <v>1222.4993693080694</v>
          </cell>
        </row>
        <row r="26">
          <cell r="D26">
            <v>1341.8786437759854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RULES"/>
      <sheetName val="Raw Curves"/>
      <sheetName val="Adjusted Curves"/>
    </sheetNames>
    <sheetDataSet>
      <sheetData sheetId="0"/>
      <sheetData sheetId="1"/>
      <sheetData sheetId="2">
        <row r="31">
          <cell r="C31">
            <v>1</v>
          </cell>
          <cell r="D31">
            <v>0.90610552129666766</v>
          </cell>
          <cell r="E31">
            <v>0.66474626792906999</v>
          </cell>
          <cell r="F31">
            <v>0.64124164902099534</v>
          </cell>
          <cell r="G31">
            <v>0.54117698347402432</v>
          </cell>
          <cell r="H31">
            <v>0.51025933185167127</v>
          </cell>
          <cell r="I31">
            <v>0.48547932267442784</v>
          </cell>
          <cell r="J31">
            <v>0.48005362409561342</v>
          </cell>
          <cell r="K31">
            <v>0.45523186819788147</v>
          </cell>
          <cell r="L31">
            <v>0.43928313237780964</v>
          </cell>
          <cell r="M31">
            <v>0.42066745282380119</v>
          </cell>
          <cell r="N31">
            <v>0.39950949995149343</v>
          </cell>
          <cell r="O31">
            <v>0.39093144977203637</v>
          </cell>
          <cell r="P31">
            <v>0.38291069585435045</v>
          </cell>
          <cell r="Q31">
            <v>0.38076321767921684</v>
          </cell>
          <cell r="R31">
            <v>0.37171614851418178</v>
          </cell>
          <cell r="S31">
            <v>0.37270488492172443</v>
          </cell>
          <cell r="T31">
            <v>0.36774932743560501</v>
          </cell>
          <cell r="U31">
            <v>0.35839558256737353</v>
          </cell>
          <cell r="V31">
            <v>0.35426123129529563</v>
          </cell>
          <cell r="W31">
            <v>0.34211474253910101</v>
          </cell>
          <cell r="X31">
            <v>0.34238762623392033</v>
          </cell>
          <cell r="Y31">
            <v>0.33485906539725552</v>
          </cell>
          <cell r="Z31">
            <v>0.32131583307677547</v>
          </cell>
          <cell r="AA31">
            <v>0.32349067713152857</v>
          </cell>
          <cell r="AB31">
            <v>0.30974679620133722</v>
          </cell>
          <cell r="AC31">
            <v>0.30422886021404322</v>
          </cell>
          <cell r="AD31">
            <v>0.30178926030046821</v>
          </cell>
          <cell r="AE31">
            <v>0.29355912461272771</v>
          </cell>
          <cell r="AF31">
            <v>0.29311976616354662</v>
          </cell>
          <cell r="AG31">
            <v>0.28546484462963512</v>
          </cell>
          <cell r="AH31">
            <v>0.28257423318515756</v>
          </cell>
          <cell r="AI31">
            <v>0.27769204186745183</v>
          </cell>
          <cell r="AJ31">
            <v>0.26899216431934214</v>
          </cell>
          <cell r="AK31">
            <v>0.22542894965502608</v>
          </cell>
          <cell r="AL31">
            <v>0.1535059779957855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0" sqref="A20"/>
    </sheetView>
  </sheetViews>
  <sheetFormatPr defaultRowHeight="15" x14ac:dyDescent="0.25"/>
  <cols>
    <col min="1" max="1" width="9.85546875" customWidth="1"/>
  </cols>
  <sheetData>
    <row r="1" spans="1:1" x14ac:dyDescent="0.25">
      <c r="A1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2" spans="1:1" x14ac:dyDescent="0.25">
      <c r="A12" t="s">
        <v>125</v>
      </c>
    </row>
    <row r="13" spans="1:1" x14ac:dyDescent="0.25">
      <c r="A13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showGridLines="0" tabSelected="1" topLeftCell="C15" workbookViewId="0">
      <selection activeCell="K34" sqref="K34"/>
    </sheetView>
  </sheetViews>
  <sheetFormatPr defaultRowHeight="15" x14ac:dyDescent="0.25"/>
  <cols>
    <col min="2" max="2" width="23.7109375" customWidth="1"/>
    <col min="3" max="3" width="13.5703125" customWidth="1"/>
    <col min="4" max="4" width="13.5703125" style="1" customWidth="1"/>
    <col min="6" max="6" width="17.7109375" customWidth="1"/>
    <col min="7" max="7" width="22.5703125" customWidth="1"/>
    <col min="8" max="8" width="19.42578125" customWidth="1"/>
    <col min="9" max="9" width="22.28515625" customWidth="1"/>
    <col min="10" max="10" width="9.85546875" bestFit="1" customWidth="1"/>
    <col min="11" max="11" width="10.85546875" bestFit="1" customWidth="1"/>
  </cols>
  <sheetData>
    <row r="2" spans="2:11" x14ac:dyDescent="0.25">
      <c r="B2" t="s">
        <v>1</v>
      </c>
      <c r="C2" s="1">
        <v>8</v>
      </c>
      <c r="F2" s="1"/>
      <c r="G2" s="70" t="s">
        <v>117</v>
      </c>
      <c r="H2" s="70"/>
    </row>
    <row r="3" spans="2:11" ht="31.5" customHeight="1" x14ac:dyDescent="0.25">
      <c r="B3" t="s">
        <v>2</v>
      </c>
      <c r="C3" s="1">
        <f>C2/4</f>
        <v>2</v>
      </c>
      <c r="F3" s="54" t="s">
        <v>102</v>
      </c>
      <c r="G3" s="54" t="s">
        <v>142</v>
      </c>
      <c r="H3" s="57" t="s">
        <v>143</v>
      </c>
      <c r="I3" s="75" t="s">
        <v>144</v>
      </c>
      <c r="J3" s="5"/>
    </row>
    <row r="4" spans="2:11" ht="16.5" customHeight="1" x14ac:dyDescent="0.25">
      <c r="B4" t="s">
        <v>3</v>
      </c>
      <c r="C4" s="1">
        <f>(0.5)^(1/C3)</f>
        <v>0.70710678118654757</v>
      </c>
      <c r="F4" s="55">
        <v>2014</v>
      </c>
      <c r="G4" s="59">
        <f>'S1 - $24MM Calculation'!R66</f>
        <v>24534633.027810995</v>
      </c>
      <c r="H4" s="43">
        <f>'S2 - $30MM Calculation'!R78</f>
        <v>26202915.333724957</v>
      </c>
      <c r="I4" s="43">
        <f>H4-G4</f>
        <v>1668282.3059139624</v>
      </c>
    </row>
    <row r="5" spans="2:11" ht="16.5" customHeight="1" x14ac:dyDescent="0.25">
      <c r="B5" s="1" t="s">
        <v>5</v>
      </c>
      <c r="C5" s="1">
        <v>0.39</v>
      </c>
      <c r="F5" s="55">
        <v>2015</v>
      </c>
      <c r="G5" s="59">
        <f>'S1 - $24MM Calculation'!R67</f>
        <v>41973984.079112768</v>
      </c>
      <c r="H5" s="43">
        <f>'S2 - $30MM Calculation'!R79</f>
        <v>44395579.253998101</v>
      </c>
      <c r="I5" s="43">
        <f t="shared" ref="I5:I8" si="0">H5-G5</f>
        <v>2421595.1748853326</v>
      </c>
      <c r="K5" s="3"/>
    </row>
    <row r="6" spans="2:11" ht="16.5" customHeight="1" x14ac:dyDescent="0.25">
      <c r="B6" t="s">
        <v>6</v>
      </c>
      <c r="C6" s="7">
        <f>'[1] Summary'!$D$26</f>
        <v>1341.8786437759854</v>
      </c>
      <c r="F6" s="55">
        <v>2016</v>
      </c>
      <c r="G6" s="59">
        <f>'S1 - $24MM Calculation'!R68</f>
        <v>31975102.385470539</v>
      </c>
      <c r="H6" s="43">
        <f>'S2 - $30MM Calculation'!R80</f>
        <v>33834490.13456995</v>
      </c>
      <c r="I6" s="43">
        <f t="shared" si="0"/>
        <v>1859387.7490994111</v>
      </c>
      <c r="K6" s="3"/>
    </row>
    <row r="7" spans="2:11" ht="16.5" customHeight="1" x14ac:dyDescent="0.25">
      <c r="F7" s="55" t="s">
        <v>116</v>
      </c>
      <c r="G7" s="59">
        <f>'S1 - $24MM Calculation'!R69</f>
        <v>16967659.488385756</v>
      </c>
      <c r="H7" s="43">
        <f>'S2 - $30MM Calculation'!R81</f>
        <v>17844715.476712242</v>
      </c>
      <c r="I7" s="43">
        <f t="shared" si="0"/>
        <v>877055.9883264862</v>
      </c>
      <c r="K7" s="3"/>
    </row>
    <row r="8" spans="2:11" ht="16.5" customHeight="1" x14ac:dyDescent="0.25">
      <c r="B8" s="1" t="s">
        <v>0</v>
      </c>
      <c r="C8" s="1" t="s">
        <v>4</v>
      </c>
      <c r="F8" s="56" t="s">
        <v>104</v>
      </c>
      <c r="G8" s="60">
        <f>SUM(G4:G7)</f>
        <v>115451378.98078005</v>
      </c>
      <c r="H8" s="58">
        <f>SUM(H4:H7)</f>
        <v>122277700.19900526</v>
      </c>
      <c r="I8" s="58">
        <f t="shared" si="0"/>
        <v>6826321.2182252109</v>
      </c>
      <c r="K8" s="3"/>
    </row>
    <row r="9" spans="2:11" x14ac:dyDescent="0.25">
      <c r="B9" s="1">
        <v>0</v>
      </c>
      <c r="C9" s="2">
        <f>$C$4^B9</f>
        <v>1</v>
      </c>
      <c r="D9" s="1" t="s">
        <v>105</v>
      </c>
      <c r="K9" s="3"/>
    </row>
    <row r="10" spans="2:11" x14ac:dyDescent="0.25">
      <c r="B10" s="1">
        <v>1</v>
      </c>
      <c r="C10" s="2">
        <f t="shared" ref="C10:C57" si="1">$C$4^B10</f>
        <v>0.70710678118654757</v>
      </c>
      <c r="D10" s="2">
        <f>C9-C10</f>
        <v>0.29289321881345243</v>
      </c>
      <c r="F10" s="65" t="s">
        <v>131</v>
      </c>
      <c r="G10" s="65"/>
      <c r="K10" s="3"/>
    </row>
    <row r="11" spans="2:11" x14ac:dyDescent="0.25">
      <c r="B11" s="1">
        <v>2</v>
      </c>
      <c r="C11" s="2">
        <f t="shared" si="1"/>
        <v>0.50000000000000011</v>
      </c>
      <c r="D11" s="2">
        <f t="shared" ref="D11:D57" si="2">C10-C11</f>
        <v>0.20710678118654746</v>
      </c>
      <c r="F11" s="65">
        <v>2014</v>
      </c>
      <c r="G11" s="65">
        <v>2.8462694130769273</v>
      </c>
    </row>
    <row r="12" spans="2:11" x14ac:dyDescent="0.25">
      <c r="B12" s="1">
        <v>3</v>
      </c>
      <c r="C12" s="2">
        <f t="shared" si="1"/>
        <v>0.35355339059327384</v>
      </c>
      <c r="D12" s="2">
        <f t="shared" si="2"/>
        <v>0.14644660940672627</v>
      </c>
      <c r="F12" s="65">
        <v>2015</v>
      </c>
      <c r="G12" s="65">
        <v>2.7599092849870228</v>
      </c>
    </row>
    <row r="13" spans="2:11" x14ac:dyDescent="0.25">
      <c r="B13" s="1">
        <v>4</v>
      </c>
      <c r="C13" s="2">
        <f t="shared" si="1"/>
        <v>0.25000000000000011</v>
      </c>
      <c r="D13" s="2">
        <f t="shared" si="2"/>
        <v>0.10355339059327373</v>
      </c>
      <c r="F13" s="65">
        <v>2016</v>
      </c>
      <c r="G13" s="65">
        <v>2.6097327281023004</v>
      </c>
    </row>
    <row r="14" spans="2:11" x14ac:dyDescent="0.25">
      <c r="B14" s="1">
        <v>5</v>
      </c>
      <c r="C14" s="2">
        <f t="shared" si="1"/>
        <v>0.17677669529663698</v>
      </c>
      <c r="D14" s="2">
        <f t="shared" si="2"/>
        <v>7.3223304703363135E-2</v>
      </c>
      <c r="F14" s="55" t="s">
        <v>116</v>
      </c>
      <c r="G14" s="65">
        <f>G13</f>
        <v>2.6097327281023004</v>
      </c>
    </row>
    <row r="15" spans="2:11" x14ac:dyDescent="0.25">
      <c r="B15" s="1">
        <v>6</v>
      </c>
      <c r="C15" s="2">
        <f t="shared" si="1"/>
        <v>0.12500000000000008</v>
      </c>
      <c r="D15" s="2">
        <f t="shared" si="2"/>
        <v>5.1776695296636893E-2</v>
      </c>
    </row>
    <row r="16" spans="2:11" x14ac:dyDescent="0.25">
      <c r="B16" s="1">
        <v>7</v>
      </c>
      <c r="C16" s="2">
        <f t="shared" si="1"/>
        <v>8.8388347648318502E-2</v>
      </c>
      <c r="D16" s="2">
        <f t="shared" si="2"/>
        <v>3.6611652351681581E-2</v>
      </c>
    </row>
    <row r="17" spans="2:9" ht="18" customHeight="1" x14ac:dyDescent="0.25">
      <c r="B17" s="1">
        <v>8</v>
      </c>
      <c r="C17" s="2">
        <f t="shared" si="1"/>
        <v>6.2500000000000056E-2</v>
      </c>
      <c r="D17" s="2">
        <f t="shared" si="2"/>
        <v>2.5888347648318447E-2</v>
      </c>
      <c r="F17" s="76"/>
      <c r="G17" s="77" t="s">
        <v>132</v>
      </c>
      <c r="H17" s="77"/>
      <c r="I17" s="77"/>
    </row>
    <row r="18" spans="2:9" ht="30" customHeight="1" x14ac:dyDescent="0.25">
      <c r="B18" s="1">
        <v>9</v>
      </c>
      <c r="C18" s="2">
        <f t="shared" si="1"/>
        <v>4.4194173824159265E-2</v>
      </c>
      <c r="D18" s="2">
        <f t="shared" si="2"/>
        <v>1.8305826175840791E-2</v>
      </c>
      <c r="F18" s="67" t="s">
        <v>102</v>
      </c>
      <c r="G18" s="67" t="str">
        <f>G3</f>
        <v>Scenario 1 ($24MM)</v>
      </c>
      <c r="H18" s="67" t="str">
        <f t="shared" ref="H18:I18" si="3">H3</f>
        <v>Scenario 2 ($30MM)</v>
      </c>
      <c r="I18" s="68" t="str">
        <f t="shared" si="3"/>
        <v>Scenario 2 vs 1:
 Incremental ($6MM)</v>
      </c>
    </row>
    <row r="19" spans="2:9" ht="18" customHeight="1" x14ac:dyDescent="0.25">
      <c r="B19" s="1">
        <v>10</v>
      </c>
      <c r="C19" s="2">
        <f t="shared" si="1"/>
        <v>3.1250000000000035E-2</v>
      </c>
      <c r="D19" s="2">
        <f t="shared" si="2"/>
        <v>1.294417382415923E-2</v>
      </c>
      <c r="F19" s="78">
        <v>2014</v>
      </c>
      <c r="G19" s="79">
        <f>G4*$G11</f>
        <v>69832175.548125401</v>
      </c>
      <c r="H19" s="80">
        <f>H4*$G11</f>
        <v>74580556.447825745</v>
      </c>
      <c r="I19" s="80">
        <f>H19-G19</f>
        <v>4748380.8997003436</v>
      </c>
    </row>
    <row r="20" spans="2:9" ht="18" customHeight="1" x14ac:dyDescent="0.25">
      <c r="B20" s="1">
        <v>11</v>
      </c>
      <c r="C20" s="2">
        <f t="shared" si="1"/>
        <v>2.2097086912079636E-2</v>
      </c>
      <c r="D20" s="2">
        <f t="shared" si="2"/>
        <v>9.1529130879203988E-3</v>
      </c>
      <c r="F20" s="78">
        <v>2015</v>
      </c>
      <c r="G20" s="81">
        <f t="shared" ref="G20:H22" si="4">G5*$G12</f>
        <v>115844388.38784079</v>
      </c>
      <c r="H20" s="80">
        <f t="shared" si="4"/>
        <v>122527771.39548661</v>
      </c>
      <c r="I20" s="80">
        <f t="shared" ref="I20:I23" si="5">H20-G20</f>
        <v>6683383.0076458156</v>
      </c>
    </row>
    <row r="21" spans="2:9" ht="18" customHeight="1" x14ac:dyDescent="0.25">
      <c r="B21" s="1">
        <v>12</v>
      </c>
      <c r="C21" s="2">
        <f t="shared" si="1"/>
        <v>1.5625000000000021E-2</v>
      </c>
      <c r="D21" s="2">
        <f t="shared" si="2"/>
        <v>6.4720869120796151E-3</v>
      </c>
      <c r="F21" s="78">
        <v>2016</v>
      </c>
      <c r="G21" s="81">
        <f t="shared" si="4"/>
        <v>83446471.179784402</v>
      </c>
      <c r="H21" s="80">
        <f t="shared" si="4"/>
        <v>88298976.242841601</v>
      </c>
      <c r="I21" s="80">
        <f t="shared" si="5"/>
        <v>4852505.0630571991</v>
      </c>
    </row>
    <row r="22" spans="2:9" ht="18" customHeight="1" x14ac:dyDescent="0.25">
      <c r="B22" s="1">
        <v>13</v>
      </c>
      <c r="C22" s="2">
        <f t="shared" si="1"/>
        <v>1.1048543456039821E-2</v>
      </c>
      <c r="D22" s="2">
        <f t="shared" si="2"/>
        <v>4.5764565439601994E-3</v>
      </c>
      <c r="F22" s="78" t="s">
        <v>116</v>
      </c>
      <c r="G22" s="81">
        <f t="shared" si="4"/>
        <v>44281056.286135837</v>
      </c>
      <c r="H22" s="80">
        <f t="shared" si="4"/>
        <v>46569938.003249578</v>
      </c>
      <c r="I22" s="80">
        <f t="shared" si="5"/>
        <v>2288881.7171137407</v>
      </c>
    </row>
    <row r="23" spans="2:9" ht="18" customHeight="1" x14ac:dyDescent="0.25">
      <c r="B23" s="1">
        <v>14</v>
      </c>
      <c r="C23" s="2">
        <f t="shared" si="1"/>
        <v>7.8125000000000121E-3</v>
      </c>
      <c r="D23" s="2">
        <f t="shared" si="2"/>
        <v>3.2360434560398093E-3</v>
      </c>
      <c r="F23" s="82" t="s">
        <v>104</v>
      </c>
      <c r="G23" s="83">
        <f>SUM(G19:G22)</f>
        <v>313404091.40188646</v>
      </c>
      <c r="H23" s="84">
        <f>SUM(H19:H22)</f>
        <v>331977242.08940357</v>
      </c>
      <c r="I23" s="84">
        <f t="shared" si="5"/>
        <v>18573150.687517107</v>
      </c>
    </row>
    <row r="24" spans="2:9" ht="18" customHeight="1" x14ac:dyDescent="0.25">
      <c r="B24" s="1">
        <v>15</v>
      </c>
      <c r="C24" s="2">
        <f t="shared" si="1"/>
        <v>5.5242717280199116E-3</v>
      </c>
      <c r="D24" s="2">
        <f t="shared" si="2"/>
        <v>2.2882282719801006E-3</v>
      </c>
      <c r="F24" s="76"/>
      <c r="G24" s="76"/>
      <c r="H24" s="76"/>
      <c r="I24" s="76"/>
    </row>
    <row r="25" spans="2:9" ht="18" customHeight="1" x14ac:dyDescent="0.25">
      <c r="B25" s="1">
        <v>16</v>
      </c>
      <c r="C25" s="2">
        <f t="shared" si="1"/>
        <v>3.9062500000000069E-3</v>
      </c>
      <c r="D25" s="2">
        <f t="shared" si="2"/>
        <v>1.6180217280199046E-3</v>
      </c>
      <c r="F25" s="76" t="s">
        <v>141</v>
      </c>
      <c r="G25" s="85">
        <f>31.8/100</f>
        <v>0.318</v>
      </c>
      <c r="H25" s="76"/>
      <c r="I25" s="76"/>
    </row>
    <row r="26" spans="2:9" ht="18" customHeight="1" x14ac:dyDescent="0.25">
      <c r="B26" s="1">
        <v>17</v>
      </c>
      <c r="C26" s="2">
        <f t="shared" si="1"/>
        <v>2.7621358640099562E-3</v>
      </c>
      <c r="D26" s="2">
        <f t="shared" si="2"/>
        <v>1.1441141359900507E-3</v>
      </c>
      <c r="F26" s="76"/>
      <c r="G26" s="76"/>
      <c r="H26" s="76"/>
      <c r="I26" s="76"/>
    </row>
    <row r="27" spans="2:9" ht="18" customHeight="1" x14ac:dyDescent="0.25">
      <c r="B27" s="1">
        <v>18</v>
      </c>
      <c r="C27" s="2">
        <f t="shared" si="1"/>
        <v>1.9531250000000039E-3</v>
      </c>
      <c r="D27" s="2">
        <f t="shared" si="2"/>
        <v>8.0901086400995232E-4</v>
      </c>
      <c r="F27" s="76"/>
      <c r="G27" s="77" t="s">
        <v>145</v>
      </c>
      <c r="H27" s="77"/>
      <c r="I27" s="77"/>
    </row>
    <row r="28" spans="2:9" ht="30" customHeight="1" x14ac:dyDescent="0.25">
      <c r="B28" s="1">
        <v>19</v>
      </c>
      <c r="C28" s="2">
        <f t="shared" si="1"/>
        <v>1.3810679320049783E-3</v>
      </c>
      <c r="D28" s="2">
        <f t="shared" si="2"/>
        <v>5.7205706799502557E-4</v>
      </c>
      <c r="F28" s="67" t="s">
        <v>102</v>
      </c>
      <c r="G28" s="67" t="str">
        <f>G18</f>
        <v>Scenario 1 ($24MM)</v>
      </c>
      <c r="H28" s="67" t="str">
        <f>H18</f>
        <v>Scenario 2 ($30MM)</v>
      </c>
      <c r="I28" s="68" t="str">
        <f>I18</f>
        <v>Scenario 2 vs 1:
 Incremental ($6MM)</v>
      </c>
    </row>
    <row r="29" spans="2:9" ht="18" customHeight="1" x14ac:dyDescent="0.25">
      <c r="B29" s="1">
        <v>20</v>
      </c>
      <c r="C29" s="2">
        <f t="shared" si="1"/>
        <v>9.7656250000000217E-4</v>
      </c>
      <c r="D29" s="2">
        <f t="shared" si="2"/>
        <v>4.0450543200497616E-4</v>
      </c>
      <c r="F29" s="78">
        <v>2014</v>
      </c>
      <c r="G29" s="79">
        <f>G19*(1-$G$25)</f>
        <v>47625543.723821521</v>
      </c>
      <c r="H29" s="80">
        <f t="shared" ref="H29:I29" si="6">H19*(1-$G$25)</f>
        <v>50863939.497417152</v>
      </c>
      <c r="I29" s="80">
        <f t="shared" si="6"/>
        <v>3238395.7735956339</v>
      </c>
    </row>
    <row r="30" spans="2:9" ht="18" customHeight="1" x14ac:dyDescent="0.25">
      <c r="B30" s="1">
        <v>21</v>
      </c>
      <c r="C30" s="2">
        <f t="shared" si="1"/>
        <v>6.9053396600248938E-4</v>
      </c>
      <c r="D30" s="2">
        <f t="shared" si="2"/>
        <v>2.8602853399751279E-4</v>
      </c>
      <c r="F30" s="78">
        <v>2015</v>
      </c>
      <c r="G30" s="81">
        <f t="shared" ref="G30:I30" si="7">G20*(1-$G$25)</f>
        <v>79005872.88050741</v>
      </c>
      <c r="H30" s="80">
        <f t="shared" si="7"/>
        <v>83563940.091721863</v>
      </c>
      <c r="I30" s="80">
        <f t="shared" si="7"/>
        <v>4558067.2112144455</v>
      </c>
    </row>
    <row r="31" spans="2:9" ht="18" customHeight="1" x14ac:dyDescent="0.25">
      <c r="B31" s="1">
        <v>22</v>
      </c>
      <c r="C31" s="2">
        <f t="shared" si="1"/>
        <v>4.8828125000000119E-4</v>
      </c>
      <c r="D31" s="2">
        <f t="shared" si="2"/>
        <v>2.0225271600248819E-4</v>
      </c>
      <c r="F31" s="78">
        <v>2016</v>
      </c>
      <c r="G31" s="81">
        <f t="shared" ref="G31:I31" si="8">G21*(1-$G$25)</f>
        <v>56910493.344612956</v>
      </c>
      <c r="H31" s="80">
        <f t="shared" si="8"/>
        <v>60219901.797617964</v>
      </c>
      <c r="I31" s="80">
        <f t="shared" si="8"/>
        <v>3309408.4530050093</v>
      </c>
    </row>
    <row r="32" spans="2:9" ht="18" customHeight="1" x14ac:dyDescent="0.25">
      <c r="B32" s="1">
        <v>23</v>
      </c>
      <c r="C32" s="2">
        <f t="shared" si="1"/>
        <v>3.4526698300124475E-4</v>
      </c>
      <c r="D32" s="2">
        <f t="shared" si="2"/>
        <v>1.4301426699875645E-4</v>
      </c>
      <c r="F32" s="78" t="s">
        <v>116</v>
      </c>
      <c r="G32" s="81">
        <f t="shared" ref="G32:I32" si="9">G22*(1-$G$25)</f>
        <v>30199680.38714464</v>
      </c>
      <c r="H32" s="80">
        <f t="shared" si="9"/>
        <v>31760697.718216211</v>
      </c>
      <c r="I32" s="80">
        <f t="shared" si="9"/>
        <v>1561017.331071571</v>
      </c>
    </row>
    <row r="33" spans="2:9" ht="18" customHeight="1" x14ac:dyDescent="0.25">
      <c r="B33" s="1">
        <v>24</v>
      </c>
      <c r="C33" s="2">
        <f t="shared" si="1"/>
        <v>2.4414062500000065E-4</v>
      </c>
      <c r="D33" s="2">
        <f t="shared" si="2"/>
        <v>1.0112635800124409E-4</v>
      </c>
      <c r="F33" s="82" t="s">
        <v>104</v>
      </c>
      <c r="G33" s="83">
        <f>SUM(G29:G32)</f>
        <v>213741590.33608651</v>
      </c>
      <c r="H33" s="84">
        <f>SUM(H29:H32)</f>
        <v>226408479.1049732</v>
      </c>
      <c r="I33" s="84">
        <f t="shared" ref="I30:I33" si="10">H33-G33</f>
        <v>12666888.768886685</v>
      </c>
    </row>
    <row r="34" spans="2:9" x14ac:dyDescent="0.25">
      <c r="B34" s="1">
        <v>25</v>
      </c>
      <c r="C34" s="2">
        <f t="shared" si="1"/>
        <v>1.7263349150062243E-4</v>
      </c>
      <c r="D34" s="2">
        <f t="shared" si="2"/>
        <v>7.1507133499378224E-5</v>
      </c>
    </row>
    <row r="35" spans="2:9" x14ac:dyDescent="0.25">
      <c r="B35" s="1">
        <v>26</v>
      </c>
      <c r="C35" s="2">
        <f t="shared" si="1"/>
        <v>1.2207031250000035E-4</v>
      </c>
      <c r="D35" s="2">
        <f t="shared" si="2"/>
        <v>5.0563179000622074E-5</v>
      </c>
    </row>
    <row r="36" spans="2:9" x14ac:dyDescent="0.25">
      <c r="B36" s="1">
        <v>27</v>
      </c>
      <c r="C36" s="2">
        <f t="shared" si="1"/>
        <v>8.6316745750311227E-5</v>
      </c>
      <c r="D36" s="2">
        <f t="shared" si="2"/>
        <v>3.5753566749689125E-5</v>
      </c>
    </row>
    <row r="37" spans="2:9" x14ac:dyDescent="0.25">
      <c r="B37" s="1">
        <v>28</v>
      </c>
      <c r="C37" s="2">
        <f t="shared" si="1"/>
        <v>6.103515625000019E-5</v>
      </c>
      <c r="D37" s="2">
        <f t="shared" si="2"/>
        <v>2.5281589500311037E-5</v>
      </c>
    </row>
    <row r="38" spans="2:9" x14ac:dyDescent="0.25">
      <c r="B38" s="1">
        <v>29</v>
      </c>
      <c r="C38" s="2">
        <f t="shared" si="1"/>
        <v>4.3158372875155627E-5</v>
      </c>
      <c r="D38" s="2">
        <f t="shared" si="2"/>
        <v>1.7876783374844563E-5</v>
      </c>
    </row>
    <row r="39" spans="2:9" x14ac:dyDescent="0.25">
      <c r="B39" s="1">
        <v>30</v>
      </c>
      <c r="C39" s="2">
        <f t="shared" si="1"/>
        <v>3.0517578125000102E-5</v>
      </c>
      <c r="D39" s="2">
        <f t="shared" si="2"/>
        <v>1.2640794750155525E-5</v>
      </c>
    </row>
    <row r="40" spans="2:9" x14ac:dyDescent="0.25">
      <c r="B40" s="1">
        <v>31</v>
      </c>
      <c r="C40" s="2">
        <f t="shared" si="1"/>
        <v>2.1579186437577817E-5</v>
      </c>
      <c r="D40" s="2">
        <f t="shared" si="2"/>
        <v>8.9383916874222847E-6</v>
      </c>
    </row>
    <row r="41" spans="2:9" x14ac:dyDescent="0.25">
      <c r="B41" s="1">
        <v>32</v>
      </c>
      <c r="C41" s="2">
        <f t="shared" si="1"/>
        <v>1.5258789062500054E-5</v>
      </c>
      <c r="D41" s="2">
        <f t="shared" si="2"/>
        <v>6.3203973750777627E-6</v>
      </c>
    </row>
    <row r="42" spans="2:9" x14ac:dyDescent="0.25">
      <c r="B42" s="1">
        <v>33</v>
      </c>
      <c r="C42" s="2">
        <f t="shared" si="1"/>
        <v>1.0789593218788912E-5</v>
      </c>
      <c r="D42" s="2">
        <f t="shared" si="2"/>
        <v>4.4691958437111424E-6</v>
      </c>
    </row>
    <row r="43" spans="2:9" x14ac:dyDescent="0.25">
      <c r="B43" s="1">
        <v>34</v>
      </c>
      <c r="C43" s="2">
        <f t="shared" si="1"/>
        <v>7.6293945312500288E-6</v>
      </c>
      <c r="D43" s="2">
        <f t="shared" si="2"/>
        <v>3.160198687538883E-6</v>
      </c>
    </row>
    <row r="44" spans="2:9" x14ac:dyDescent="0.25">
      <c r="B44" s="1">
        <v>35</v>
      </c>
      <c r="C44" s="2">
        <f t="shared" si="1"/>
        <v>5.3947966093944568E-6</v>
      </c>
      <c r="D44" s="2">
        <f t="shared" si="2"/>
        <v>2.234597921855572E-6</v>
      </c>
    </row>
    <row r="45" spans="2:9" x14ac:dyDescent="0.25">
      <c r="B45" s="1">
        <v>36</v>
      </c>
      <c r="C45" s="2">
        <f t="shared" si="1"/>
        <v>3.8146972656250152E-6</v>
      </c>
      <c r="D45" s="2">
        <f t="shared" si="2"/>
        <v>1.5800993437694415E-6</v>
      </c>
    </row>
    <row r="46" spans="2:9" x14ac:dyDescent="0.25">
      <c r="B46" s="1">
        <v>37</v>
      </c>
      <c r="C46" s="2">
        <f t="shared" si="1"/>
        <v>2.6973983046972292E-6</v>
      </c>
      <c r="D46" s="2">
        <f t="shared" si="2"/>
        <v>1.117298960927786E-6</v>
      </c>
    </row>
    <row r="47" spans="2:9" x14ac:dyDescent="0.25">
      <c r="B47" s="1">
        <v>38</v>
      </c>
      <c r="C47" s="2">
        <f t="shared" si="1"/>
        <v>1.907348632812508E-6</v>
      </c>
      <c r="D47" s="2">
        <f t="shared" si="2"/>
        <v>7.9004967188472118E-7</v>
      </c>
    </row>
    <row r="48" spans="2:9" x14ac:dyDescent="0.25">
      <c r="B48" s="1">
        <v>39</v>
      </c>
      <c r="C48" s="2">
        <f t="shared" si="1"/>
        <v>1.3486991523486148E-6</v>
      </c>
      <c r="D48" s="2">
        <f t="shared" si="2"/>
        <v>5.5864948046389322E-7</v>
      </c>
    </row>
    <row r="49" spans="2:4" x14ac:dyDescent="0.25">
      <c r="B49" s="1">
        <v>40</v>
      </c>
      <c r="C49" s="2">
        <f t="shared" si="1"/>
        <v>9.5367431640625424E-7</v>
      </c>
      <c r="D49" s="2">
        <f t="shared" si="2"/>
        <v>3.9502483594236059E-7</v>
      </c>
    </row>
    <row r="50" spans="2:4" x14ac:dyDescent="0.25">
      <c r="B50" s="1">
        <v>41</v>
      </c>
      <c r="C50" s="2">
        <f t="shared" si="1"/>
        <v>6.7434957617430763E-7</v>
      </c>
      <c r="D50" s="2">
        <f t="shared" si="2"/>
        <v>2.7932474023194661E-7</v>
      </c>
    </row>
    <row r="51" spans="2:4" x14ac:dyDescent="0.25">
      <c r="B51" s="1">
        <v>42</v>
      </c>
      <c r="C51" s="2">
        <f t="shared" si="1"/>
        <v>4.7683715820312722E-7</v>
      </c>
      <c r="D51" s="2">
        <f t="shared" si="2"/>
        <v>1.975124179711804E-7</v>
      </c>
    </row>
    <row r="52" spans="2:4" x14ac:dyDescent="0.25">
      <c r="B52" s="1">
        <v>43</v>
      </c>
      <c r="C52" s="2">
        <f t="shared" si="1"/>
        <v>3.3717478808715387E-7</v>
      </c>
      <c r="D52" s="2">
        <f t="shared" si="2"/>
        <v>1.3966237011597336E-7</v>
      </c>
    </row>
    <row r="53" spans="2:4" x14ac:dyDescent="0.25">
      <c r="B53" s="1">
        <v>44</v>
      </c>
      <c r="C53" s="2">
        <f t="shared" si="1"/>
        <v>2.3841857910156366E-7</v>
      </c>
      <c r="D53" s="2">
        <f t="shared" si="2"/>
        <v>9.8756208985590201E-8</v>
      </c>
    </row>
    <row r="54" spans="2:4" x14ac:dyDescent="0.25">
      <c r="B54" s="1">
        <v>45</v>
      </c>
      <c r="C54" s="2">
        <f t="shared" si="1"/>
        <v>1.6858739404357699E-7</v>
      </c>
      <c r="D54" s="2">
        <f t="shared" si="2"/>
        <v>6.9831185057986679E-8</v>
      </c>
    </row>
    <row r="55" spans="2:4" x14ac:dyDescent="0.25">
      <c r="B55" s="1">
        <v>46</v>
      </c>
      <c r="C55" s="2">
        <f t="shared" si="1"/>
        <v>1.1920928955078186E-7</v>
      </c>
      <c r="D55" s="2">
        <f t="shared" si="2"/>
        <v>4.9378104492795127E-8</v>
      </c>
    </row>
    <row r="56" spans="2:4" x14ac:dyDescent="0.25">
      <c r="B56" s="1">
        <v>47</v>
      </c>
      <c r="C56" s="2">
        <f t="shared" si="1"/>
        <v>8.4293697021788506E-8</v>
      </c>
      <c r="D56" s="2">
        <f t="shared" si="2"/>
        <v>3.4915592528993353E-8</v>
      </c>
    </row>
    <row r="57" spans="2:4" x14ac:dyDescent="0.25">
      <c r="B57" s="1">
        <v>48</v>
      </c>
      <c r="C57" s="2">
        <f t="shared" si="1"/>
        <v>5.9604644775390943E-8</v>
      </c>
      <c r="D57" s="2">
        <f t="shared" si="2"/>
        <v>2.4689052246397563E-8</v>
      </c>
    </row>
  </sheetData>
  <mergeCells count="3">
    <mergeCell ref="G2:H2"/>
    <mergeCell ref="G17:I17"/>
    <mergeCell ref="G27:I2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topLeftCell="O1" workbookViewId="0">
      <selection activeCell="BD58" sqref="BD58"/>
    </sheetView>
  </sheetViews>
  <sheetFormatPr defaultRowHeight="15" x14ac:dyDescent="0.25"/>
  <cols>
    <col min="1" max="1" width="7.5703125" customWidth="1"/>
    <col min="2" max="49" width="3.42578125" customWidth="1"/>
    <col min="50" max="50" width="10.140625" customWidth="1"/>
    <col min="51" max="51" width="10.85546875" customWidth="1"/>
    <col min="52" max="53" width="10.7109375" customWidth="1"/>
  </cols>
  <sheetData>
    <row r="1" spans="1:57" x14ac:dyDescent="0.25">
      <c r="B1" s="71" t="s">
        <v>21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 t="s">
        <v>22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 t="s">
        <v>23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7" x14ac:dyDescent="0.25">
      <c r="A2" t="s">
        <v>8</v>
      </c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9" t="s">
        <v>24</v>
      </c>
      <c r="AY2" s="9" t="s">
        <v>25</v>
      </c>
      <c r="AZ2" s="9" t="s">
        <v>26</v>
      </c>
      <c r="BA2" s="9" t="s">
        <v>88</v>
      </c>
      <c r="BB2" s="34" t="s">
        <v>85</v>
      </c>
      <c r="BC2" s="34" t="s">
        <v>86</v>
      </c>
      <c r="BD2" s="34" t="s">
        <v>87</v>
      </c>
      <c r="BE2" s="34" t="s">
        <v>89</v>
      </c>
    </row>
    <row r="3" spans="1:57" x14ac:dyDescent="0.25">
      <c r="A3" t="s">
        <v>9</v>
      </c>
      <c r="B3" s="30">
        <f>'[2]Adjusted Curves'!C31</f>
        <v>1</v>
      </c>
      <c r="C3" s="30">
        <f>'[2]Adjusted Curves'!D31</f>
        <v>0.90610552129666766</v>
      </c>
      <c r="D3" s="30">
        <f>'[2]Adjusted Curves'!E31</f>
        <v>0.66474626792906999</v>
      </c>
      <c r="E3" s="30">
        <f>'[2]Adjusted Curves'!F31</f>
        <v>0.64124164902099534</v>
      </c>
      <c r="F3" s="30">
        <f>'[2]Adjusted Curves'!G31</f>
        <v>0.54117698347402432</v>
      </c>
      <c r="G3" s="30">
        <f>'[2]Adjusted Curves'!H31</f>
        <v>0.51025933185167127</v>
      </c>
      <c r="H3" s="30">
        <f>'[2]Adjusted Curves'!I31</f>
        <v>0.48547932267442784</v>
      </c>
      <c r="I3" s="30">
        <f>'[2]Adjusted Curves'!J31</f>
        <v>0.48005362409561342</v>
      </c>
      <c r="J3" s="30">
        <f>'[2]Adjusted Curves'!K31</f>
        <v>0.45523186819788147</v>
      </c>
      <c r="K3" s="30">
        <f>'[2]Adjusted Curves'!L31</f>
        <v>0.43928313237780964</v>
      </c>
      <c r="L3" s="30">
        <f>'[2]Adjusted Curves'!M31</f>
        <v>0.42066745282380119</v>
      </c>
      <c r="M3" s="30">
        <f>'[2]Adjusted Curves'!N31</f>
        <v>0.39950949995149343</v>
      </c>
      <c r="N3" s="31">
        <f>'[2]Adjusted Curves'!O31</f>
        <v>0.39093144977203637</v>
      </c>
      <c r="O3" s="31">
        <f>'[2]Adjusted Curves'!P31</f>
        <v>0.38291069585435045</v>
      </c>
      <c r="P3" s="31">
        <f>'[2]Adjusted Curves'!Q31</f>
        <v>0.38076321767921684</v>
      </c>
      <c r="Q3" s="31">
        <f>'[2]Adjusted Curves'!R31</f>
        <v>0.37171614851418178</v>
      </c>
      <c r="R3" s="31">
        <f>'[2]Adjusted Curves'!S31</f>
        <v>0.37270488492172443</v>
      </c>
      <c r="S3" s="31">
        <f>'[2]Adjusted Curves'!T31</f>
        <v>0.36774932743560501</v>
      </c>
      <c r="T3" s="31">
        <f>'[2]Adjusted Curves'!U31</f>
        <v>0.35839558256737353</v>
      </c>
      <c r="U3" s="31">
        <f>'[2]Adjusted Curves'!V31</f>
        <v>0.35426123129529563</v>
      </c>
      <c r="V3" s="31">
        <f>'[2]Adjusted Curves'!W31</f>
        <v>0.34211474253910101</v>
      </c>
      <c r="W3" s="31">
        <f>'[2]Adjusted Curves'!X31</f>
        <v>0.34238762623392033</v>
      </c>
      <c r="X3" s="31">
        <f>'[2]Adjusted Curves'!Y31</f>
        <v>0.33485906539725552</v>
      </c>
      <c r="Y3" s="31">
        <f>'[2]Adjusted Curves'!Z31</f>
        <v>0.32131583307677547</v>
      </c>
      <c r="Z3" s="32">
        <f>'[2]Adjusted Curves'!AA31</f>
        <v>0.32349067713152857</v>
      </c>
      <c r="AA3" s="32">
        <f>'[2]Adjusted Curves'!AB31</f>
        <v>0.30974679620133722</v>
      </c>
      <c r="AB3" s="32">
        <f>'[2]Adjusted Curves'!AC31</f>
        <v>0.30422886021404322</v>
      </c>
      <c r="AC3" s="32">
        <f>'[2]Adjusted Curves'!AD31</f>
        <v>0.30178926030046821</v>
      </c>
      <c r="AD3" s="32">
        <f>'[2]Adjusted Curves'!AE31</f>
        <v>0.29355912461272771</v>
      </c>
      <c r="AE3" s="32">
        <f>'[2]Adjusted Curves'!AF31</f>
        <v>0.29311976616354662</v>
      </c>
      <c r="AF3" s="32">
        <f>'[2]Adjusted Curves'!AG31</f>
        <v>0.28546484462963512</v>
      </c>
      <c r="AG3" s="32">
        <f>'[2]Adjusted Curves'!AH31</f>
        <v>0.28257423318515756</v>
      </c>
      <c r="AH3" s="32">
        <f>'[2]Adjusted Curves'!AI31</f>
        <v>0.27769204186745183</v>
      </c>
      <c r="AI3" s="32">
        <f>'[2]Adjusted Curves'!AJ31</f>
        <v>0.26899216431934214</v>
      </c>
      <c r="AJ3" s="32">
        <f>'[2]Adjusted Curves'!AK31</f>
        <v>0.22542894965502608</v>
      </c>
      <c r="AK3" s="32">
        <f>'[2]Adjusted Curves'!AL31</f>
        <v>0.1535059779957855</v>
      </c>
      <c r="AL3" s="38">
        <v>0</v>
      </c>
      <c r="AM3" s="38">
        <v>0</v>
      </c>
      <c r="AN3" s="38">
        <v>0</v>
      </c>
      <c r="AO3" s="38">
        <v>0</v>
      </c>
      <c r="AP3" s="38">
        <v>0</v>
      </c>
      <c r="AQ3" s="38">
        <v>0</v>
      </c>
      <c r="AR3" s="38">
        <v>0</v>
      </c>
      <c r="AS3" s="38">
        <v>0</v>
      </c>
      <c r="AT3" s="38">
        <v>0</v>
      </c>
      <c r="AU3" s="38">
        <v>0</v>
      </c>
      <c r="AV3" s="38">
        <v>0</v>
      </c>
      <c r="AW3" s="38">
        <v>0</v>
      </c>
      <c r="AX3" s="33">
        <f t="shared" ref="AX3:AX14" si="0">SUM(B3:M3)</f>
        <v>6.943754653693456</v>
      </c>
      <c r="AY3" s="33">
        <f t="shared" ref="AY3:AY14" si="1">SUM(N3:Y3)</f>
        <v>4.3201098052868367</v>
      </c>
      <c r="AZ3" s="33">
        <f t="shared" ref="AZ3:AZ14" si="2">SUM(Z3:AK3)</f>
        <v>3.3195926962760502</v>
      </c>
      <c r="BA3" s="33">
        <f>SUM(AL3:AW3)</f>
        <v>0</v>
      </c>
      <c r="BB3" s="35">
        <f>AX3/SUM($AX3:$BA3)</f>
        <v>0.47613913352436499</v>
      </c>
      <c r="BC3" s="35">
        <f>AY3/SUM($AX3:$BA3)</f>
        <v>0.29623358571940062</v>
      </c>
      <c r="BD3" s="35">
        <f>AZ3/SUM($AX3:$BA3)</f>
        <v>0.22762728075623434</v>
      </c>
      <c r="BE3" s="35">
        <f>BA3/SUM($AX3:$BA3)</f>
        <v>0</v>
      </c>
    </row>
    <row r="4" spans="1:57" x14ac:dyDescent="0.25">
      <c r="A4" t="s">
        <v>10</v>
      </c>
      <c r="B4" s="30"/>
      <c r="C4" s="30">
        <f>B3</f>
        <v>1</v>
      </c>
      <c r="D4" s="30">
        <f t="shared" ref="D4:AK12" si="3">C3</f>
        <v>0.90610552129666766</v>
      </c>
      <c r="E4" s="30">
        <f t="shared" si="3"/>
        <v>0.66474626792906999</v>
      </c>
      <c r="F4" s="30">
        <f t="shared" si="3"/>
        <v>0.64124164902099534</v>
      </c>
      <c r="G4" s="30">
        <f t="shared" si="3"/>
        <v>0.54117698347402432</v>
      </c>
      <c r="H4" s="30">
        <f t="shared" si="3"/>
        <v>0.51025933185167127</v>
      </c>
      <c r="I4" s="30">
        <f t="shared" si="3"/>
        <v>0.48547932267442784</v>
      </c>
      <c r="J4" s="30">
        <f t="shared" si="3"/>
        <v>0.48005362409561342</v>
      </c>
      <c r="K4" s="30">
        <f t="shared" si="3"/>
        <v>0.45523186819788147</v>
      </c>
      <c r="L4" s="30">
        <f t="shared" si="3"/>
        <v>0.43928313237780964</v>
      </c>
      <c r="M4" s="30">
        <f t="shared" si="3"/>
        <v>0.42066745282380119</v>
      </c>
      <c r="N4" s="31">
        <f t="shared" si="3"/>
        <v>0.39950949995149343</v>
      </c>
      <c r="O4" s="31">
        <f t="shared" si="3"/>
        <v>0.39093144977203637</v>
      </c>
      <c r="P4" s="31">
        <f t="shared" si="3"/>
        <v>0.38291069585435045</v>
      </c>
      <c r="Q4" s="31">
        <f t="shared" si="3"/>
        <v>0.38076321767921684</v>
      </c>
      <c r="R4" s="31">
        <f t="shared" si="3"/>
        <v>0.37171614851418178</v>
      </c>
      <c r="S4" s="31">
        <f t="shared" si="3"/>
        <v>0.37270488492172443</v>
      </c>
      <c r="T4" s="31">
        <f t="shared" si="3"/>
        <v>0.36774932743560501</v>
      </c>
      <c r="U4" s="31">
        <f t="shared" si="3"/>
        <v>0.35839558256737353</v>
      </c>
      <c r="V4" s="31">
        <f t="shared" si="3"/>
        <v>0.35426123129529563</v>
      </c>
      <c r="W4" s="31">
        <f t="shared" si="3"/>
        <v>0.34211474253910101</v>
      </c>
      <c r="X4" s="31">
        <f t="shared" si="3"/>
        <v>0.34238762623392033</v>
      </c>
      <c r="Y4" s="31">
        <f t="shared" si="3"/>
        <v>0.33485906539725552</v>
      </c>
      <c r="Z4" s="32">
        <f t="shared" si="3"/>
        <v>0.32131583307677547</v>
      </c>
      <c r="AA4" s="32">
        <f t="shared" si="3"/>
        <v>0.32349067713152857</v>
      </c>
      <c r="AB4" s="32">
        <f t="shared" si="3"/>
        <v>0.30974679620133722</v>
      </c>
      <c r="AC4" s="32">
        <f t="shared" si="3"/>
        <v>0.30422886021404322</v>
      </c>
      <c r="AD4" s="32">
        <f t="shared" si="3"/>
        <v>0.30178926030046821</v>
      </c>
      <c r="AE4" s="32">
        <f t="shared" si="3"/>
        <v>0.29355912461272771</v>
      </c>
      <c r="AF4" s="32">
        <f t="shared" si="3"/>
        <v>0.29311976616354662</v>
      </c>
      <c r="AG4" s="32">
        <f t="shared" si="3"/>
        <v>0.28546484462963512</v>
      </c>
      <c r="AH4" s="32">
        <f t="shared" si="3"/>
        <v>0.28257423318515756</v>
      </c>
      <c r="AI4" s="32">
        <f t="shared" si="3"/>
        <v>0.27769204186745183</v>
      </c>
      <c r="AJ4" s="32">
        <f t="shared" si="3"/>
        <v>0.26899216431934214</v>
      </c>
      <c r="AK4" s="32">
        <f t="shared" si="3"/>
        <v>0.22542894965502608</v>
      </c>
      <c r="AL4" s="38">
        <f t="shared" ref="AL4:AW14" si="4">AK3</f>
        <v>0.1535059779957855</v>
      </c>
      <c r="AM4" s="38">
        <f t="shared" si="4"/>
        <v>0</v>
      </c>
      <c r="AN4" s="38">
        <f t="shared" si="4"/>
        <v>0</v>
      </c>
      <c r="AO4" s="38">
        <f t="shared" si="4"/>
        <v>0</v>
      </c>
      <c r="AP4" s="38">
        <f t="shared" si="4"/>
        <v>0</v>
      </c>
      <c r="AQ4" s="38">
        <f t="shared" si="4"/>
        <v>0</v>
      </c>
      <c r="AR4" s="38">
        <f t="shared" si="4"/>
        <v>0</v>
      </c>
      <c r="AS4" s="38">
        <f t="shared" si="4"/>
        <v>0</v>
      </c>
      <c r="AT4" s="38">
        <f t="shared" si="4"/>
        <v>0</v>
      </c>
      <c r="AU4" s="38">
        <f t="shared" si="4"/>
        <v>0</v>
      </c>
      <c r="AV4" s="38">
        <f t="shared" si="4"/>
        <v>0</v>
      </c>
      <c r="AW4" s="38">
        <f t="shared" si="4"/>
        <v>0</v>
      </c>
      <c r="AX4" s="33">
        <f t="shared" si="0"/>
        <v>6.5442451537419624</v>
      </c>
      <c r="AY4" s="33">
        <f t="shared" si="1"/>
        <v>4.3983034721615546</v>
      </c>
      <c r="AZ4" s="33">
        <f t="shared" si="2"/>
        <v>3.4874025513570399</v>
      </c>
      <c r="BA4" s="33">
        <f t="shared" ref="BA4:BA14" si="5">SUM(AL4:AW4)</f>
        <v>0.1535059779957855</v>
      </c>
      <c r="BB4" s="35">
        <f t="shared" ref="BB4:BB14" si="6">AX4/SUM($AX4:$BA4)</f>
        <v>0.44874442898357669</v>
      </c>
      <c r="BC4" s="35">
        <f t="shared" ref="BC4:BC14" si="7">AY4/SUM($AX4:$BA4)</f>
        <v>0.30159539163704174</v>
      </c>
      <c r="BD4" s="35">
        <f t="shared" ref="BD4:BD14" si="8">AZ4/SUM($AX4:$BA4)</f>
        <v>0.23913414454679352</v>
      </c>
      <c r="BE4" s="35">
        <f t="shared" ref="BE4:BE14" si="9">BA4/SUM($AX4:$BA4)</f>
        <v>1.0526034832588176E-2</v>
      </c>
    </row>
    <row r="5" spans="1:57" x14ac:dyDescent="0.25">
      <c r="A5" t="s">
        <v>11</v>
      </c>
      <c r="B5" s="30"/>
      <c r="C5" s="30"/>
      <c r="D5" s="30">
        <f>C4</f>
        <v>1</v>
      </c>
      <c r="E5" s="30">
        <f t="shared" si="3"/>
        <v>0.90610552129666766</v>
      </c>
      <c r="F5" s="30">
        <f t="shared" si="3"/>
        <v>0.66474626792906999</v>
      </c>
      <c r="G5" s="30">
        <f t="shared" si="3"/>
        <v>0.64124164902099534</v>
      </c>
      <c r="H5" s="30">
        <f t="shared" si="3"/>
        <v>0.54117698347402432</v>
      </c>
      <c r="I5" s="30">
        <f t="shared" si="3"/>
        <v>0.51025933185167127</v>
      </c>
      <c r="J5" s="30">
        <f t="shared" si="3"/>
        <v>0.48547932267442784</v>
      </c>
      <c r="K5" s="30">
        <f t="shared" si="3"/>
        <v>0.48005362409561342</v>
      </c>
      <c r="L5" s="30">
        <f t="shared" si="3"/>
        <v>0.45523186819788147</v>
      </c>
      <c r="M5" s="30">
        <f t="shared" si="3"/>
        <v>0.43928313237780964</v>
      </c>
      <c r="N5" s="31">
        <f t="shared" si="3"/>
        <v>0.42066745282380119</v>
      </c>
      <c r="O5" s="31">
        <f t="shared" si="3"/>
        <v>0.39950949995149343</v>
      </c>
      <c r="P5" s="31">
        <f t="shared" si="3"/>
        <v>0.39093144977203637</v>
      </c>
      <c r="Q5" s="31">
        <f t="shared" si="3"/>
        <v>0.38291069585435045</v>
      </c>
      <c r="R5" s="31">
        <f t="shared" si="3"/>
        <v>0.38076321767921684</v>
      </c>
      <c r="S5" s="31">
        <f t="shared" si="3"/>
        <v>0.37171614851418178</v>
      </c>
      <c r="T5" s="31">
        <f t="shared" si="3"/>
        <v>0.37270488492172443</v>
      </c>
      <c r="U5" s="31">
        <f t="shared" si="3"/>
        <v>0.36774932743560501</v>
      </c>
      <c r="V5" s="31">
        <f t="shared" si="3"/>
        <v>0.35839558256737353</v>
      </c>
      <c r="W5" s="31">
        <f t="shared" si="3"/>
        <v>0.35426123129529563</v>
      </c>
      <c r="X5" s="31">
        <f t="shared" si="3"/>
        <v>0.34211474253910101</v>
      </c>
      <c r="Y5" s="31">
        <f t="shared" si="3"/>
        <v>0.34238762623392033</v>
      </c>
      <c r="Z5" s="32">
        <f t="shared" si="3"/>
        <v>0.33485906539725552</v>
      </c>
      <c r="AA5" s="32">
        <f t="shared" si="3"/>
        <v>0.32131583307677547</v>
      </c>
      <c r="AB5" s="32">
        <f t="shared" si="3"/>
        <v>0.32349067713152857</v>
      </c>
      <c r="AC5" s="32">
        <f t="shared" si="3"/>
        <v>0.30974679620133722</v>
      </c>
      <c r="AD5" s="32">
        <f t="shared" si="3"/>
        <v>0.30422886021404322</v>
      </c>
      <c r="AE5" s="32">
        <f t="shared" si="3"/>
        <v>0.30178926030046821</v>
      </c>
      <c r="AF5" s="32">
        <f t="shared" si="3"/>
        <v>0.29355912461272771</v>
      </c>
      <c r="AG5" s="32">
        <f t="shared" si="3"/>
        <v>0.29311976616354662</v>
      </c>
      <c r="AH5" s="32">
        <f t="shared" si="3"/>
        <v>0.28546484462963512</v>
      </c>
      <c r="AI5" s="32">
        <f t="shared" si="3"/>
        <v>0.28257423318515756</v>
      </c>
      <c r="AJ5" s="32">
        <f t="shared" si="3"/>
        <v>0.27769204186745183</v>
      </c>
      <c r="AK5" s="32">
        <f t="shared" si="3"/>
        <v>0.26899216431934214</v>
      </c>
      <c r="AL5" s="38">
        <f t="shared" si="4"/>
        <v>0.22542894965502608</v>
      </c>
      <c r="AM5" s="38">
        <f t="shared" si="4"/>
        <v>0.1535059779957855</v>
      </c>
      <c r="AN5" s="38">
        <f t="shared" si="4"/>
        <v>0</v>
      </c>
      <c r="AO5" s="38">
        <f t="shared" si="4"/>
        <v>0</v>
      </c>
      <c r="AP5" s="38">
        <f t="shared" si="4"/>
        <v>0</v>
      </c>
      <c r="AQ5" s="38">
        <f t="shared" si="4"/>
        <v>0</v>
      </c>
      <c r="AR5" s="38">
        <f t="shared" si="4"/>
        <v>0</v>
      </c>
      <c r="AS5" s="38">
        <f t="shared" si="4"/>
        <v>0</v>
      </c>
      <c r="AT5" s="38">
        <f t="shared" si="4"/>
        <v>0</v>
      </c>
      <c r="AU5" s="38">
        <f t="shared" si="4"/>
        <v>0</v>
      </c>
      <c r="AV5" s="38">
        <f t="shared" si="4"/>
        <v>0</v>
      </c>
      <c r="AW5" s="38">
        <f t="shared" si="4"/>
        <v>0</v>
      </c>
      <c r="AX5" s="33">
        <f t="shared" si="0"/>
        <v>6.1235777009181609</v>
      </c>
      <c r="AY5" s="33">
        <f t="shared" si="1"/>
        <v>4.4841118595881007</v>
      </c>
      <c r="AZ5" s="33">
        <f t="shared" si="2"/>
        <v>3.5968326670992696</v>
      </c>
      <c r="BA5" s="33">
        <f t="shared" si="5"/>
        <v>0.3789349276508116</v>
      </c>
      <c r="BB5" s="35">
        <f t="shared" si="6"/>
        <v>0.41989890570707561</v>
      </c>
      <c r="BC5" s="35">
        <f t="shared" si="7"/>
        <v>0.30747934538772126</v>
      </c>
      <c r="BD5" s="35">
        <f t="shared" si="8"/>
        <v>0.24663786020058051</v>
      </c>
      <c r="BE5" s="35">
        <f t="shared" si="9"/>
        <v>2.5983888704622506E-2</v>
      </c>
    </row>
    <row r="6" spans="1:57" x14ac:dyDescent="0.25">
      <c r="A6" t="s">
        <v>12</v>
      </c>
      <c r="B6" s="30"/>
      <c r="C6" s="30"/>
      <c r="D6" s="30"/>
      <c r="E6" s="30">
        <f>D5</f>
        <v>1</v>
      </c>
      <c r="F6" s="30">
        <f t="shared" si="3"/>
        <v>0.90610552129666766</v>
      </c>
      <c r="G6" s="30">
        <f t="shared" si="3"/>
        <v>0.66474626792906999</v>
      </c>
      <c r="H6" s="30">
        <f t="shared" si="3"/>
        <v>0.64124164902099534</v>
      </c>
      <c r="I6" s="30">
        <f t="shared" si="3"/>
        <v>0.54117698347402432</v>
      </c>
      <c r="J6" s="30">
        <f t="shared" si="3"/>
        <v>0.51025933185167127</v>
      </c>
      <c r="K6" s="30">
        <f t="shared" si="3"/>
        <v>0.48547932267442784</v>
      </c>
      <c r="L6" s="30">
        <f t="shared" si="3"/>
        <v>0.48005362409561342</v>
      </c>
      <c r="M6" s="30">
        <f t="shared" si="3"/>
        <v>0.45523186819788147</v>
      </c>
      <c r="N6" s="31">
        <f t="shared" si="3"/>
        <v>0.43928313237780964</v>
      </c>
      <c r="O6" s="31">
        <f t="shared" si="3"/>
        <v>0.42066745282380119</v>
      </c>
      <c r="P6" s="31">
        <f t="shared" si="3"/>
        <v>0.39950949995149343</v>
      </c>
      <c r="Q6" s="31">
        <f t="shared" si="3"/>
        <v>0.39093144977203637</v>
      </c>
      <c r="R6" s="31">
        <f t="shared" si="3"/>
        <v>0.38291069585435045</v>
      </c>
      <c r="S6" s="31">
        <f t="shared" si="3"/>
        <v>0.38076321767921684</v>
      </c>
      <c r="T6" s="31">
        <f t="shared" si="3"/>
        <v>0.37171614851418178</v>
      </c>
      <c r="U6" s="31">
        <f t="shared" si="3"/>
        <v>0.37270488492172443</v>
      </c>
      <c r="V6" s="31">
        <f t="shared" si="3"/>
        <v>0.36774932743560501</v>
      </c>
      <c r="W6" s="31">
        <f t="shared" si="3"/>
        <v>0.35839558256737353</v>
      </c>
      <c r="X6" s="31">
        <f t="shared" si="3"/>
        <v>0.35426123129529563</v>
      </c>
      <c r="Y6" s="31">
        <f t="shared" si="3"/>
        <v>0.34211474253910101</v>
      </c>
      <c r="Z6" s="32">
        <f t="shared" si="3"/>
        <v>0.34238762623392033</v>
      </c>
      <c r="AA6" s="32">
        <f t="shared" si="3"/>
        <v>0.33485906539725552</v>
      </c>
      <c r="AB6" s="32">
        <f t="shared" si="3"/>
        <v>0.32131583307677547</v>
      </c>
      <c r="AC6" s="32">
        <f t="shared" si="3"/>
        <v>0.32349067713152857</v>
      </c>
      <c r="AD6" s="32">
        <f t="shared" si="3"/>
        <v>0.30974679620133722</v>
      </c>
      <c r="AE6" s="32">
        <f t="shared" si="3"/>
        <v>0.30422886021404322</v>
      </c>
      <c r="AF6" s="32">
        <f t="shared" si="3"/>
        <v>0.30178926030046821</v>
      </c>
      <c r="AG6" s="32">
        <f t="shared" si="3"/>
        <v>0.29355912461272771</v>
      </c>
      <c r="AH6" s="32">
        <f t="shared" si="3"/>
        <v>0.29311976616354662</v>
      </c>
      <c r="AI6" s="32">
        <f t="shared" si="3"/>
        <v>0.28546484462963512</v>
      </c>
      <c r="AJ6" s="32">
        <f t="shared" si="3"/>
        <v>0.28257423318515756</v>
      </c>
      <c r="AK6" s="32">
        <f t="shared" ref="AK6:AW6" si="10">AJ5</f>
        <v>0.27769204186745183</v>
      </c>
      <c r="AL6" s="38">
        <f t="shared" si="10"/>
        <v>0.26899216431934214</v>
      </c>
      <c r="AM6" s="38">
        <f t="shared" si="10"/>
        <v>0.22542894965502608</v>
      </c>
      <c r="AN6" s="38">
        <f t="shared" si="10"/>
        <v>0.1535059779957855</v>
      </c>
      <c r="AO6" s="38">
        <f t="shared" si="10"/>
        <v>0</v>
      </c>
      <c r="AP6" s="38">
        <f t="shared" si="10"/>
        <v>0</v>
      </c>
      <c r="AQ6" s="38">
        <f t="shared" si="10"/>
        <v>0</v>
      </c>
      <c r="AR6" s="38">
        <f t="shared" si="10"/>
        <v>0</v>
      </c>
      <c r="AS6" s="38">
        <f t="shared" si="10"/>
        <v>0</v>
      </c>
      <c r="AT6" s="38">
        <f t="shared" si="10"/>
        <v>0</v>
      </c>
      <c r="AU6" s="38">
        <f t="shared" si="10"/>
        <v>0</v>
      </c>
      <c r="AV6" s="38">
        <f t="shared" si="10"/>
        <v>0</v>
      </c>
      <c r="AW6" s="38">
        <f t="shared" si="10"/>
        <v>0</v>
      </c>
      <c r="AX6" s="33">
        <f t="shared" si="0"/>
        <v>5.6842945685403512</v>
      </c>
      <c r="AY6" s="33">
        <f t="shared" si="1"/>
        <v>4.5810073657319901</v>
      </c>
      <c r="AZ6" s="33">
        <f t="shared" si="2"/>
        <v>3.6702281290138479</v>
      </c>
      <c r="BA6" s="33">
        <f t="shared" si="5"/>
        <v>0.64792709197015375</v>
      </c>
      <c r="BB6" s="35">
        <f t="shared" si="6"/>
        <v>0.38977688952797795</v>
      </c>
      <c r="BC6" s="35">
        <f t="shared" si="7"/>
        <v>0.31412355225255001</v>
      </c>
      <c r="BD6" s="35">
        <f t="shared" si="8"/>
        <v>0.25167064914309301</v>
      </c>
      <c r="BE6" s="35">
        <f t="shared" si="9"/>
        <v>4.4428909076379065E-2</v>
      </c>
    </row>
    <row r="7" spans="1:57" x14ac:dyDescent="0.25">
      <c r="A7" t="s">
        <v>13</v>
      </c>
      <c r="B7" s="30"/>
      <c r="C7" s="30"/>
      <c r="D7" s="30"/>
      <c r="E7" s="30"/>
      <c r="F7" s="30">
        <f>E6</f>
        <v>1</v>
      </c>
      <c r="G7" s="30">
        <f t="shared" si="3"/>
        <v>0.90610552129666766</v>
      </c>
      <c r="H7" s="30">
        <f t="shared" si="3"/>
        <v>0.66474626792906999</v>
      </c>
      <c r="I7" s="30">
        <f t="shared" si="3"/>
        <v>0.64124164902099534</v>
      </c>
      <c r="J7" s="30">
        <f t="shared" si="3"/>
        <v>0.54117698347402432</v>
      </c>
      <c r="K7" s="30">
        <f t="shared" si="3"/>
        <v>0.51025933185167127</v>
      </c>
      <c r="L7" s="30">
        <f t="shared" si="3"/>
        <v>0.48547932267442784</v>
      </c>
      <c r="M7" s="30">
        <f t="shared" si="3"/>
        <v>0.48005362409561342</v>
      </c>
      <c r="N7" s="31">
        <f t="shared" si="3"/>
        <v>0.45523186819788147</v>
      </c>
      <c r="O7" s="31">
        <f t="shared" si="3"/>
        <v>0.43928313237780964</v>
      </c>
      <c r="P7" s="31">
        <f t="shared" si="3"/>
        <v>0.42066745282380119</v>
      </c>
      <c r="Q7" s="31">
        <f t="shared" si="3"/>
        <v>0.39950949995149343</v>
      </c>
      <c r="R7" s="31">
        <f t="shared" si="3"/>
        <v>0.39093144977203637</v>
      </c>
      <c r="S7" s="31">
        <f t="shared" si="3"/>
        <v>0.38291069585435045</v>
      </c>
      <c r="T7" s="31">
        <f t="shared" si="3"/>
        <v>0.38076321767921684</v>
      </c>
      <c r="U7" s="31">
        <f t="shared" si="3"/>
        <v>0.37171614851418178</v>
      </c>
      <c r="V7" s="31">
        <f t="shared" si="3"/>
        <v>0.37270488492172443</v>
      </c>
      <c r="W7" s="31">
        <f t="shared" si="3"/>
        <v>0.36774932743560501</v>
      </c>
      <c r="X7" s="31">
        <f t="shared" si="3"/>
        <v>0.35839558256737353</v>
      </c>
      <c r="Y7" s="31">
        <f t="shared" si="3"/>
        <v>0.35426123129529563</v>
      </c>
      <c r="Z7" s="32">
        <f t="shared" si="3"/>
        <v>0.34211474253910101</v>
      </c>
      <c r="AA7" s="32">
        <f t="shared" si="3"/>
        <v>0.34238762623392033</v>
      </c>
      <c r="AB7" s="32">
        <f t="shared" si="3"/>
        <v>0.33485906539725552</v>
      </c>
      <c r="AC7" s="32">
        <f t="shared" si="3"/>
        <v>0.32131583307677547</v>
      </c>
      <c r="AD7" s="32">
        <f t="shared" si="3"/>
        <v>0.32349067713152857</v>
      </c>
      <c r="AE7" s="32">
        <f t="shared" si="3"/>
        <v>0.30974679620133722</v>
      </c>
      <c r="AF7" s="32">
        <f t="shared" si="3"/>
        <v>0.30422886021404322</v>
      </c>
      <c r="AG7" s="32">
        <f t="shared" si="3"/>
        <v>0.30178926030046821</v>
      </c>
      <c r="AH7" s="32">
        <f t="shared" si="3"/>
        <v>0.29355912461272771</v>
      </c>
      <c r="AI7" s="32">
        <f t="shared" si="3"/>
        <v>0.29311976616354662</v>
      </c>
      <c r="AJ7" s="32">
        <f t="shared" si="3"/>
        <v>0.28546484462963512</v>
      </c>
      <c r="AK7" s="32">
        <f t="shared" si="3"/>
        <v>0.28257423318515756</v>
      </c>
      <c r="AL7" s="38">
        <f t="shared" si="4"/>
        <v>0.27769204186745183</v>
      </c>
      <c r="AM7" s="38">
        <f t="shared" si="4"/>
        <v>0.26899216431934214</v>
      </c>
      <c r="AN7" s="38">
        <f t="shared" si="4"/>
        <v>0.22542894965502608</v>
      </c>
      <c r="AO7" s="38">
        <f t="shared" si="4"/>
        <v>0.1535059779957855</v>
      </c>
      <c r="AP7" s="38">
        <f t="shared" si="4"/>
        <v>0</v>
      </c>
      <c r="AQ7" s="38">
        <f t="shared" si="4"/>
        <v>0</v>
      </c>
      <c r="AR7" s="38">
        <f t="shared" si="4"/>
        <v>0</v>
      </c>
      <c r="AS7" s="38">
        <f t="shared" si="4"/>
        <v>0</v>
      </c>
      <c r="AT7" s="38">
        <f t="shared" si="4"/>
        <v>0</v>
      </c>
      <c r="AU7" s="38">
        <f t="shared" si="4"/>
        <v>0</v>
      </c>
      <c r="AV7" s="38">
        <f t="shared" si="4"/>
        <v>0</v>
      </c>
      <c r="AW7" s="38">
        <f t="shared" si="4"/>
        <v>0</v>
      </c>
      <c r="AX7" s="33">
        <f t="shared" si="0"/>
        <v>5.2290627003424701</v>
      </c>
      <c r="AY7" s="33">
        <f t="shared" si="1"/>
        <v>4.6941244913907703</v>
      </c>
      <c r="AZ7" s="33">
        <f t="shared" si="2"/>
        <v>3.734650829685497</v>
      </c>
      <c r="BA7" s="33">
        <f t="shared" si="5"/>
        <v>0.92561913383760563</v>
      </c>
      <c r="BB7" s="35">
        <f t="shared" si="6"/>
        <v>0.35856125503531572</v>
      </c>
      <c r="BC7" s="35">
        <f t="shared" si="7"/>
        <v>0.32188008929685497</v>
      </c>
      <c r="BD7" s="35">
        <f t="shared" si="8"/>
        <v>0.25608816825298586</v>
      </c>
      <c r="BE7" s="35">
        <f t="shared" si="9"/>
        <v>6.3470487414843402E-2</v>
      </c>
    </row>
    <row r="8" spans="1:57" x14ac:dyDescent="0.25">
      <c r="A8" t="s">
        <v>14</v>
      </c>
      <c r="B8" s="30"/>
      <c r="C8" s="30"/>
      <c r="D8" s="30"/>
      <c r="E8" s="30"/>
      <c r="F8" s="30"/>
      <c r="G8" s="30">
        <f>F7</f>
        <v>1</v>
      </c>
      <c r="H8" s="30">
        <f t="shared" si="3"/>
        <v>0.90610552129666766</v>
      </c>
      <c r="I8" s="30">
        <f t="shared" si="3"/>
        <v>0.66474626792906999</v>
      </c>
      <c r="J8" s="30">
        <f t="shared" si="3"/>
        <v>0.64124164902099534</v>
      </c>
      <c r="K8" s="30">
        <f t="shared" si="3"/>
        <v>0.54117698347402432</v>
      </c>
      <c r="L8" s="30">
        <f t="shared" si="3"/>
        <v>0.51025933185167127</v>
      </c>
      <c r="M8" s="30">
        <f t="shared" si="3"/>
        <v>0.48547932267442784</v>
      </c>
      <c r="N8" s="31">
        <f t="shared" si="3"/>
        <v>0.48005362409561342</v>
      </c>
      <c r="O8" s="31">
        <f t="shared" si="3"/>
        <v>0.45523186819788147</v>
      </c>
      <c r="P8" s="31">
        <f t="shared" si="3"/>
        <v>0.43928313237780964</v>
      </c>
      <c r="Q8" s="31">
        <f t="shared" si="3"/>
        <v>0.42066745282380119</v>
      </c>
      <c r="R8" s="31">
        <f t="shared" si="3"/>
        <v>0.39950949995149343</v>
      </c>
      <c r="S8" s="31">
        <f t="shared" si="3"/>
        <v>0.39093144977203637</v>
      </c>
      <c r="T8" s="31">
        <f t="shared" si="3"/>
        <v>0.38291069585435045</v>
      </c>
      <c r="U8" s="31">
        <f t="shared" si="3"/>
        <v>0.38076321767921684</v>
      </c>
      <c r="V8" s="31">
        <f t="shared" si="3"/>
        <v>0.37171614851418178</v>
      </c>
      <c r="W8" s="31">
        <f t="shared" si="3"/>
        <v>0.37270488492172443</v>
      </c>
      <c r="X8" s="31">
        <f t="shared" si="3"/>
        <v>0.36774932743560501</v>
      </c>
      <c r="Y8" s="31">
        <f t="shared" si="3"/>
        <v>0.35839558256737353</v>
      </c>
      <c r="Z8" s="32">
        <f t="shared" si="3"/>
        <v>0.35426123129529563</v>
      </c>
      <c r="AA8" s="32">
        <f t="shared" si="3"/>
        <v>0.34211474253910101</v>
      </c>
      <c r="AB8" s="32">
        <f t="shared" si="3"/>
        <v>0.34238762623392033</v>
      </c>
      <c r="AC8" s="32">
        <f t="shared" si="3"/>
        <v>0.33485906539725552</v>
      </c>
      <c r="AD8" s="32">
        <f t="shared" si="3"/>
        <v>0.32131583307677547</v>
      </c>
      <c r="AE8" s="32">
        <f t="shared" si="3"/>
        <v>0.32349067713152857</v>
      </c>
      <c r="AF8" s="32">
        <f t="shared" si="3"/>
        <v>0.30974679620133722</v>
      </c>
      <c r="AG8" s="32">
        <f t="shared" si="3"/>
        <v>0.30422886021404322</v>
      </c>
      <c r="AH8" s="32">
        <f t="shared" si="3"/>
        <v>0.30178926030046821</v>
      </c>
      <c r="AI8" s="32">
        <f t="shared" si="3"/>
        <v>0.29355912461272771</v>
      </c>
      <c r="AJ8" s="32">
        <f t="shared" si="3"/>
        <v>0.29311976616354662</v>
      </c>
      <c r="AK8" s="32">
        <f t="shared" si="3"/>
        <v>0.28546484462963512</v>
      </c>
      <c r="AL8" s="38">
        <f t="shared" si="4"/>
        <v>0.28257423318515756</v>
      </c>
      <c r="AM8" s="38">
        <f t="shared" si="4"/>
        <v>0.27769204186745183</v>
      </c>
      <c r="AN8" s="38">
        <f t="shared" si="4"/>
        <v>0.26899216431934214</v>
      </c>
      <c r="AO8" s="38">
        <f t="shared" si="4"/>
        <v>0.22542894965502608</v>
      </c>
      <c r="AP8" s="38">
        <f t="shared" si="4"/>
        <v>0.1535059779957855</v>
      </c>
      <c r="AQ8" s="38">
        <f t="shared" si="4"/>
        <v>0</v>
      </c>
      <c r="AR8" s="38">
        <f t="shared" si="4"/>
        <v>0</v>
      </c>
      <c r="AS8" s="38">
        <f t="shared" si="4"/>
        <v>0</v>
      </c>
      <c r="AT8" s="38">
        <f t="shared" si="4"/>
        <v>0</v>
      </c>
      <c r="AU8" s="38">
        <f t="shared" si="4"/>
        <v>0</v>
      </c>
      <c r="AV8" s="38">
        <f t="shared" si="4"/>
        <v>0</v>
      </c>
      <c r="AW8" s="38">
        <f t="shared" si="4"/>
        <v>0</v>
      </c>
      <c r="AX8" s="33">
        <f t="shared" si="0"/>
        <v>4.7490090762468569</v>
      </c>
      <c r="AY8" s="33">
        <f t="shared" si="1"/>
        <v>4.8199168841910867</v>
      </c>
      <c r="AZ8" s="33">
        <f t="shared" si="2"/>
        <v>3.8063378277956352</v>
      </c>
      <c r="BA8" s="33">
        <f t="shared" si="5"/>
        <v>1.2081933670227631</v>
      </c>
      <c r="BB8" s="35">
        <f t="shared" si="6"/>
        <v>0.32564357173258895</v>
      </c>
      <c r="BC8" s="35">
        <f t="shared" si="7"/>
        <v>0.33050578013690224</v>
      </c>
      <c r="BD8" s="35">
        <f t="shared" si="8"/>
        <v>0.26100380638645132</v>
      </c>
      <c r="BE8" s="35">
        <f t="shared" si="9"/>
        <v>8.2846841744057348E-2</v>
      </c>
    </row>
    <row r="9" spans="1:57" x14ac:dyDescent="0.25">
      <c r="A9" t="s">
        <v>15</v>
      </c>
      <c r="B9" s="30"/>
      <c r="C9" s="30"/>
      <c r="D9" s="30"/>
      <c r="E9" s="30"/>
      <c r="F9" s="30"/>
      <c r="G9" s="30"/>
      <c r="H9" s="30">
        <f>G8</f>
        <v>1</v>
      </c>
      <c r="I9" s="30">
        <f t="shared" si="3"/>
        <v>0.90610552129666766</v>
      </c>
      <c r="J9" s="30">
        <f t="shared" si="3"/>
        <v>0.66474626792906999</v>
      </c>
      <c r="K9" s="30">
        <f t="shared" si="3"/>
        <v>0.64124164902099534</v>
      </c>
      <c r="L9" s="30">
        <f t="shared" si="3"/>
        <v>0.54117698347402432</v>
      </c>
      <c r="M9" s="30">
        <f t="shared" si="3"/>
        <v>0.51025933185167127</v>
      </c>
      <c r="N9" s="31">
        <f t="shared" si="3"/>
        <v>0.48547932267442784</v>
      </c>
      <c r="O9" s="31">
        <f t="shared" si="3"/>
        <v>0.48005362409561342</v>
      </c>
      <c r="P9" s="31">
        <f t="shared" si="3"/>
        <v>0.45523186819788147</v>
      </c>
      <c r="Q9" s="31">
        <f t="shared" si="3"/>
        <v>0.43928313237780964</v>
      </c>
      <c r="R9" s="31">
        <f t="shared" si="3"/>
        <v>0.42066745282380119</v>
      </c>
      <c r="S9" s="31">
        <f t="shared" si="3"/>
        <v>0.39950949995149343</v>
      </c>
      <c r="T9" s="31">
        <f t="shared" si="3"/>
        <v>0.39093144977203637</v>
      </c>
      <c r="U9" s="31">
        <f t="shared" si="3"/>
        <v>0.38291069585435045</v>
      </c>
      <c r="V9" s="31">
        <f t="shared" si="3"/>
        <v>0.38076321767921684</v>
      </c>
      <c r="W9" s="31">
        <f t="shared" si="3"/>
        <v>0.37171614851418178</v>
      </c>
      <c r="X9" s="31">
        <f t="shared" si="3"/>
        <v>0.37270488492172443</v>
      </c>
      <c r="Y9" s="31">
        <f t="shared" si="3"/>
        <v>0.36774932743560501</v>
      </c>
      <c r="Z9" s="32">
        <f t="shared" si="3"/>
        <v>0.35839558256737353</v>
      </c>
      <c r="AA9" s="32">
        <f t="shared" si="3"/>
        <v>0.35426123129529563</v>
      </c>
      <c r="AB9" s="32">
        <f t="shared" si="3"/>
        <v>0.34211474253910101</v>
      </c>
      <c r="AC9" s="32">
        <f t="shared" si="3"/>
        <v>0.34238762623392033</v>
      </c>
      <c r="AD9" s="32">
        <f t="shared" si="3"/>
        <v>0.33485906539725552</v>
      </c>
      <c r="AE9" s="32">
        <f t="shared" si="3"/>
        <v>0.32131583307677547</v>
      </c>
      <c r="AF9" s="32">
        <f t="shared" si="3"/>
        <v>0.32349067713152857</v>
      </c>
      <c r="AG9" s="32">
        <f t="shared" si="3"/>
        <v>0.30974679620133722</v>
      </c>
      <c r="AH9" s="32">
        <f t="shared" si="3"/>
        <v>0.30422886021404322</v>
      </c>
      <c r="AI9" s="32">
        <f t="shared" si="3"/>
        <v>0.30178926030046821</v>
      </c>
      <c r="AJ9" s="32">
        <f t="shared" si="3"/>
        <v>0.29355912461272771</v>
      </c>
      <c r="AK9" s="32">
        <f t="shared" si="3"/>
        <v>0.29311976616354662</v>
      </c>
      <c r="AL9" s="38">
        <f t="shared" si="4"/>
        <v>0.28546484462963512</v>
      </c>
      <c r="AM9" s="38">
        <f t="shared" si="4"/>
        <v>0.28257423318515756</v>
      </c>
      <c r="AN9" s="38">
        <f t="shared" si="4"/>
        <v>0.27769204186745183</v>
      </c>
      <c r="AO9" s="38">
        <f t="shared" si="4"/>
        <v>0.26899216431934214</v>
      </c>
      <c r="AP9" s="38">
        <f t="shared" si="4"/>
        <v>0.22542894965502608</v>
      </c>
      <c r="AQ9" s="38">
        <f t="shared" si="4"/>
        <v>0.1535059779957855</v>
      </c>
      <c r="AR9" s="38">
        <f t="shared" si="4"/>
        <v>0</v>
      </c>
      <c r="AS9" s="38">
        <f t="shared" si="4"/>
        <v>0</v>
      </c>
      <c r="AT9" s="38">
        <f t="shared" si="4"/>
        <v>0</v>
      </c>
      <c r="AU9" s="38">
        <f t="shared" si="4"/>
        <v>0</v>
      </c>
      <c r="AV9" s="38">
        <f t="shared" si="4"/>
        <v>0</v>
      </c>
      <c r="AW9" s="38">
        <f t="shared" si="4"/>
        <v>0</v>
      </c>
      <c r="AX9" s="33">
        <f t="shared" si="0"/>
        <v>4.2635297535724286</v>
      </c>
      <c r="AY9" s="33">
        <f t="shared" si="1"/>
        <v>4.9470006242981412</v>
      </c>
      <c r="AZ9" s="33">
        <f t="shared" si="2"/>
        <v>3.8792685657333732</v>
      </c>
      <c r="BA9" s="33">
        <f t="shared" si="5"/>
        <v>1.4936582116523984</v>
      </c>
      <c r="BB9" s="35">
        <f t="shared" si="6"/>
        <v>0.2923538436862152</v>
      </c>
      <c r="BC9" s="35">
        <f t="shared" si="7"/>
        <v>0.33922001975471811</v>
      </c>
      <c r="BD9" s="35">
        <f t="shared" si="8"/>
        <v>0.26600472881254783</v>
      </c>
      <c r="BE9" s="35">
        <f t="shared" si="9"/>
        <v>0.10242140774651891</v>
      </c>
    </row>
    <row r="10" spans="1:57" x14ac:dyDescent="0.25">
      <c r="A10" t="s">
        <v>16</v>
      </c>
      <c r="B10" s="30"/>
      <c r="C10" s="30"/>
      <c r="D10" s="30"/>
      <c r="E10" s="30"/>
      <c r="F10" s="30"/>
      <c r="G10" s="30"/>
      <c r="H10" s="30"/>
      <c r="I10" s="30">
        <f>H9</f>
        <v>1</v>
      </c>
      <c r="J10" s="30">
        <f t="shared" si="3"/>
        <v>0.90610552129666766</v>
      </c>
      <c r="K10" s="30">
        <f t="shared" si="3"/>
        <v>0.66474626792906999</v>
      </c>
      <c r="L10" s="30">
        <f t="shared" si="3"/>
        <v>0.64124164902099534</v>
      </c>
      <c r="M10" s="30">
        <f t="shared" si="3"/>
        <v>0.54117698347402432</v>
      </c>
      <c r="N10" s="31">
        <f t="shared" si="3"/>
        <v>0.51025933185167127</v>
      </c>
      <c r="O10" s="31">
        <f t="shared" si="3"/>
        <v>0.48547932267442784</v>
      </c>
      <c r="P10" s="31">
        <f t="shared" si="3"/>
        <v>0.48005362409561342</v>
      </c>
      <c r="Q10" s="31">
        <f t="shared" si="3"/>
        <v>0.45523186819788147</v>
      </c>
      <c r="R10" s="31">
        <f t="shared" si="3"/>
        <v>0.43928313237780964</v>
      </c>
      <c r="S10" s="31">
        <f t="shared" si="3"/>
        <v>0.42066745282380119</v>
      </c>
      <c r="T10" s="31">
        <f t="shared" si="3"/>
        <v>0.39950949995149343</v>
      </c>
      <c r="U10" s="31">
        <f t="shared" si="3"/>
        <v>0.39093144977203637</v>
      </c>
      <c r="V10" s="31">
        <f t="shared" si="3"/>
        <v>0.38291069585435045</v>
      </c>
      <c r="W10" s="31">
        <f t="shared" si="3"/>
        <v>0.38076321767921684</v>
      </c>
      <c r="X10" s="31">
        <f t="shared" si="3"/>
        <v>0.37171614851418178</v>
      </c>
      <c r="Y10" s="31">
        <f t="shared" si="3"/>
        <v>0.37270488492172443</v>
      </c>
      <c r="Z10" s="32">
        <f t="shared" si="3"/>
        <v>0.36774932743560501</v>
      </c>
      <c r="AA10" s="32">
        <f t="shared" si="3"/>
        <v>0.35839558256737353</v>
      </c>
      <c r="AB10" s="32">
        <f t="shared" si="3"/>
        <v>0.35426123129529563</v>
      </c>
      <c r="AC10" s="32">
        <f t="shared" si="3"/>
        <v>0.34211474253910101</v>
      </c>
      <c r="AD10" s="32">
        <f t="shared" si="3"/>
        <v>0.34238762623392033</v>
      </c>
      <c r="AE10" s="32">
        <f t="shared" si="3"/>
        <v>0.33485906539725552</v>
      </c>
      <c r="AF10" s="32">
        <f t="shared" si="3"/>
        <v>0.32131583307677547</v>
      </c>
      <c r="AG10" s="32">
        <f t="shared" si="3"/>
        <v>0.32349067713152857</v>
      </c>
      <c r="AH10" s="32">
        <f t="shared" si="3"/>
        <v>0.30974679620133722</v>
      </c>
      <c r="AI10" s="32">
        <f t="shared" si="3"/>
        <v>0.30422886021404322</v>
      </c>
      <c r="AJ10" s="32">
        <f t="shared" si="3"/>
        <v>0.30178926030046821</v>
      </c>
      <c r="AK10" s="32">
        <f t="shared" si="3"/>
        <v>0.29355912461272771</v>
      </c>
      <c r="AL10" s="38">
        <f t="shared" si="4"/>
        <v>0.29311976616354662</v>
      </c>
      <c r="AM10" s="38">
        <f t="shared" si="4"/>
        <v>0.28546484462963512</v>
      </c>
      <c r="AN10" s="38">
        <f t="shared" si="4"/>
        <v>0.28257423318515756</v>
      </c>
      <c r="AO10" s="38">
        <f t="shared" si="4"/>
        <v>0.27769204186745183</v>
      </c>
      <c r="AP10" s="38">
        <f t="shared" si="4"/>
        <v>0.26899216431934214</v>
      </c>
      <c r="AQ10" s="38">
        <f t="shared" si="4"/>
        <v>0.22542894965502608</v>
      </c>
      <c r="AR10" s="38">
        <f t="shared" si="4"/>
        <v>0.1535059779957855</v>
      </c>
      <c r="AS10" s="38">
        <f t="shared" si="4"/>
        <v>0</v>
      </c>
      <c r="AT10" s="38">
        <f t="shared" si="4"/>
        <v>0</v>
      </c>
      <c r="AU10" s="38">
        <f t="shared" si="4"/>
        <v>0</v>
      </c>
      <c r="AV10" s="38">
        <f t="shared" si="4"/>
        <v>0</v>
      </c>
      <c r="AW10" s="38">
        <f t="shared" si="4"/>
        <v>0</v>
      </c>
      <c r="AX10" s="33">
        <f t="shared" si="0"/>
        <v>3.7532704217207575</v>
      </c>
      <c r="AY10" s="33">
        <f t="shared" si="1"/>
        <v>5.0895106287142076</v>
      </c>
      <c r="AZ10" s="33">
        <f t="shared" si="2"/>
        <v>3.9538981270054316</v>
      </c>
      <c r="BA10" s="33">
        <f t="shared" si="5"/>
        <v>1.7867779778159447</v>
      </c>
      <c r="BB10" s="35">
        <f t="shared" si="6"/>
        <v>0.25736492943773348</v>
      </c>
      <c r="BC10" s="35">
        <f t="shared" si="7"/>
        <v>0.34899205137238576</v>
      </c>
      <c r="BD10" s="35">
        <f t="shared" si="8"/>
        <v>0.27112214099249582</v>
      </c>
      <c r="BE10" s="35">
        <f t="shared" si="9"/>
        <v>0.122520878197385</v>
      </c>
    </row>
    <row r="11" spans="1:57" x14ac:dyDescent="0.25">
      <c r="A11" t="s">
        <v>17</v>
      </c>
      <c r="B11" s="30"/>
      <c r="C11" s="30"/>
      <c r="D11" s="30"/>
      <c r="E11" s="30"/>
      <c r="F11" s="30"/>
      <c r="G11" s="30"/>
      <c r="H11" s="30"/>
      <c r="I11" s="30"/>
      <c r="J11" s="30">
        <f>I10</f>
        <v>1</v>
      </c>
      <c r="K11" s="30">
        <f t="shared" si="3"/>
        <v>0.90610552129666766</v>
      </c>
      <c r="L11" s="30">
        <f t="shared" si="3"/>
        <v>0.66474626792906999</v>
      </c>
      <c r="M11" s="30">
        <f t="shared" si="3"/>
        <v>0.64124164902099534</v>
      </c>
      <c r="N11" s="31">
        <f t="shared" si="3"/>
        <v>0.54117698347402432</v>
      </c>
      <c r="O11" s="31">
        <f t="shared" si="3"/>
        <v>0.51025933185167127</v>
      </c>
      <c r="P11" s="31">
        <f t="shared" si="3"/>
        <v>0.48547932267442784</v>
      </c>
      <c r="Q11" s="31">
        <f t="shared" si="3"/>
        <v>0.48005362409561342</v>
      </c>
      <c r="R11" s="31">
        <f t="shared" si="3"/>
        <v>0.45523186819788147</v>
      </c>
      <c r="S11" s="31">
        <f t="shared" si="3"/>
        <v>0.43928313237780964</v>
      </c>
      <c r="T11" s="31">
        <f t="shared" si="3"/>
        <v>0.42066745282380119</v>
      </c>
      <c r="U11" s="31">
        <f t="shared" si="3"/>
        <v>0.39950949995149343</v>
      </c>
      <c r="V11" s="31">
        <f t="shared" si="3"/>
        <v>0.39093144977203637</v>
      </c>
      <c r="W11" s="31">
        <f t="shared" si="3"/>
        <v>0.38291069585435045</v>
      </c>
      <c r="X11" s="31">
        <f t="shared" si="3"/>
        <v>0.38076321767921684</v>
      </c>
      <c r="Y11" s="31">
        <f t="shared" si="3"/>
        <v>0.37171614851418178</v>
      </c>
      <c r="Z11" s="32">
        <f t="shared" si="3"/>
        <v>0.37270488492172443</v>
      </c>
      <c r="AA11" s="32">
        <f t="shared" si="3"/>
        <v>0.36774932743560501</v>
      </c>
      <c r="AB11" s="32">
        <f t="shared" si="3"/>
        <v>0.35839558256737353</v>
      </c>
      <c r="AC11" s="32">
        <f t="shared" si="3"/>
        <v>0.35426123129529563</v>
      </c>
      <c r="AD11" s="32">
        <f t="shared" si="3"/>
        <v>0.34211474253910101</v>
      </c>
      <c r="AE11" s="32">
        <f t="shared" si="3"/>
        <v>0.34238762623392033</v>
      </c>
      <c r="AF11" s="32">
        <f t="shared" si="3"/>
        <v>0.33485906539725552</v>
      </c>
      <c r="AG11" s="32">
        <f t="shared" si="3"/>
        <v>0.32131583307677547</v>
      </c>
      <c r="AH11" s="32">
        <f t="shared" si="3"/>
        <v>0.32349067713152857</v>
      </c>
      <c r="AI11" s="32">
        <f t="shared" si="3"/>
        <v>0.30974679620133722</v>
      </c>
      <c r="AJ11" s="32">
        <f t="shared" si="3"/>
        <v>0.30422886021404322</v>
      </c>
      <c r="AK11" s="32">
        <f t="shared" si="3"/>
        <v>0.30178926030046821</v>
      </c>
      <c r="AL11" s="38">
        <f t="shared" si="4"/>
        <v>0.29355912461272771</v>
      </c>
      <c r="AM11" s="38">
        <f t="shared" si="4"/>
        <v>0.29311976616354662</v>
      </c>
      <c r="AN11" s="38">
        <f t="shared" si="4"/>
        <v>0.28546484462963512</v>
      </c>
      <c r="AO11" s="38">
        <f t="shared" si="4"/>
        <v>0.28257423318515756</v>
      </c>
      <c r="AP11" s="38">
        <f t="shared" si="4"/>
        <v>0.27769204186745183</v>
      </c>
      <c r="AQ11" s="38">
        <f t="shared" si="4"/>
        <v>0.26899216431934214</v>
      </c>
      <c r="AR11" s="38">
        <f t="shared" si="4"/>
        <v>0.22542894965502608</v>
      </c>
      <c r="AS11" s="38">
        <f t="shared" si="4"/>
        <v>0.1535059779957855</v>
      </c>
      <c r="AT11" s="38">
        <f t="shared" si="4"/>
        <v>0</v>
      </c>
      <c r="AU11" s="38">
        <f t="shared" si="4"/>
        <v>0</v>
      </c>
      <c r="AV11" s="38">
        <f t="shared" si="4"/>
        <v>0</v>
      </c>
      <c r="AW11" s="38">
        <f t="shared" si="4"/>
        <v>0</v>
      </c>
      <c r="AX11" s="33">
        <f t="shared" si="0"/>
        <v>3.2120934382467334</v>
      </c>
      <c r="AY11" s="33">
        <f t="shared" si="1"/>
        <v>5.2579827272665085</v>
      </c>
      <c r="AZ11" s="33">
        <f t="shared" si="2"/>
        <v>4.0330438873144283</v>
      </c>
      <c r="BA11" s="33">
        <f t="shared" si="5"/>
        <v>2.0803371024286728</v>
      </c>
      <c r="BB11" s="35">
        <f t="shared" si="6"/>
        <v>0.22025596565002373</v>
      </c>
      <c r="BC11" s="35">
        <f t="shared" si="7"/>
        <v>0.3605443257582695</v>
      </c>
      <c r="BD11" s="35">
        <f t="shared" si="8"/>
        <v>0.27654923276273974</v>
      </c>
      <c r="BE11" s="35">
        <f t="shared" si="9"/>
        <v>0.14265047582896717</v>
      </c>
    </row>
    <row r="12" spans="1:57" x14ac:dyDescent="0.25">
      <c r="A12" t="s">
        <v>18</v>
      </c>
      <c r="B12" s="30"/>
      <c r="C12" s="30"/>
      <c r="D12" s="30"/>
      <c r="E12" s="30"/>
      <c r="F12" s="30"/>
      <c r="G12" s="30"/>
      <c r="H12" s="30"/>
      <c r="I12" s="30"/>
      <c r="J12" s="30"/>
      <c r="K12" s="30">
        <f>J11</f>
        <v>1</v>
      </c>
      <c r="L12" s="30">
        <f t="shared" si="3"/>
        <v>0.90610552129666766</v>
      </c>
      <c r="M12" s="30">
        <f t="shared" si="3"/>
        <v>0.66474626792906999</v>
      </c>
      <c r="N12" s="31">
        <f t="shared" si="3"/>
        <v>0.64124164902099534</v>
      </c>
      <c r="O12" s="31">
        <f t="shared" si="3"/>
        <v>0.54117698347402432</v>
      </c>
      <c r="P12" s="31">
        <f t="shared" si="3"/>
        <v>0.51025933185167127</v>
      </c>
      <c r="Q12" s="31">
        <f t="shared" si="3"/>
        <v>0.48547932267442784</v>
      </c>
      <c r="R12" s="31">
        <f t="shared" si="3"/>
        <v>0.48005362409561342</v>
      </c>
      <c r="S12" s="31">
        <f t="shared" si="3"/>
        <v>0.45523186819788147</v>
      </c>
      <c r="T12" s="31">
        <f t="shared" si="3"/>
        <v>0.43928313237780964</v>
      </c>
      <c r="U12" s="31">
        <f t="shared" si="3"/>
        <v>0.42066745282380119</v>
      </c>
      <c r="V12" s="31">
        <f t="shared" si="3"/>
        <v>0.39950949995149343</v>
      </c>
      <c r="W12" s="31">
        <f t="shared" si="3"/>
        <v>0.39093144977203637</v>
      </c>
      <c r="X12" s="31">
        <f t="shared" ref="X12:AM14" si="11">W11</f>
        <v>0.38291069585435045</v>
      </c>
      <c r="Y12" s="31">
        <f t="shared" si="11"/>
        <v>0.38076321767921684</v>
      </c>
      <c r="Z12" s="32">
        <f t="shared" si="11"/>
        <v>0.37171614851418178</v>
      </c>
      <c r="AA12" s="32">
        <f t="shared" si="11"/>
        <v>0.37270488492172443</v>
      </c>
      <c r="AB12" s="32">
        <f t="shared" si="11"/>
        <v>0.36774932743560501</v>
      </c>
      <c r="AC12" s="32">
        <f t="shared" si="11"/>
        <v>0.35839558256737353</v>
      </c>
      <c r="AD12" s="32">
        <f t="shared" si="11"/>
        <v>0.35426123129529563</v>
      </c>
      <c r="AE12" s="32">
        <f t="shared" si="11"/>
        <v>0.34211474253910101</v>
      </c>
      <c r="AF12" s="32">
        <f t="shared" si="11"/>
        <v>0.34238762623392033</v>
      </c>
      <c r="AG12" s="32">
        <f t="shared" si="11"/>
        <v>0.33485906539725552</v>
      </c>
      <c r="AH12" s="32">
        <f t="shared" si="11"/>
        <v>0.32131583307677547</v>
      </c>
      <c r="AI12" s="32">
        <f t="shared" si="11"/>
        <v>0.32349067713152857</v>
      </c>
      <c r="AJ12" s="32">
        <f t="shared" si="11"/>
        <v>0.30974679620133722</v>
      </c>
      <c r="AK12" s="32">
        <f t="shared" si="11"/>
        <v>0.30422886021404322</v>
      </c>
      <c r="AL12" s="38">
        <f t="shared" si="11"/>
        <v>0.30178926030046821</v>
      </c>
      <c r="AM12" s="38">
        <f t="shared" si="11"/>
        <v>0.29355912461272771</v>
      </c>
      <c r="AN12" s="38">
        <f t="shared" si="4"/>
        <v>0.29311976616354662</v>
      </c>
      <c r="AO12" s="38">
        <f t="shared" si="4"/>
        <v>0.28546484462963512</v>
      </c>
      <c r="AP12" s="38">
        <f t="shared" si="4"/>
        <v>0.28257423318515756</v>
      </c>
      <c r="AQ12" s="38">
        <f t="shared" si="4"/>
        <v>0.27769204186745183</v>
      </c>
      <c r="AR12" s="38">
        <f t="shared" si="4"/>
        <v>0.26899216431934214</v>
      </c>
      <c r="AS12" s="38">
        <f t="shared" si="4"/>
        <v>0.22542894965502608</v>
      </c>
      <c r="AT12" s="38">
        <f t="shared" si="4"/>
        <v>0.1535059779957855</v>
      </c>
      <c r="AU12" s="38">
        <f t="shared" si="4"/>
        <v>0</v>
      </c>
      <c r="AV12" s="38">
        <f t="shared" si="4"/>
        <v>0</v>
      </c>
      <c r="AW12" s="38">
        <f t="shared" si="4"/>
        <v>0</v>
      </c>
      <c r="AX12" s="33">
        <f t="shared" si="0"/>
        <v>2.5708517892257379</v>
      </c>
      <c r="AY12" s="33">
        <f t="shared" si="1"/>
        <v>5.5275082277733212</v>
      </c>
      <c r="AZ12" s="33">
        <f t="shared" si="2"/>
        <v>4.1029707755281413</v>
      </c>
      <c r="BA12" s="33">
        <f t="shared" si="5"/>
        <v>2.3821263627291409</v>
      </c>
      <c r="BB12" s="35">
        <f t="shared" si="6"/>
        <v>0.17628548305496416</v>
      </c>
      <c r="BC12" s="35">
        <f t="shared" si="7"/>
        <v>0.37902591744379566</v>
      </c>
      <c r="BD12" s="35">
        <f t="shared" si="8"/>
        <v>0.2813441786709196</v>
      </c>
      <c r="BE12" s="35">
        <f t="shared" si="9"/>
        <v>0.16334442083032052</v>
      </c>
    </row>
    <row r="13" spans="1:57" x14ac:dyDescent="0.25">
      <c r="A13" t="s">
        <v>19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>K12</f>
        <v>1</v>
      </c>
      <c r="M13" s="30">
        <f t="shared" ref="M13:W14" si="12">L12</f>
        <v>0.90610552129666766</v>
      </c>
      <c r="N13" s="31">
        <f t="shared" si="12"/>
        <v>0.66474626792906999</v>
      </c>
      <c r="O13" s="31">
        <f t="shared" si="12"/>
        <v>0.64124164902099534</v>
      </c>
      <c r="P13" s="31">
        <f t="shared" si="12"/>
        <v>0.54117698347402432</v>
      </c>
      <c r="Q13" s="31">
        <f t="shared" si="12"/>
        <v>0.51025933185167127</v>
      </c>
      <c r="R13" s="31">
        <f t="shared" si="12"/>
        <v>0.48547932267442784</v>
      </c>
      <c r="S13" s="31">
        <f t="shared" si="12"/>
        <v>0.48005362409561342</v>
      </c>
      <c r="T13" s="31">
        <f t="shared" si="12"/>
        <v>0.45523186819788147</v>
      </c>
      <c r="U13" s="31">
        <f t="shared" si="12"/>
        <v>0.43928313237780964</v>
      </c>
      <c r="V13" s="31">
        <f t="shared" si="12"/>
        <v>0.42066745282380119</v>
      </c>
      <c r="W13" s="31">
        <f t="shared" si="12"/>
        <v>0.39950949995149343</v>
      </c>
      <c r="X13" s="31">
        <f t="shared" si="11"/>
        <v>0.39093144977203637</v>
      </c>
      <c r="Y13" s="31">
        <f t="shared" si="11"/>
        <v>0.38291069585435045</v>
      </c>
      <c r="Z13" s="32">
        <f t="shared" si="11"/>
        <v>0.38076321767921684</v>
      </c>
      <c r="AA13" s="32">
        <f t="shared" si="11"/>
        <v>0.37171614851418178</v>
      </c>
      <c r="AB13" s="32">
        <f t="shared" si="11"/>
        <v>0.37270488492172443</v>
      </c>
      <c r="AC13" s="32">
        <f t="shared" si="11"/>
        <v>0.36774932743560501</v>
      </c>
      <c r="AD13" s="32">
        <f t="shared" si="11"/>
        <v>0.35839558256737353</v>
      </c>
      <c r="AE13" s="32">
        <f t="shared" si="11"/>
        <v>0.35426123129529563</v>
      </c>
      <c r="AF13" s="32">
        <f t="shared" si="11"/>
        <v>0.34211474253910101</v>
      </c>
      <c r="AG13" s="32">
        <f t="shared" si="11"/>
        <v>0.34238762623392033</v>
      </c>
      <c r="AH13" s="32">
        <f t="shared" si="11"/>
        <v>0.33485906539725552</v>
      </c>
      <c r="AI13" s="32">
        <f t="shared" si="11"/>
        <v>0.32131583307677547</v>
      </c>
      <c r="AJ13" s="32">
        <f t="shared" si="11"/>
        <v>0.32349067713152857</v>
      </c>
      <c r="AK13" s="32">
        <f t="shared" si="11"/>
        <v>0.30974679620133722</v>
      </c>
      <c r="AL13" s="38">
        <f t="shared" si="4"/>
        <v>0.30422886021404322</v>
      </c>
      <c r="AM13" s="38">
        <f t="shared" si="4"/>
        <v>0.30178926030046821</v>
      </c>
      <c r="AN13" s="38">
        <f t="shared" si="4"/>
        <v>0.29355912461272771</v>
      </c>
      <c r="AO13" s="38">
        <f t="shared" si="4"/>
        <v>0.29311976616354662</v>
      </c>
      <c r="AP13" s="38">
        <f t="shared" si="4"/>
        <v>0.28546484462963512</v>
      </c>
      <c r="AQ13" s="38">
        <f t="shared" si="4"/>
        <v>0.28257423318515756</v>
      </c>
      <c r="AR13" s="38">
        <f t="shared" si="4"/>
        <v>0.27769204186745183</v>
      </c>
      <c r="AS13" s="38">
        <f t="shared" si="4"/>
        <v>0.26899216431934214</v>
      </c>
      <c r="AT13" s="38">
        <f t="shared" si="4"/>
        <v>0.22542894965502608</v>
      </c>
      <c r="AU13" s="38">
        <f t="shared" si="4"/>
        <v>0.1535059779957855</v>
      </c>
      <c r="AV13" s="38">
        <f t="shared" si="4"/>
        <v>0</v>
      </c>
      <c r="AW13" s="38">
        <f t="shared" si="4"/>
        <v>0</v>
      </c>
      <c r="AX13" s="33">
        <f t="shared" si="0"/>
        <v>1.9061055212966678</v>
      </c>
      <c r="AY13" s="33">
        <f t="shared" si="1"/>
        <v>5.8114912780231744</v>
      </c>
      <c r="AZ13" s="33">
        <f t="shared" si="2"/>
        <v>4.1795051329933148</v>
      </c>
      <c r="BA13" s="33">
        <f t="shared" si="5"/>
        <v>2.6863552229431842</v>
      </c>
      <c r="BB13" s="35">
        <f t="shared" si="6"/>
        <v>0.13070326884799374</v>
      </c>
      <c r="BC13" s="35">
        <f t="shared" si="7"/>
        <v>0.3984988755515031</v>
      </c>
      <c r="BD13" s="35">
        <f t="shared" si="8"/>
        <v>0.286592204337974</v>
      </c>
      <c r="BE13" s="35">
        <f t="shared" si="9"/>
        <v>0.18420565126252908</v>
      </c>
    </row>
    <row r="14" spans="1:57" x14ac:dyDescent="0.25">
      <c r="A14" t="s">
        <v>20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>
        <f>L13</f>
        <v>1</v>
      </c>
      <c r="N14" s="31">
        <f t="shared" si="12"/>
        <v>0.90610552129666766</v>
      </c>
      <c r="O14" s="31">
        <f t="shared" si="12"/>
        <v>0.66474626792906999</v>
      </c>
      <c r="P14" s="31">
        <f t="shared" si="12"/>
        <v>0.64124164902099534</v>
      </c>
      <c r="Q14" s="31">
        <f t="shared" si="12"/>
        <v>0.54117698347402432</v>
      </c>
      <c r="R14" s="31">
        <f t="shared" si="12"/>
        <v>0.51025933185167127</v>
      </c>
      <c r="S14" s="31">
        <f t="shared" si="12"/>
        <v>0.48547932267442784</v>
      </c>
      <c r="T14" s="31">
        <f t="shared" si="12"/>
        <v>0.48005362409561342</v>
      </c>
      <c r="U14" s="31">
        <f t="shared" si="12"/>
        <v>0.45523186819788147</v>
      </c>
      <c r="V14" s="31">
        <f t="shared" si="12"/>
        <v>0.43928313237780964</v>
      </c>
      <c r="W14" s="31">
        <f t="shared" si="12"/>
        <v>0.42066745282380119</v>
      </c>
      <c r="X14" s="31">
        <f t="shared" si="11"/>
        <v>0.39950949995149343</v>
      </c>
      <c r="Y14" s="31">
        <f t="shared" si="11"/>
        <v>0.39093144977203637</v>
      </c>
      <c r="Z14" s="32">
        <f t="shared" si="11"/>
        <v>0.38291069585435045</v>
      </c>
      <c r="AA14" s="32">
        <f t="shared" si="11"/>
        <v>0.38076321767921684</v>
      </c>
      <c r="AB14" s="32">
        <f t="shared" si="11"/>
        <v>0.37171614851418178</v>
      </c>
      <c r="AC14" s="32">
        <f t="shared" si="11"/>
        <v>0.37270488492172443</v>
      </c>
      <c r="AD14" s="32">
        <f t="shared" si="11"/>
        <v>0.36774932743560501</v>
      </c>
      <c r="AE14" s="32">
        <f t="shared" si="11"/>
        <v>0.35839558256737353</v>
      </c>
      <c r="AF14" s="32">
        <f t="shared" si="11"/>
        <v>0.35426123129529563</v>
      </c>
      <c r="AG14" s="32">
        <f t="shared" si="11"/>
        <v>0.34211474253910101</v>
      </c>
      <c r="AH14" s="32">
        <f t="shared" si="11"/>
        <v>0.34238762623392033</v>
      </c>
      <c r="AI14" s="32">
        <f t="shared" si="11"/>
        <v>0.33485906539725552</v>
      </c>
      <c r="AJ14" s="32">
        <f t="shared" si="11"/>
        <v>0.32131583307677547</v>
      </c>
      <c r="AK14" s="32">
        <f t="shared" si="11"/>
        <v>0.32349067713152857</v>
      </c>
      <c r="AL14" s="38">
        <f t="shared" si="4"/>
        <v>0.30974679620133722</v>
      </c>
      <c r="AM14" s="38">
        <f t="shared" si="4"/>
        <v>0.30422886021404322</v>
      </c>
      <c r="AN14" s="38">
        <f t="shared" si="4"/>
        <v>0.30178926030046821</v>
      </c>
      <c r="AO14" s="38">
        <f t="shared" si="4"/>
        <v>0.29355912461272771</v>
      </c>
      <c r="AP14" s="38">
        <f t="shared" si="4"/>
        <v>0.29311976616354662</v>
      </c>
      <c r="AQ14" s="38">
        <f t="shared" si="4"/>
        <v>0.28546484462963512</v>
      </c>
      <c r="AR14" s="38">
        <f t="shared" si="4"/>
        <v>0.28257423318515756</v>
      </c>
      <c r="AS14" s="38">
        <f t="shared" si="4"/>
        <v>0.27769204186745183</v>
      </c>
      <c r="AT14" s="38">
        <f t="shared" si="4"/>
        <v>0.26899216431934214</v>
      </c>
      <c r="AU14" s="38">
        <f t="shared" si="4"/>
        <v>0.22542894965502608</v>
      </c>
      <c r="AV14" s="38">
        <f t="shared" si="4"/>
        <v>0.1535059779957855</v>
      </c>
      <c r="AW14" s="38">
        <f t="shared" si="4"/>
        <v>0</v>
      </c>
      <c r="AX14" s="33">
        <f t="shared" si="0"/>
        <v>1</v>
      </c>
      <c r="AY14" s="33">
        <f t="shared" si="1"/>
        <v>6.3346861034654927</v>
      </c>
      <c r="AZ14" s="33">
        <f t="shared" si="2"/>
        <v>4.2526690326463283</v>
      </c>
      <c r="BA14" s="33">
        <f t="shared" si="5"/>
        <v>2.9961020191445211</v>
      </c>
      <c r="BB14" s="35">
        <f t="shared" si="6"/>
        <v>6.857084636063597E-2</v>
      </c>
      <c r="BC14" s="35">
        <f t="shared" si="7"/>
        <v>0.43437478754358805</v>
      </c>
      <c r="BD14" s="35">
        <f t="shared" si="8"/>
        <v>0.29160911486022578</v>
      </c>
      <c r="BE14" s="35">
        <f t="shared" si="9"/>
        <v>0.20544525123555019</v>
      </c>
    </row>
    <row r="16" spans="1:57" hidden="1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 t="s">
        <v>20</v>
      </c>
    </row>
    <row r="17" spans="1:53" hidden="1" x14ac:dyDescent="0.25">
      <c r="A17">
        <v>0</v>
      </c>
      <c r="B17" s="21">
        <v>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53" hidden="1" x14ac:dyDescent="0.25">
      <c r="A18">
        <v>1</v>
      </c>
      <c r="B18" s="21">
        <v>0.90610552129666766</v>
      </c>
      <c r="C18" s="21">
        <v>1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AX18" s="36">
        <v>0.48142397055440539</v>
      </c>
      <c r="AY18" s="37">
        <v>0.29005636070853463</v>
      </c>
      <c r="AZ18" s="37">
        <v>0.18946974925235796</v>
      </c>
      <c r="BA18" s="37"/>
    </row>
    <row r="19" spans="1:53" hidden="1" x14ac:dyDescent="0.25">
      <c r="A19">
        <v>2</v>
      </c>
      <c r="B19" s="21">
        <v>0.66474626792906999</v>
      </c>
      <c r="C19" s="21">
        <v>0.90610552129666766</v>
      </c>
      <c r="D19" s="21">
        <v>1</v>
      </c>
      <c r="E19" s="21"/>
      <c r="F19" s="21"/>
      <c r="G19" s="21"/>
      <c r="H19" s="21"/>
      <c r="I19" s="21"/>
      <c r="J19" s="21"/>
      <c r="K19" s="21"/>
      <c r="L19" s="21"/>
      <c r="M19" s="21"/>
    </row>
    <row r="20" spans="1:53" hidden="1" x14ac:dyDescent="0.25">
      <c r="A20">
        <v>3</v>
      </c>
      <c r="B20" s="21">
        <v>0.64124164902099534</v>
      </c>
      <c r="C20" s="21">
        <v>0.66474626792906999</v>
      </c>
      <c r="D20" s="21">
        <v>0.90610552129666766</v>
      </c>
      <c r="E20" s="21">
        <v>1</v>
      </c>
      <c r="F20" s="21"/>
      <c r="G20" s="21"/>
      <c r="H20" s="21"/>
      <c r="I20" s="21"/>
      <c r="J20" s="21"/>
      <c r="K20" s="21"/>
      <c r="L20" s="21"/>
      <c r="M20" s="21"/>
    </row>
    <row r="21" spans="1:53" hidden="1" x14ac:dyDescent="0.25">
      <c r="A21">
        <v>4</v>
      </c>
      <c r="B21" s="21">
        <v>0.54117698347402432</v>
      </c>
      <c r="C21" s="21">
        <v>0.64124164902099534</v>
      </c>
      <c r="D21" s="21">
        <v>0.66474626792906999</v>
      </c>
      <c r="E21" s="21">
        <v>0.90610552129666766</v>
      </c>
      <c r="F21" s="21">
        <v>1</v>
      </c>
      <c r="G21" s="21"/>
      <c r="H21" s="21"/>
      <c r="I21" s="21"/>
      <c r="J21" s="21"/>
      <c r="K21" s="21"/>
      <c r="L21" s="21"/>
      <c r="M21" s="21"/>
    </row>
    <row r="22" spans="1:53" hidden="1" x14ac:dyDescent="0.25">
      <c r="A22">
        <v>5</v>
      </c>
      <c r="B22" s="21">
        <v>0.51025933185167127</v>
      </c>
      <c r="C22" s="21">
        <v>0.54117698347402432</v>
      </c>
      <c r="D22" s="21">
        <v>0.64124164902099534</v>
      </c>
      <c r="E22" s="21">
        <v>0.66474626792906999</v>
      </c>
      <c r="F22" s="21">
        <v>0.90610552129666766</v>
      </c>
      <c r="G22" s="21">
        <v>1</v>
      </c>
      <c r="H22" s="21"/>
      <c r="I22" s="21"/>
      <c r="J22" s="21"/>
      <c r="K22" s="21"/>
      <c r="L22" s="21"/>
      <c r="M22" s="21"/>
    </row>
    <row r="23" spans="1:53" hidden="1" x14ac:dyDescent="0.25">
      <c r="A23">
        <v>6</v>
      </c>
      <c r="B23" s="21">
        <v>0.48547932267442784</v>
      </c>
      <c r="C23" s="21">
        <v>0.51025933185167127</v>
      </c>
      <c r="D23" s="21">
        <v>0.54117698347402432</v>
      </c>
      <c r="E23" s="21">
        <v>0.64124164902099534</v>
      </c>
      <c r="F23" s="21">
        <v>0.66474626792906999</v>
      </c>
      <c r="G23" s="21">
        <v>0.90610552129666766</v>
      </c>
      <c r="H23" s="21">
        <v>1</v>
      </c>
      <c r="I23" s="21"/>
      <c r="J23" s="21"/>
      <c r="K23" s="21"/>
      <c r="L23" s="21"/>
      <c r="M23" s="21"/>
    </row>
    <row r="24" spans="1:53" hidden="1" x14ac:dyDescent="0.25">
      <c r="A24">
        <v>7</v>
      </c>
      <c r="B24" s="21">
        <v>0.48005362409561342</v>
      </c>
      <c r="C24" s="21">
        <v>0.48547932267442784</v>
      </c>
      <c r="D24" s="21">
        <v>0.51025933185167127</v>
      </c>
      <c r="E24" s="21">
        <v>0.54117698347402432</v>
      </c>
      <c r="F24" s="21">
        <v>0.64124164902099534</v>
      </c>
      <c r="G24" s="21">
        <v>0.66474626792906999</v>
      </c>
      <c r="H24" s="21">
        <v>0.90610552129666766</v>
      </c>
      <c r="I24" s="21">
        <v>1</v>
      </c>
      <c r="J24" s="21"/>
      <c r="K24" s="21"/>
      <c r="L24" s="21"/>
      <c r="M24" s="21"/>
    </row>
    <row r="25" spans="1:53" hidden="1" x14ac:dyDescent="0.25">
      <c r="A25">
        <v>8</v>
      </c>
      <c r="B25" s="21">
        <v>0.45523186819788147</v>
      </c>
      <c r="C25" s="21">
        <v>0.48005362409561342</v>
      </c>
      <c r="D25" s="21">
        <v>0.48547932267442784</v>
      </c>
      <c r="E25" s="21">
        <v>0.51025933185167127</v>
      </c>
      <c r="F25" s="21">
        <v>0.54117698347402432</v>
      </c>
      <c r="G25" s="21">
        <v>0.64124164902099534</v>
      </c>
      <c r="H25" s="21">
        <v>0.66474626792906999</v>
      </c>
      <c r="I25" s="21">
        <v>0.90610552129666766</v>
      </c>
      <c r="J25" s="21">
        <v>1</v>
      </c>
      <c r="K25" s="21"/>
      <c r="L25" s="21"/>
      <c r="M25" s="21"/>
    </row>
    <row r="26" spans="1:53" hidden="1" x14ac:dyDescent="0.25">
      <c r="A26">
        <v>9</v>
      </c>
      <c r="B26" s="21">
        <v>0.43928313237780964</v>
      </c>
      <c r="C26" s="21">
        <v>0.45523186819788147</v>
      </c>
      <c r="D26" s="21">
        <v>0.48005362409561342</v>
      </c>
      <c r="E26" s="21">
        <v>0.48547932267442784</v>
      </c>
      <c r="F26" s="21">
        <v>0.51025933185167127</v>
      </c>
      <c r="G26" s="21">
        <v>0.54117698347402432</v>
      </c>
      <c r="H26" s="21">
        <v>0.64124164902099534</v>
      </c>
      <c r="I26" s="21">
        <v>0.66474626792906999</v>
      </c>
      <c r="J26" s="21">
        <v>0.90610552129666766</v>
      </c>
      <c r="K26" s="21">
        <v>1</v>
      </c>
      <c r="L26" s="21"/>
      <c r="M26" s="21"/>
    </row>
    <row r="27" spans="1:53" hidden="1" x14ac:dyDescent="0.25">
      <c r="A27">
        <v>10</v>
      </c>
      <c r="B27" s="21">
        <v>0.42066745282380119</v>
      </c>
      <c r="C27" s="21">
        <v>0.43928313237780964</v>
      </c>
      <c r="D27" s="21">
        <v>0.45523186819788147</v>
      </c>
      <c r="E27" s="21">
        <v>0.48005362409561342</v>
      </c>
      <c r="F27" s="21">
        <v>0.48547932267442784</v>
      </c>
      <c r="G27" s="21">
        <v>0.51025933185167127</v>
      </c>
      <c r="H27" s="21">
        <v>0.54117698347402432</v>
      </c>
      <c r="I27" s="21">
        <v>0.64124164902099534</v>
      </c>
      <c r="J27" s="21">
        <v>0.66474626792906999</v>
      </c>
      <c r="K27" s="21">
        <v>0.90610552129666766</v>
      </c>
      <c r="L27" s="21">
        <v>1</v>
      </c>
      <c r="M27" s="21"/>
    </row>
    <row r="28" spans="1:53" hidden="1" x14ac:dyDescent="0.25">
      <c r="A28">
        <v>11</v>
      </c>
      <c r="B28" s="21">
        <v>0.39950949995149343</v>
      </c>
      <c r="C28" s="21">
        <v>0.42066745282380119</v>
      </c>
      <c r="D28" s="21">
        <v>0.43928313237780964</v>
      </c>
      <c r="E28" s="21">
        <v>0.45523186819788147</v>
      </c>
      <c r="F28" s="21">
        <v>0.48005362409561342</v>
      </c>
      <c r="G28" s="21">
        <v>0.48547932267442784</v>
      </c>
      <c r="H28" s="21">
        <v>0.51025933185167127</v>
      </c>
      <c r="I28" s="21">
        <v>0.54117698347402432</v>
      </c>
      <c r="J28" s="21">
        <v>0.64124164902099534</v>
      </c>
      <c r="K28" s="21">
        <v>0.66474626792906999</v>
      </c>
      <c r="L28" s="21">
        <v>0.90610552129666766</v>
      </c>
      <c r="M28" s="21">
        <v>1</v>
      </c>
    </row>
    <row r="29" spans="1:53" hidden="1" x14ac:dyDescent="0.25">
      <c r="A29">
        <v>12</v>
      </c>
      <c r="B29" s="21">
        <v>0.39093144977203637</v>
      </c>
      <c r="C29" s="21">
        <v>0.39950949995149343</v>
      </c>
      <c r="D29" s="21">
        <v>0.42066745282380119</v>
      </c>
      <c r="E29" s="21">
        <v>0.43928313237780964</v>
      </c>
      <c r="F29" s="21">
        <v>0.45523186819788147</v>
      </c>
      <c r="G29" s="21">
        <v>0.48005362409561342</v>
      </c>
      <c r="H29" s="21">
        <v>0.48547932267442784</v>
      </c>
      <c r="I29" s="21">
        <v>0.51025933185167127</v>
      </c>
      <c r="J29" s="21">
        <v>0.54117698347402432</v>
      </c>
      <c r="K29" s="21">
        <v>0.64124164902099534</v>
      </c>
      <c r="L29" s="21">
        <v>0.66474626792906999</v>
      </c>
      <c r="M29" s="21">
        <v>0.90610552129666766</v>
      </c>
    </row>
    <row r="30" spans="1:53" hidden="1" x14ac:dyDescent="0.25">
      <c r="A30">
        <v>13</v>
      </c>
      <c r="B30" s="21">
        <v>0.38291069585435045</v>
      </c>
      <c r="C30" s="21">
        <v>0.39093144977203637</v>
      </c>
      <c r="D30" s="21">
        <v>0.39950949995149343</v>
      </c>
      <c r="E30" s="21">
        <v>0.42066745282380119</v>
      </c>
      <c r="F30" s="21">
        <v>0.43928313237780964</v>
      </c>
      <c r="G30" s="21">
        <v>0.45523186819788147</v>
      </c>
      <c r="H30" s="21">
        <v>0.48005362409561342</v>
      </c>
      <c r="I30" s="21">
        <v>0.48547932267442784</v>
      </c>
      <c r="J30" s="21">
        <v>0.51025933185167127</v>
      </c>
      <c r="K30" s="21">
        <v>0.54117698347402432</v>
      </c>
      <c r="L30" s="21">
        <v>0.64124164902099534</v>
      </c>
      <c r="M30" s="21">
        <v>0.66474626792906999</v>
      </c>
    </row>
    <row r="31" spans="1:53" hidden="1" x14ac:dyDescent="0.25">
      <c r="A31">
        <v>14</v>
      </c>
      <c r="B31" s="21">
        <v>0.38076321767921684</v>
      </c>
      <c r="C31" s="21">
        <v>0.38291069585435045</v>
      </c>
      <c r="D31" s="21">
        <v>0.39093144977203637</v>
      </c>
      <c r="E31" s="21">
        <v>0.39950949995149343</v>
      </c>
      <c r="F31" s="21">
        <v>0.42066745282380119</v>
      </c>
      <c r="G31" s="21">
        <v>0.43928313237780964</v>
      </c>
      <c r="H31" s="21">
        <v>0.45523186819788147</v>
      </c>
      <c r="I31" s="21">
        <v>0.48005362409561342</v>
      </c>
      <c r="J31" s="21">
        <v>0.48547932267442784</v>
      </c>
      <c r="K31" s="21">
        <v>0.51025933185167127</v>
      </c>
      <c r="L31" s="21">
        <v>0.54117698347402432</v>
      </c>
      <c r="M31" s="21">
        <v>0.64124164902099534</v>
      </c>
    </row>
    <row r="32" spans="1:53" hidden="1" x14ac:dyDescent="0.25">
      <c r="A32">
        <v>15</v>
      </c>
      <c r="B32" s="21">
        <v>0.37171614851418178</v>
      </c>
      <c r="C32" s="21">
        <v>0.38076321767921684</v>
      </c>
      <c r="D32" s="21">
        <v>0.38291069585435045</v>
      </c>
      <c r="E32" s="21">
        <v>0.39093144977203637</v>
      </c>
      <c r="F32" s="21">
        <v>0.39950949995149343</v>
      </c>
      <c r="G32" s="21">
        <v>0.42066745282380119</v>
      </c>
      <c r="H32" s="21">
        <v>0.43928313237780964</v>
      </c>
      <c r="I32" s="21">
        <v>0.45523186819788147</v>
      </c>
      <c r="J32" s="21">
        <v>0.48005362409561342</v>
      </c>
      <c r="K32" s="21">
        <v>0.48547932267442784</v>
      </c>
      <c r="L32" s="21">
        <v>0.51025933185167127</v>
      </c>
      <c r="M32" s="21">
        <v>0.54117698347402432</v>
      </c>
    </row>
    <row r="33" spans="1:13" hidden="1" x14ac:dyDescent="0.25">
      <c r="A33">
        <v>16</v>
      </c>
      <c r="B33" s="21">
        <v>0.37270488492172443</v>
      </c>
      <c r="C33" s="21">
        <v>0.37171614851418178</v>
      </c>
      <c r="D33" s="21">
        <v>0.38076321767921684</v>
      </c>
      <c r="E33" s="21">
        <v>0.38291069585435045</v>
      </c>
      <c r="F33" s="21">
        <v>0.39093144977203637</v>
      </c>
      <c r="G33" s="21">
        <v>0.39950949995149343</v>
      </c>
      <c r="H33" s="21">
        <v>0.42066745282380119</v>
      </c>
      <c r="I33" s="21">
        <v>0.43928313237780964</v>
      </c>
      <c r="J33" s="21">
        <v>0.45523186819788147</v>
      </c>
      <c r="K33" s="21">
        <v>0.48005362409561342</v>
      </c>
      <c r="L33" s="21">
        <v>0.48547932267442784</v>
      </c>
      <c r="M33" s="21">
        <v>0.51025933185167127</v>
      </c>
    </row>
    <row r="34" spans="1:13" hidden="1" x14ac:dyDescent="0.25">
      <c r="A34">
        <v>17</v>
      </c>
      <c r="B34" s="21">
        <v>0.36774932743560501</v>
      </c>
      <c r="C34" s="21">
        <v>0.37270488492172443</v>
      </c>
      <c r="D34" s="21">
        <v>0.37171614851418178</v>
      </c>
      <c r="E34" s="21">
        <v>0.38076321767921684</v>
      </c>
      <c r="F34" s="21">
        <v>0.38291069585435045</v>
      </c>
      <c r="G34" s="21">
        <v>0.39093144977203637</v>
      </c>
      <c r="H34" s="21">
        <v>0.39950949995149343</v>
      </c>
      <c r="I34" s="21">
        <v>0.42066745282380119</v>
      </c>
      <c r="J34" s="21">
        <v>0.43928313237780964</v>
      </c>
      <c r="K34" s="21">
        <v>0.45523186819788147</v>
      </c>
      <c r="L34" s="21">
        <v>0.48005362409561342</v>
      </c>
      <c r="M34" s="21">
        <v>0.48547932267442784</v>
      </c>
    </row>
    <row r="35" spans="1:13" hidden="1" x14ac:dyDescent="0.25">
      <c r="A35">
        <v>18</v>
      </c>
      <c r="B35" s="21">
        <v>0.35839558256737353</v>
      </c>
      <c r="C35" s="21">
        <v>0.36774932743560501</v>
      </c>
      <c r="D35" s="21">
        <v>0.37270488492172443</v>
      </c>
      <c r="E35" s="21">
        <v>0.37171614851418178</v>
      </c>
      <c r="F35" s="21">
        <v>0.38076321767921684</v>
      </c>
      <c r="G35" s="21">
        <v>0.38291069585435045</v>
      </c>
      <c r="H35" s="21">
        <v>0.39093144977203637</v>
      </c>
      <c r="I35" s="21">
        <v>0.39950949995149343</v>
      </c>
      <c r="J35" s="21">
        <v>0.42066745282380119</v>
      </c>
      <c r="K35" s="21">
        <v>0.43928313237780964</v>
      </c>
      <c r="L35" s="21">
        <v>0.45523186819788147</v>
      </c>
      <c r="M35" s="21">
        <v>0.48005362409561342</v>
      </c>
    </row>
    <row r="36" spans="1:13" hidden="1" x14ac:dyDescent="0.25">
      <c r="A36">
        <v>19</v>
      </c>
      <c r="B36" s="21">
        <v>0.35426123129529563</v>
      </c>
      <c r="C36" s="21">
        <v>0.35839558256737353</v>
      </c>
      <c r="D36" s="21">
        <v>0.36774932743560501</v>
      </c>
      <c r="E36" s="21">
        <v>0.37270488492172443</v>
      </c>
      <c r="F36" s="21">
        <v>0.37171614851418178</v>
      </c>
      <c r="G36" s="21">
        <v>0.38076321767921684</v>
      </c>
      <c r="H36" s="21">
        <v>0.38291069585435045</v>
      </c>
      <c r="I36" s="21">
        <v>0.39093144977203637</v>
      </c>
      <c r="J36" s="21">
        <v>0.39950949995149343</v>
      </c>
      <c r="K36" s="21">
        <v>0.42066745282380119</v>
      </c>
      <c r="L36" s="21">
        <v>0.43928313237780964</v>
      </c>
      <c r="M36" s="21">
        <v>0.45523186819788147</v>
      </c>
    </row>
    <row r="37" spans="1:13" hidden="1" x14ac:dyDescent="0.25">
      <c r="A37">
        <v>20</v>
      </c>
      <c r="B37" s="21">
        <v>0.34211474253910101</v>
      </c>
      <c r="C37" s="21">
        <v>0.35426123129529563</v>
      </c>
      <c r="D37" s="21">
        <v>0.35839558256737353</v>
      </c>
      <c r="E37" s="21">
        <v>0.36774932743560501</v>
      </c>
      <c r="F37" s="21">
        <v>0.37270488492172443</v>
      </c>
      <c r="G37" s="21">
        <v>0.37171614851418178</v>
      </c>
      <c r="H37" s="21">
        <v>0.38076321767921684</v>
      </c>
      <c r="I37" s="21">
        <v>0.38291069585435045</v>
      </c>
      <c r="J37" s="21">
        <v>0.39093144977203637</v>
      </c>
      <c r="K37" s="21">
        <v>0.39950949995149343</v>
      </c>
      <c r="L37" s="21">
        <v>0.42066745282380119</v>
      </c>
      <c r="M37" s="21">
        <v>0.43928313237780964</v>
      </c>
    </row>
    <row r="38" spans="1:13" hidden="1" x14ac:dyDescent="0.25">
      <c r="A38">
        <v>21</v>
      </c>
      <c r="B38" s="21">
        <v>0.34238762623392033</v>
      </c>
      <c r="C38" s="21">
        <v>0.34211474253910101</v>
      </c>
      <c r="D38" s="21">
        <v>0.35426123129529563</v>
      </c>
      <c r="E38" s="21">
        <v>0.35839558256737353</v>
      </c>
      <c r="F38" s="21">
        <v>0.36774932743560501</v>
      </c>
      <c r="G38" s="21">
        <v>0.37270488492172443</v>
      </c>
      <c r="H38" s="21">
        <v>0.37171614851418178</v>
      </c>
      <c r="I38" s="21">
        <v>0.38076321767921684</v>
      </c>
      <c r="J38" s="21">
        <v>0.38291069585435045</v>
      </c>
      <c r="K38" s="21">
        <v>0.39093144977203637</v>
      </c>
      <c r="L38" s="21">
        <v>0.39950949995149343</v>
      </c>
      <c r="M38" s="21">
        <v>0.42066745282380119</v>
      </c>
    </row>
    <row r="39" spans="1:13" hidden="1" x14ac:dyDescent="0.25">
      <c r="A39">
        <v>22</v>
      </c>
      <c r="B39" s="21">
        <v>0.33485906539725552</v>
      </c>
      <c r="C39" s="21">
        <v>0.34238762623392033</v>
      </c>
      <c r="D39" s="21">
        <v>0.34211474253910101</v>
      </c>
      <c r="E39" s="21">
        <v>0.35426123129529563</v>
      </c>
      <c r="F39" s="21">
        <v>0.35839558256737353</v>
      </c>
      <c r="G39" s="21">
        <v>0.36774932743560501</v>
      </c>
      <c r="H39" s="21">
        <v>0.37270488492172443</v>
      </c>
      <c r="I39" s="21">
        <v>0.37171614851418178</v>
      </c>
      <c r="J39" s="21">
        <v>0.38076321767921684</v>
      </c>
      <c r="K39" s="21">
        <v>0.38291069585435045</v>
      </c>
      <c r="L39" s="21">
        <v>0.39093144977203637</v>
      </c>
      <c r="M39" s="21">
        <v>0.39950949995149343</v>
      </c>
    </row>
    <row r="40" spans="1:13" hidden="1" x14ac:dyDescent="0.25">
      <c r="A40">
        <v>23</v>
      </c>
      <c r="B40" s="21">
        <v>0.32131583307677547</v>
      </c>
      <c r="C40" s="21">
        <v>0.33485906539725552</v>
      </c>
      <c r="D40" s="21">
        <v>0.34238762623392033</v>
      </c>
      <c r="E40" s="21">
        <v>0.34211474253910101</v>
      </c>
      <c r="F40" s="21">
        <v>0.35426123129529563</v>
      </c>
      <c r="G40" s="21">
        <v>0.35839558256737353</v>
      </c>
      <c r="H40" s="21">
        <v>0.36774932743560501</v>
      </c>
      <c r="I40" s="21">
        <v>0.37270488492172443</v>
      </c>
      <c r="J40" s="21">
        <v>0.37171614851418178</v>
      </c>
      <c r="K40" s="21">
        <v>0.38076321767921684</v>
      </c>
      <c r="L40" s="21">
        <v>0.38291069585435045</v>
      </c>
      <c r="M40" s="21">
        <v>0.39093144977203637</v>
      </c>
    </row>
    <row r="41" spans="1:13" hidden="1" x14ac:dyDescent="0.25">
      <c r="A41">
        <v>24</v>
      </c>
      <c r="B41" s="21">
        <v>0.32349067713152857</v>
      </c>
      <c r="C41" s="21">
        <v>0.32131583307677547</v>
      </c>
      <c r="D41" s="21">
        <v>0.33485906539725552</v>
      </c>
      <c r="E41" s="21">
        <v>0.34238762623392033</v>
      </c>
      <c r="F41" s="21">
        <v>0.34211474253910101</v>
      </c>
      <c r="G41" s="21">
        <v>0.35426123129529563</v>
      </c>
      <c r="H41" s="21">
        <v>0.35839558256737353</v>
      </c>
      <c r="I41" s="21">
        <v>0.36774932743560501</v>
      </c>
      <c r="J41" s="21">
        <v>0.37270488492172443</v>
      </c>
      <c r="K41" s="21">
        <v>0.37171614851418178</v>
      </c>
      <c r="L41" s="21">
        <v>0.38076321767921684</v>
      </c>
      <c r="M41" s="21">
        <v>0.38291069585435045</v>
      </c>
    </row>
    <row r="42" spans="1:13" hidden="1" x14ac:dyDescent="0.25">
      <c r="A42">
        <v>25</v>
      </c>
      <c r="B42" s="21">
        <v>0.30974679620133722</v>
      </c>
      <c r="C42" s="21">
        <v>0.32349067713152857</v>
      </c>
      <c r="D42" s="21">
        <v>0.32131583307677547</v>
      </c>
      <c r="E42" s="21">
        <v>0.33485906539725552</v>
      </c>
      <c r="F42" s="21">
        <v>0.34238762623392033</v>
      </c>
      <c r="G42" s="21">
        <v>0.34211474253910101</v>
      </c>
      <c r="H42" s="21">
        <v>0.35426123129529563</v>
      </c>
      <c r="I42" s="21">
        <v>0.35839558256737353</v>
      </c>
      <c r="J42" s="21">
        <v>0.36774932743560501</v>
      </c>
      <c r="K42" s="21">
        <v>0.37270488492172443</v>
      </c>
      <c r="L42" s="21">
        <v>0.37171614851418178</v>
      </c>
      <c r="M42" s="21">
        <v>0.38076321767921684</v>
      </c>
    </row>
    <row r="43" spans="1:13" hidden="1" x14ac:dyDescent="0.25">
      <c r="A43">
        <v>26</v>
      </c>
      <c r="B43" s="21">
        <v>0.30422886021404322</v>
      </c>
      <c r="C43" s="21">
        <v>0.30974679620133722</v>
      </c>
      <c r="D43" s="21">
        <v>0.32349067713152857</v>
      </c>
      <c r="E43" s="21">
        <v>0.32131583307677547</v>
      </c>
      <c r="F43" s="21">
        <v>0.33485906539725552</v>
      </c>
      <c r="G43" s="21">
        <v>0.34238762623392033</v>
      </c>
      <c r="H43" s="21">
        <v>0.34211474253910101</v>
      </c>
      <c r="I43" s="21">
        <v>0.35426123129529563</v>
      </c>
      <c r="J43" s="21">
        <v>0.35839558256737353</v>
      </c>
      <c r="K43" s="21">
        <v>0.36774932743560501</v>
      </c>
      <c r="L43" s="21">
        <v>0.37270488492172443</v>
      </c>
      <c r="M43" s="21">
        <v>0.37171614851418178</v>
      </c>
    </row>
    <row r="44" spans="1:13" hidden="1" x14ac:dyDescent="0.25">
      <c r="A44">
        <v>27</v>
      </c>
      <c r="B44" s="21">
        <v>0.30178926030046821</v>
      </c>
      <c r="C44" s="21">
        <v>0.30422886021404322</v>
      </c>
      <c r="D44" s="21">
        <v>0.30974679620133722</v>
      </c>
      <c r="E44" s="21">
        <v>0.32349067713152857</v>
      </c>
      <c r="F44" s="21">
        <v>0.32131583307677547</v>
      </c>
      <c r="G44" s="21">
        <v>0.33485906539725552</v>
      </c>
      <c r="H44" s="21">
        <v>0.34238762623392033</v>
      </c>
      <c r="I44" s="21">
        <v>0.34211474253910101</v>
      </c>
      <c r="J44" s="21">
        <v>0.35426123129529563</v>
      </c>
      <c r="K44" s="21">
        <v>0.35839558256737353</v>
      </c>
      <c r="L44" s="21">
        <v>0.36774932743560501</v>
      </c>
      <c r="M44" s="21">
        <v>0.37270488492172443</v>
      </c>
    </row>
    <row r="45" spans="1:13" hidden="1" x14ac:dyDescent="0.25">
      <c r="A45">
        <v>28</v>
      </c>
      <c r="B45" s="21">
        <v>0.29355912461272771</v>
      </c>
      <c r="C45" s="21">
        <v>0.30178926030046821</v>
      </c>
      <c r="D45" s="21">
        <v>0.30422886021404322</v>
      </c>
      <c r="E45" s="21">
        <v>0.30974679620133722</v>
      </c>
      <c r="F45" s="21">
        <v>0.32349067713152857</v>
      </c>
      <c r="G45" s="21">
        <v>0.32131583307677547</v>
      </c>
      <c r="H45" s="21">
        <v>0.33485906539725552</v>
      </c>
      <c r="I45" s="21">
        <v>0.34238762623392033</v>
      </c>
      <c r="J45" s="21">
        <v>0.34211474253910101</v>
      </c>
      <c r="K45" s="21">
        <v>0.35426123129529563</v>
      </c>
      <c r="L45" s="21">
        <v>0.35839558256737353</v>
      </c>
      <c r="M45" s="21">
        <v>0.36774932743560501</v>
      </c>
    </row>
    <row r="46" spans="1:13" hidden="1" x14ac:dyDescent="0.25">
      <c r="A46">
        <v>29</v>
      </c>
      <c r="B46" s="21">
        <v>0.29311976616354662</v>
      </c>
      <c r="C46" s="21">
        <v>0.29355912461272771</v>
      </c>
      <c r="D46" s="21">
        <v>0.30178926030046821</v>
      </c>
      <c r="E46" s="21">
        <v>0.30422886021404322</v>
      </c>
      <c r="F46" s="21">
        <v>0.30974679620133722</v>
      </c>
      <c r="G46" s="21">
        <v>0.32349067713152857</v>
      </c>
      <c r="H46" s="21">
        <v>0.32131583307677547</v>
      </c>
      <c r="I46" s="21">
        <v>0.33485906539725552</v>
      </c>
      <c r="J46" s="21">
        <v>0.34238762623392033</v>
      </c>
      <c r="K46" s="21">
        <v>0.34211474253910101</v>
      </c>
      <c r="L46" s="21">
        <v>0.35426123129529563</v>
      </c>
      <c r="M46" s="21">
        <v>0.35839558256737353</v>
      </c>
    </row>
    <row r="47" spans="1:13" hidden="1" x14ac:dyDescent="0.25">
      <c r="A47">
        <v>30</v>
      </c>
      <c r="B47" s="21">
        <v>0.28546484462963512</v>
      </c>
      <c r="C47" s="21">
        <v>0.29311976616354662</v>
      </c>
      <c r="D47" s="21">
        <v>0.29355912461272771</v>
      </c>
      <c r="E47" s="21">
        <v>0.30178926030046821</v>
      </c>
      <c r="F47" s="21">
        <v>0.30422886021404322</v>
      </c>
      <c r="G47" s="21">
        <v>0.30974679620133722</v>
      </c>
      <c r="H47" s="21">
        <v>0.32349067713152857</v>
      </c>
      <c r="I47" s="21">
        <v>0.32131583307677547</v>
      </c>
      <c r="J47" s="21">
        <v>0.33485906539725552</v>
      </c>
      <c r="K47" s="21">
        <v>0.34238762623392033</v>
      </c>
      <c r="L47" s="21">
        <v>0.34211474253910101</v>
      </c>
      <c r="M47" s="21">
        <v>0.35426123129529563</v>
      </c>
    </row>
    <row r="48" spans="1:13" hidden="1" x14ac:dyDescent="0.25">
      <c r="A48">
        <v>31</v>
      </c>
      <c r="B48" s="21">
        <v>0.28257423318515756</v>
      </c>
      <c r="C48" s="21">
        <v>0.28546484462963512</v>
      </c>
      <c r="D48" s="21">
        <v>0.29311976616354662</v>
      </c>
      <c r="E48" s="21">
        <v>0.29355912461272771</v>
      </c>
      <c r="F48" s="21">
        <v>0.30178926030046821</v>
      </c>
      <c r="G48" s="21">
        <v>0.30422886021404322</v>
      </c>
      <c r="H48" s="21">
        <v>0.30974679620133722</v>
      </c>
      <c r="I48" s="21">
        <v>0.32349067713152857</v>
      </c>
      <c r="J48" s="21">
        <v>0.32131583307677547</v>
      </c>
      <c r="K48" s="21">
        <v>0.33485906539725552</v>
      </c>
      <c r="L48" s="21">
        <v>0.34238762623392033</v>
      </c>
      <c r="M48" s="21">
        <v>0.34211474253910101</v>
      </c>
    </row>
    <row r="49" spans="1:13" hidden="1" x14ac:dyDescent="0.25">
      <c r="A49">
        <v>32</v>
      </c>
      <c r="B49" s="21">
        <v>0.27769204186745183</v>
      </c>
      <c r="C49" s="21">
        <v>0.28257423318515756</v>
      </c>
      <c r="D49" s="21">
        <v>0.28546484462963512</v>
      </c>
      <c r="E49" s="21">
        <v>0.29311976616354662</v>
      </c>
      <c r="F49" s="21">
        <v>0.29355912461272771</v>
      </c>
      <c r="G49" s="21">
        <v>0.30178926030046821</v>
      </c>
      <c r="H49" s="21">
        <v>0.30422886021404322</v>
      </c>
      <c r="I49" s="21">
        <v>0.30974679620133722</v>
      </c>
      <c r="J49" s="21">
        <v>0.32349067713152857</v>
      </c>
      <c r="K49" s="21">
        <v>0.32131583307677547</v>
      </c>
      <c r="L49" s="21">
        <v>0.33485906539725552</v>
      </c>
      <c r="M49" s="21">
        <v>0.34238762623392033</v>
      </c>
    </row>
    <row r="50" spans="1:13" hidden="1" x14ac:dyDescent="0.25">
      <c r="A50">
        <v>33</v>
      </c>
      <c r="B50" s="21">
        <v>0.26899216431934214</v>
      </c>
      <c r="C50" s="21">
        <v>0.27769204186745183</v>
      </c>
      <c r="D50" s="21">
        <v>0.28257423318515756</v>
      </c>
      <c r="E50" s="21">
        <v>0.28546484462963512</v>
      </c>
      <c r="F50" s="21">
        <v>0.29311976616354662</v>
      </c>
      <c r="G50" s="21">
        <v>0.29355912461272771</v>
      </c>
      <c r="H50" s="21">
        <v>0.30178926030046821</v>
      </c>
      <c r="I50" s="21">
        <v>0.30422886021404322</v>
      </c>
      <c r="J50" s="21">
        <v>0.30974679620133722</v>
      </c>
      <c r="K50" s="21">
        <v>0.32349067713152857</v>
      </c>
      <c r="L50" s="21">
        <v>0.32131583307677547</v>
      </c>
      <c r="M50" s="21">
        <v>0.33485906539725552</v>
      </c>
    </row>
    <row r="51" spans="1:13" hidden="1" x14ac:dyDescent="0.25">
      <c r="A51">
        <v>34</v>
      </c>
      <c r="B51" s="21">
        <v>0.22542894965502608</v>
      </c>
      <c r="C51" s="21">
        <v>0.26899216431934214</v>
      </c>
      <c r="D51" s="21">
        <v>0.27769204186745183</v>
      </c>
      <c r="E51" s="21">
        <v>0.28257423318515756</v>
      </c>
      <c r="F51" s="21">
        <v>0.28546484462963512</v>
      </c>
      <c r="G51" s="21">
        <v>0.29311976616354662</v>
      </c>
      <c r="H51" s="21">
        <v>0.29355912461272771</v>
      </c>
      <c r="I51" s="21">
        <v>0.30178926030046821</v>
      </c>
      <c r="J51" s="21">
        <v>0.30422886021404322</v>
      </c>
      <c r="K51" s="21">
        <v>0.30974679620133722</v>
      </c>
      <c r="L51" s="21">
        <v>0.32349067713152857</v>
      </c>
      <c r="M51" s="21">
        <v>0.32131583307677547</v>
      </c>
    </row>
    <row r="52" spans="1:13" hidden="1" x14ac:dyDescent="0.25">
      <c r="A52">
        <v>35</v>
      </c>
      <c r="B52" s="21">
        <v>0.1535059779957855</v>
      </c>
      <c r="C52" s="21">
        <v>0.22542894965502608</v>
      </c>
      <c r="D52" s="21">
        <v>0.26899216431934214</v>
      </c>
      <c r="E52" s="21">
        <v>0.27769204186745183</v>
      </c>
      <c r="F52" s="21">
        <v>0.28257423318515756</v>
      </c>
      <c r="G52" s="21">
        <v>0.28546484462963512</v>
      </c>
      <c r="H52" s="21">
        <v>0.29311976616354662</v>
      </c>
      <c r="I52" s="21">
        <v>0.29355912461272771</v>
      </c>
      <c r="J52" s="21">
        <v>0.30178926030046821</v>
      </c>
      <c r="K52" s="21">
        <v>0.30422886021404322</v>
      </c>
      <c r="L52" s="21">
        <v>0.30974679620133722</v>
      </c>
      <c r="M52" s="21">
        <v>0.32349067713152857</v>
      </c>
    </row>
    <row r="53" spans="1:13" hidden="1" x14ac:dyDescent="0.25"/>
    <row r="54" spans="1:13" hidden="1" x14ac:dyDescent="0.25"/>
    <row r="55" spans="1:13" hidden="1" x14ac:dyDescent="0.25"/>
  </sheetData>
  <mergeCells count="3">
    <mergeCell ref="B1:M1"/>
    <mergeCell ref="N1:Y1"/>
    <mergeCell ref="Z1:AK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4"/>
  <sheetViews>
    <sheetView workbookViewId="0">
      <selection activeCell="C16" sqref="B16:C16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22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22" x14ac:dyDescent="0.25">
      <c r="B3" t="s">
        <v>106</v>
      </c>
      <c r="C3" s="11">
        <v>1297596.07</v>
      </c>
      <c r="D3" s="11">
        <v>545673.06999999995</v>
      </c>
      <c r="E3" s="11">
        <v>545673.06999999995</v>
      </c>
      <c r="F3" s="11">
        <v>845673.07</v>
      </c>
      <c r="G3" s="11">
        <v>845673.07</v>
      </c>
      <c r="H3" s="11">
        <v>845673.07</v>
      </c>
      <c r="I3" s="11">
        <v>845673.07</v>
      </c>
      <c r="J3" s="11">
        <v>845673.07</v>
      </c>
      <c r="K3" s="11">
        <v>845673.07</v>
      </c>
      <c r="L3" s="11">
        <v>845673.07</v>
      </c>
      <c r="M3" s="11">
        <v>845673.07</v>
      </c>
      <c r="N3" s="11">
        <v>845673.07</v>
      </c>
      <c r="O3" s="12">
        <f>SUM(C3:N3)</f>
        <v>9999999.8400000017</v>
      </c>
    </row>
    <row r="4" spans="2:22" x14ac:dyDescent="0.25">
      <c r="B4" t="s">
        <v>107</v>
      </c>
      <c r="C4" s="11">
        <v>275000</v>
      </c>
      <c r="D4" s="11">
        <v>275000</v>
      </c>
      <c r="E4" s="11">
        <v>275000</v>
      </c>
      <c r="F4" s="11">
        <v>200000</v>
      </c>
      <c r="G4" s="11">
        <v>200000</v>
      </c>
      <c r="H4" s="11">
        <v>200000</v>
      </c>
      <c r="I4" s="11">
        <v>200000</v>
      </c>
      <c r="J4" s="11">
        <v>200000</v>
      </c>
      <c r="K4" s="11">
        <v>300000</v>
      </c>
      <c r="L4" s="11">
        <v>300000</v>
      </c>
      <c r="M4" s="11">
        <v>375000</v>
      </c>
      <c r="N4" s="11">
        <v>200000</v>
      </c>
      <c r="O4" s="12">
        <f t="shared" ref="O4:O8" si="0">SUM(C4:N4)</f>
        <v>3000000</v>
      </c>
    </row>
    <row r="5" spans="2:22" x14ac:dyDescent="0.25">
      <c r="B5" t="s">
        <v>108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/>
      <c r="K5" s="11">
        <v>500000</v>
      </c>
      <c r="L5" s="11">
        <v>500000</v>
      </c>
      <c r="M5" s="11">
        <v>0</v>
      </c>
      <c r="N5" s="11">
        <v>0</v>
      </c>
      <c r="O5" s="12">
        <f t="shared" si="0"/>
        <v>1000000</v>
      </c>
      <c r="R5" t="s">
        <v>133</v>
      </c>
      <c r="S5" t="s">
        <v>40</v>
      </c>
      <c r="U5" t="s">
        <v>135</v>
      </c>
      <c r="V5" t="s">
        <v>40</v>
      </c>
    </row>
    <row r="6" spans="2:22" x14ac:dyDescent="0.25">
      <c r="B6" t="s">
        <v>109</v>
      </c>
      <c r="C6" s="11">
        <f>1000000/6</f>
        <v>166666.66666666666</v>
      </c>
      <c r="D6" s="11">
        <f t="shared" ref="D6:H6" si="1">1000000/6</f>
        <v>166666.66666666666</v>
      </c>
      <c r="E6" s="11">
        <f t="shared" si="1"/>
        <v>166666.66666666666</v>
      </c>
      <c r="F6" s="11">
        <f t="shared" si="1"/>
        <v>166666.66666666666</v>
      </c>
      <c r="G6" s="11">
        <f t="shared" si="1"/>
        <v>166666.66666666666</v>
      </c>
      <c r="H6" s="11">
        <f t="shared" si="1"/>
        <v>166666.66666666666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f t="shared" si="0"/>
        <v>999999.99999999988</v>
      </c>
      <c r="R6">
        <v>1.32</v>
      </c>
      <c r="S6">
        <v>11.14</v>
      </c>
      <c r="U6">
        <v>3.2</v>
      </c>
      <c r="V6">
        <v>3.96</v>
      </c>
    </row>
    <row r="7" spans="2:22" x14ac:dyDescent="0.25">
      <c r="B7" t="s">
        <v>110</v>
      </c>
      <c r="C7" s="11">
        <v>890000</v>
      </c>
      <c r="D7" s="11">
        <v>800000</v>
      </c>
      <c r="E7" s="11">
        <v>800000</v>
      </c>
      <c r="F7" s="11">
        <v>625000</v>
      </c>
      <c r="G7" s="11">
        <v>620000</v>
      </c>
      <c r="H7" s="11">
        <v>620000</v>
      </c>
      <c r="I7" s="11">
        <v>620000</v>
      </c>
      <c r="J7" s="11">
        <v>625000</v>
      </c>
      <c r="K7" s="11">
        <v>905000</v>
      </c>
      <c r="L7" s="11">
        <v>905000</v>
      </c>
      <c r="M7" s="11">
        <v>970000</v>
      </c>
      <c r="N7" s="11">
        <v>620000</v>
      </c>
      <c r="O7" s="12">
        <f t="shared" si="0"/>
        <v>9000000</v>
      </c>
      <c r="R7">
        <v>0.7</v>
      </c>
      <c r="S7">
        <v>9.9700000000000006</v>
      </c>
      <c r="U7">
        <v>0.33</v>
      </c>
      <c r="V7">
        <v>1.06</v>
      </c>
    </row>
    <row r="8" spans="2:22" x14ac:dyDescent="0.25">
      <c r="B8" s="13" t="s">
        <v>39</v>
      </c>
      <c r="C8" s="12">
        <f>SUM(C3:C7)</f>
        <v>2629262.7366666668</v>
      </c>
      <c r="D8" s="12">
        <f t="shared" ref="D8:N8" si="2">SUM(D3:D7)</f>
        <v>1787339.7366666666</v>
      </c>
      <c r="E8" s="12">
        <f t="shared" si="2"/>
        <v>1787339.7366666666</v>
      </c>
      <c r="F8" s="12">
        <f t="shared" si="2"/>
        <v>1837339.7366666666</v>
      </c>
      <c r="G8" s="12">
        <f t="shared" si="2"/>
        <v>1832339.7366666666</v>
      </c>
      <c r="H8" s="12">
        <f t="shared" si="2"/>
        <v>1832339.7366666666</v>
      </c>
      <c r="I8" s="12">
        <f t="shared" si="2"/>
        <v>1665673.0699999998</v>
      </c>
      <c r="J8" s="12">
        <f t="shared" si="2"/>
        <v>1670673.0699999998</v>
      </c>
      <c r="K8" s="12">
        <f t="shared" si="2"/>
        <v>2550673.0699999998</v>
      </c>
      <c r="L8" s="12">
        <f t="shared" si="2"/>
        <v>2550673.0699999998</v>
      </c>
      <c r="M8" s="12">
        <f t="shared" si="2"/>
        <v>2190673.0699999998</v>
      </c>
      <c r="N8" s="12">
        <f t="shared" si="2"/>
        <v>1665673.0699999998</v>
      </c>
      <c r="O8" s="12">
        <f t="shared" si="0"/>
        <v>23999999.84</v>
      </c>
      <c r="R8">
        <v>0.88</v>
      </c>
      <c r="S8">
        <v>7.48</v>
      </c>
    </row>
    <row r="9" spans="2:22" x14ac:dyDescent="0.25">
      <c r="R9">
        <v>0.57999999999999996</v>
      </c>
      <c r="S9">
        <v>4.5199999999999996</v>
      </c>
    </row>
    <row r="10" spans="2:22" x14ac:dyDescent="0.25">
      <c r="B10" s="20" t="s">
        <v>44</v>
      </c>
      <c r="C10" s="20" t="s">
        <v>40</v>
      </c>
      <c r="O10"/>
      <c r="R10">
        <v>3.9</v>
      </c>
      <c r="S10">
        <f>(13169*940)/(R10*1000000*0.6)</f>
        <v>5.290111111111111</v>
      </c>
      <c r="U10" t="s">
        <v>134</v>
      </c>
      <c r="V10">
        <f>SUMPRODUCT(V6:V9,U6:U9)/SUM(U6:U9)</f>
        <v>3.6888951841359772</v>
      </c>
    </row>
    <row r="11" spans="2:22" x14ac:dyDescent="0.25">
      <c r="B11" s="1" t="str">
        <f>B3</f>
        <v>In-office</v>
      </c>
      <c r="C11" s="69">
        <f>S11</f>
        <v>6.9809259259259262</v>
      </c>
      <c r="D11" t="s">
        <v>136</v>
      </c>
      <c r="J11" t="s">
        <v>137</v>
      </c>
      <c r="O11"/>
      <c r="R11" t="s">
        <v>134</v>
      </c>
      <c r="S11">
        <f>SUMPRODUCT(S6:S10,R6:R10)/SUM(R6:R10)</f>
        <v>6.9809259259259262</v>
      </c>
    </row>
    <row r="12" spans="2:22" x14ac:dyDescent="0.25">
      <c r="B12" s="1" t="str">
        <f t="shared" ref="B12:B15" si="3">B4</f>
        <v>Display/Mobile</v>
      </c>
      <c r="C12" s="69">
        <f>V10</f>
        <v>3.6888951841359772</v>
      </c>
      <c r="D12" t="s">
        <v>138</v>
      </c>
      <c r="O12"/>
    </row>
    <row r="13" spans="2:22" x14ac:dyDescent="0.25">
      <c r="B13" s="1" t="str">
        <f t="shared" si="3"/>
        <v>Email</v>
      </c>
      <c r="C13" s="69">
        <v>7.5</v>
      </c>
      <c r="D13" t="s">
        <v>138</v>
      </c>
      <c r="O13"/>
    </row>
    <row r="14" spans="2:22" x14ac:dyDescent="0.25">
      <c r="B14" s="1" t="str">
        <f t="shared" si="3"/>
        <v>Online Video</v>
      </c>
      <c r="C14" s="66">
        <f>C12</f>
        <v>3.6888951841359772</v>
      </c>
      <c r="D14" t="s">
        <v>139</v>
      </c>
      <c r="O14"/>
    </row>
    <row r="15" spans="2:22" x14ac:dyDescent="0.25">
      <c r="B15" s="1" t="str">
        <f t="shared" si="3"/>
        <v>Search</v>
      </c>
      <c r="C15" s="69">
        <v>10.8</v>
      </c>
      <c r="D15" t="s">
        <v>138</v>
      </c>
      <c r="O15"/>
    </row>
    <row r="16" spans="2:22" x14ac:dyDescent="0.25">
      <c r="B16" s="19"/>
      <c r="C16" s="19"/>
    </row>
    <row r="18" spans="2:19" x14ac:dyDescent="0.25">
      <c r="B18" s="18" t="s">
        <v>42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32</v>
      </c>
      <c r="I18" s="1" t="s">
        <v>33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  <c r="O18" s="1" t="s">
        <v>39</v>
      </c>
      <c r="S18" s="4"/>
    </row>
    <row r="19" spans="2:19" x14ac:dyDescent="0.25">
      <c r="B19" s="1" t="str">
        <f>B11</f>
        <v>In-office</v>
      </c>
      <c r="C19" s="11">
        <f>C3*$C11*(1-Inputs!$C$5)</f>
        <v>5525637.4483299814</v>
      </c>
      <c r="D19" s="11">
        <f>D3*$C11*(1-Inputs!$C$5)</f>
        <v>2323675.0016799811</v>
      </c>
      <c r="E19" s="11">
        <f>E3*$C11*(1-Inputs!$C$5)</f>
        <v>2323675.0016799811</v>
      </c>
      <c r="F19" s="11">
        <f>F3*$C11*(1-Inputs!$C$5)</f>
        <v>3601184.4461244256</v>
      </c>
      <c r="G19" s="11">
        <f>G3*$C11*(1-Inputs!$C$5)</f>
        <v>3601184.4461244256</v>
      </c>
      <c r="H19" s="11">
        <f>H3*$C11*(1-Inputs!$C$5)</f>
        <v>3601184.4461244256</v>
      </c>
      <c r="I19" s="11">
        <f>I3*$C11*(1-Inputs!$C$5)</f>
        <v>3601184.4461244256</v>
      </c>
      <c r="J19" s="11">
        <f>J3*$C11*(1-Inputs!$C$5)</f>
        <v>3601184.4461244256</v>
      </c>
      <c r="K19" s="11">
        <f>K3*$C11*(1-Inputs!$C$5)</f>
        <v>3601184.4461244256</v>
      </c>
      <c r="L19" s="11">
        <f>L3*$C11*(1-Inputs!$C$5)</f>
        <v>3601184.4461244256</v>
      </c>
      <c r="M19" s="11">
        <f>M3*$C11*(1-Inputs!$C$5)</f>
        <v>3601184.4461244256</v>
      </c>
      <c r="N19" s="11">
        <f>N3*$C11*(1-Inputs!$C$5)</f>
        <v>3601184.4461244256</v>
      </c>
      <c r="O19" s="12">
        <f>SUM(C19:N19)</f>
        <v>42583647.466809779</v>
      </c>
      <c r="S19" s="4"/>
    </row>
    <row r="20" spans="2:19" x14ac:dyDescent="0.25">
      <c r="B20" s="1" t="str">
        <f>B12</f>
        <v>Display/Mobile</v>
      </c>
      <c r="C20" s="11">
        <f>C4*$C12*(1-Inputs!$C$5)</f>
        <v>618812.16713881015</v>
      </c>
      <c r="D20" s="11">
        <f>D4*$C12*(1-Inputs!$C$5)</f>
        <v>618812.16713881015</v>
      </c>
      <c r="E20" s="11">
        <f>E4*$C12*(1-Inputs!$C$5)</f>
        <v>618812.16713881015</v>
      </c>
      <c r="F20" s="11">
        <f>F4*$C12*(1-Inputs!$C$5)</f>
        <v>450045.21246458922</v>
      </c>
      <c r="G20" s="11">
        <f>G4*$C12*(1-Inputs!$C$5)</f>
        <v>450045.21246458922</v>
      </c>
      <c r="H20" s="11">
        <f>H4*$C12*(1-Inputs!$C$5)</f>
        <v>450045.21246458922</v>
      </c>
      <c r="I20" s="11">
        <f>I4*$C12*(1-Inputs!$C$5)</f>
        <v>450045.21246458922</v>
      </c>
      <c r="J20" s="11">
        <f>J4*$C12*(1-Inputs!$C$5)</f>
        <v>450045.21246458922</v>
      </c>
      <c r="K20" s="11">
        <f>K4*$C12*(1-Inputs!$C$5)</f>
        <v>675067.81869688386</v>
      </c>
      <c r="L20" s="11">
        <f>L4*$C12*(1-Inputs!$C$5)</f>
        <v>675067.81869688386</v>
      </c>
      <c r="M20" s="11">
        <f>M4*$C12*(1-Inputs!$C$5)</f>
        <v>843834.77337110473</v>
      </c>
      <c r="N20" s="11">
        <f>N4*$C12*(1-Inputs!$C$5)</f>
        <v>450045.21246458922</v>
      </c>
      <c r="O20" s="12">
        <f t="shared" ref="O20:O24" si="4">SUM(C20:N20)</f>
        <v>6750678.1869688379</v>
      </c>
      <c r="S20" s="4"/>
    </row>
    <row r="21" spans="2:19" x14ac:dyDescent="0.25">
      <c r="B21" s="1" t="str">
        <f>B13</f>
        <v>Email</v>
      </c>
      <c r="C21" s="11">
        <f>C5*$C13*(1-Inputs!$C$5)</f>
        <v>0</v>
      </c>
      <c r="D21" s="11">
        <f>D5*$C13*(1-Inputs!$C$5)</f>
        <v>0</v>
      </c>
      <c r="E21" s="11">
        <f>E5*$C13*(1-Inputs!$C$5)</f>
        <v>0</v>
      </c>
      <c r="F21" s="11">
        <f>F5*$C13*(1-Inputs!$C$5)</f>
        <v>0</v>
      </c>
      <c r="G21" s="11">
        <f>G5*$C13*(1-Inputs!$C$5)</f>
        <v>0</v>
      </c>
      <c r="H21" s="11">
        <f>H5*$C13*(1-Inputs!$C$5)</f>
        <v>0</v>
      </c>
      <c r="I21" s="11">
        <f>I5*$C13*(1-Inputs!$C$5)</f>
        <v>0</v>
      </c>
      <c r="J21" s="11">
        <f>J5*$C13*(1-Inputs!$C$5)</f>
        <v>0</v>
      </c>
      <c r="K21" s="11">
        <f>K5*$C13*(1-Inputs!$C$5)</f>
        <v>2287500</v>
      </c>
      <c r="L21" s="11">
        <f>L5*$C13*(1-Inputs!$C$5)</f>
        <v>2287500</v>
      </c>
      <c r="M21" s="11">
        <f>M5*$C13*(1-Inputs!$C$5)</f>
        <v>0</v>
      </c>
      <c r="N21" s="11">
        <f>N5*$C13*(1-Inputs!$C$5)</f>
        <v>0</v>
      </c>
      <c r="O21" s="12">
        <f t="shared" si="4"/>
        <v>4575000</v>
      </c>
      <c r="S21" s="4"/>
    </row>
    <row r="22" spans="2:19" x14ac:dyDescent="0.25">
      <c r="B22" s="1" t="str">
        <f>B14</f>
        <v>Online Video</v>
      </c>
      <c r="C22" s="11">
        <f>C6*$C14*(1-Inputs!$C$5)</f>
        <v>375037.67705382436</v>
      </c>
      <c r="D22" s="11">
        <f>D6*$C14*(1-Inputs!$C$5)</f>
        <v>375037.67705382436</v>
      </c>
      <c r="E22" s="11">
        <f>E6*$C14*(1-Inputs!$C$5)</f>
        <v>375037.67705382436</v>
      </c>
      <c r="F22" s="11">
        <f>F6*$C14*(1-Inputs!$C$5)</f>
        <v>375037.67705382436</v>
      </c>
      <c r="G22" s="11">
        <f>G6*$C14*(1-Inputs!$C$5)</f>
        <v>375037.67705382436</v>
      </c>
      <c r="H22" s="11">
        <f>H6*$C14*(1-Inputs!$C$5)</f>
        <v>375037.67705382436</v>
      </c>
      <c r="I22" s="11">
        <f>I6*$C14*(1-Inputs!$C$5)</f>
        <v>0</v>
      </c>
      <c r="J22" s="11">
        <f>J6*$C14*(1-Inputs!$C$5)</f>
        <v>0</v>
      </c>
      <c r="K22" s="11">
        <f>K6*$C14*(1-Inputs!$C$5)</f>
        <v>0</v>
      </c>
      <c r="L22" s="11">
        <f>L6*$C14*(1-Inputs!$C$5)</f>
        <v>0</v>
      </c>
      <c r="M22" s="11">
        <f>M6*$C14*(1-Inputs!$C$5)</f>
        <v>0</v>
      </c>
      <c r="N22" s="11">
        <f>N6*$C14*(1-Inputs!$C$5)</f>
        <v>0</v>
      </c>
      <c r="O22" s="12">
        <f t="shared" si="4"/>
        <v>2250226.0623229463</v>
      </c>
      <c r="S22" s="4"/>
    </row>
    <row r="23" spans="2:19" x14ac:dyDescent="0.25">
      <c r="B23" s="1" t="str">
        <f>B15</f>
        <v>Search</v>
      </c>
      <c r="C23" s="11">
        <f>C7*$C15*(1-Inputs!$C$5)</f>
        <v>5863320</v>
      </c>
      <c r="D23" s="11">
        <f>D7*$C15*(1-Inputs!$C$5)</f>
        <v>5270400</v>
      </c>
      <c r="E23" s="11">
        <f>E7*$C15*(1-Inputs!$C$5)</f>
        <v>5270400</v>
      </c>
      <c r="F23" s="11">
        <f>F7*$C15*(1-Inputs!$C$5)</f>
        <v>4117500</v>
      </c>
      <c r="G23" s="11">
        <f>G7*$C15*(1-Inputs!$C$5)</f>
        <v>4084560</v>
      </c>
      <c r="H23" s="11">
        <f>H7*$C15*(1-Inputs!$C$5)</f>
        <v>4084560</v>
      </c>
      <c r="I23" s="11">
        <f>I7*$C15*(1-Inputs!$C$5)</f>
        <v>4084560</v>
      </c>
      <c r="J23" s="11">
        <f>J7*$C15*(1-Inputs!$C$5)</f>
        <v>4117500</v>
      </c>
      <c r="K23" s="11">
        <f>K7*$C15*(1-Inputs!$C$5)</f>
        <v>5962140</v>
      </c>
      <c r="L23" s="11">
        <f>L7*$C15*(1-Inputs!$C$5)</f>
        <v>5962140</v>
      </c>
      <c r="M23" s="11">
        <f>M7*$C15*(1-Inputs!$C$5)</f>
        <v>6390360</v>
      </c>
      <c r="N23" s="11">
        <f>N7*$C15*(1-Inputs!$C$5)</f>
        <v>4084560</v>
      </c>
      <c r="O23" s="12">
        <f t="shared" si="4"/>
        <v>59292000</v>
      </c>
      <c r="S23" s="4"/>
    </row>
    <row r="24" spans="2:19" x14ac:dyDescent="0.25">
      <c r="B24" s="19" t="s">
        <v>39</v>
      </c>
      <c r="C24" s="12">
        <f>SUM(C19:C23)</f>
        <v>12382807.292522617</v>
      </c>
      <c r="D24" s="12">
        <f t="shared" ref="D24" si="5">SUM(D19:D23)</f>
        <v>8587924.8458726164</v>
      </c>
      <c r="E24" s="12">
        <f t="shared" ref="E24" si="6">SUM(E19:E23)</f>
        <v>8587924.8458726164</v>
      </c>
      <c r="F24" s="12">
        <f t="shared" ref="F24" si="7">SUM(F19:F23)</f>
        <v>8543767.3356428389</v>
      </c>
      <c r="G24" s="12">
        <f t="shared" ref="G24" si="8">SUM(G19:G23)</f>
        <v>8510827.3356428389</v>
      </c>
      <c r="H24" s="12">
        <f t="shared" ref="H24" si="9">SUM(H19:H23)</f>
        <v>8510827.3356428389</v>
      </c>
      <c r="I24" s="12">
        <f t="shared" ref="I24" si="10">SUM(I19:I23)</f>
        <v>8135789.6585890148</v>
      </c>
      <c r="J24" s="12">
        <f t="shared" ref="J24" si="11">SUM(J19:J23)</f>
        <v>8168729.6585890148</v>
      </c>
      <c r="K24" s="12">
        <f t="shared" ref="K24" si="12">SUM(K19:K23)</f>
        <v>12525892.26482131</v>
      </c>
      <c r="L24" s="12">
        <f t="shared" ref="L24" si="13">SUM(L19:L23)</f>
        <v>12525892.26482131</v>
      </c>
      <c r="M24" s="12">
        <f t="shared" ref="M24" si="14">SUM(M19:M23)</f>
        <v>10835379.219495531</v>
      </c>
      <c r="N24" s="12">
        <f t="shared" ref="N24" si="15">SUM(N19:N23)</f>
        <v>8135789.6585890148</v>
      </c>
      <c r="O24" s="12">
        <f t="shared" si="4"/>
        <v>115451551.71610156</v>
      </c>
      <c r="S24" s="4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S25" s="4"/>
    </row>
    <row r="26" spans="2:19" x14ac:dyDescent="0.25">
      <c r="B26" s="18" t="s">
        <v>43</v>
      </c>
      <c r="C26" s="1" t="s">
        <v>27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32</v>
      </c>
      <c r="I26" s="1" t="s">
        <v>33</v>
      </c>
      <c r="J26" s="1" t="s">
        <v>34</v>
      </c>
      <c r="K26" s="1" t="s">
        <v>35</v>
      </c>
      <c r="L26" s="1" t="s">
        <v>36</v>
      </c>
      <c r="M26" s="1" t="s">
        <v>37</v>
      </c>
      <c r="N26" s="1" t="s">
        <v>38</v>
      </c>
      <c r="O26" s="1" t="s">
        <v>39</v>
      </c>
      <c r="S26" s="4"/>
    </row>
    <row r="27" spans="2:19" x14ac:dyDescent="0.25">
      <c r="B27" s="1" t="str">
        <f>B19</f>
        <v>In-office</v>
      </c>
      <c r="C27" s="17">
        <f>C19/Inputs!$C$6</f>
        <v>4117.836939994133</v>
      </c>
      <c r="D27" s="17">
        <f>D19/Inputs!$C$6</f>
        <v>1731.6580843266611</v>
      </c>
      <c r="E27" s="17">
        <f>E19/Inputs!$C$6</f>
        <v>1731.6580843266611</v>
      </c>
      <c r="F27" s="17">
        <f>F19/Inputs!$C$6</f>
        <v>2683.688620299416</v>
      </c>
      <c r="G27" s="17">
        <f>G19/Inputs!$C$6</f>
        <v>2683.688620299416</v>
      </c>
      <c r="H27" s="17">
        <f>H19/Inputs!$C$6</f>
        <v>2683.688620299416</v>
      </c>
      <c r="I27" s="17">
        <f>I19/Inputs!$C$6</f>
        <v>2683.688620299416</v>
      </c>
      <c r="J27" s="17">
        <f>J19/Inputs!$C$6</f>
        <v>2683.688620299416</v>
      </c>
      <c r="K27" s="17">
        <f>K19/Inputs!$C$6</f>
        <v>2683.688620299416</v>
      </c>
      <c r="L27" s="17">
        <f>L19/Inputs!$C$6</f>
        <v>2683.688620299416</v>
      </c>
      <c r="M27" s="17">
        <f>M19/Inputs!$C$6</f>
        <v>2683.688620299416</v>
      </c>
      <c r="N27" s="17">
        <f>N19/Inputs!$C$6</f>
        <v>2683.688620299416</v>
      </c>
      <c r="O27" s="15">
        <f>SUM(C27:N27)</f>
        <v>31734.350691342206</v>
      </c>
      <c r="S27" s="4"/>
    </row>
    <row r="28" spans="2:19" x14ac:dyDescent="0.25">
      <c r="B28" s="1" t="str">
        <f t="shared" ref="B28:B31" si="16">B20</f>
        <v>Display/Mobile</v>
      </c>
      <c r="C28" s="17">
        <f>C20/Inputs!$C$6</f>
        <v>461.15359984976055</v>
      </c>
      <c r="D28" s="17">
        <f>D20/Inputs!$C$6</f>
        <v>461.15359984976055</v>
      </c>
      <c r="E28" s="17">
        <f>E20/Inputs!$C$6</f>
        <v>461.15359984976055</v>
      </c>
      <c r="F28" s="17">
        <f>F20/Inputs!$C$6</f>
        <v>335.38443625437134</v>
      </c>
      <c r="G28" s="17">
        <f>G20/Inputs!$C$6</f>
        <v>335.38443625437134</v>
      </c>
      <c r="H28" s="17">
        <f>H20/Inputs!$C$6</f>
        <v>335.38443625437134</v>
      </c>
      <c r="I28" s="17">
        <f>I20/Inputs!$C$6</f>
        <v>335.38443625437134</v>
      </c>
      <c r="J28" s="17">
        <f>J20/Inputs!$C$6</f>
        <v>335.38443625437134</v>
      </c>
      <c r="K28" s="17">
        <f>K20/Inputs!$C$6</f>
        <v>503.07665438155698</v>
      </c>
      <c r="L28" s="17">
        <f>L20/Inputs!$C$6</f>
        <v>503.07665438155698</v>
      </c>
      <c r="M28" s="17">
        <f>M20/Inputs!$C$6</f>
        <v>628.84581797694614</v>
      </c>
      <c r="N28" s="17">
        <f>N20/Inputs!$C$6</f>
        <v>335.38443625437134</v>
      </c>
      <c r="O28" s="15">
        <f t="shared" ref="O28:O32" si="17">SUM(C28:N28)</f>
        <v>5030.76654381557</v>
      </c>
    </row>
    <row r="29" spans="2:19" x14ac:dyDescent="0.25">
      <c r="B29" s="1" t="str">
        <f t="shared" si="16"/>
        <v>Email</v>
      </c>
      <c r="C29" s="17">
        <f>C21/Inputs!$C$6</f>
        <v>0</v>
      </c>
      <c r="D29" s="17">
        <f>D21/Inputs!$C$6</f>
        <v>0</v>
      </c>
      <c r="E29" s="17">
        <f>E21/Inputs!$C$6</f>
        <v>0</v>
      </c>
      <c r="F29" s="17">
        <f>F21/Inputs!$C$6</f>
        <v>0</v>
      </c>
      <c r="G29" s="17">
        <f>G21/Inputs!$C$6</f>
        <v>0</v>
      </c>
      <c r="H29" s="17">
        <f>H21/Inputs!$C$6</f>
        <v>0</v>
      </c>
      <c r="I29" s="17">
        <f>I21/Inputs!$C$6</f>
        <v>0</v>
      </c>
      <c r="J29" s="17">
        <f>J21/Inputs!$C$6</f>
        <v>0</v>
      </c>
      <c r="K29" s="17">
        <f>K21/Inputs!$C$6</f>
        <v>1704.6996094692133</v>
      </c>
      <c r="L29" s="17">
        <f>L21/Inputs!$C$6</f>
        <v>1704.6996094692133</v>
      </c>
      <c r="M29" s="17">
        <f>M21/Inputs!$C$6</f>
        <v>0</v>
      </c>
      <c r="N29" s="17">
        <f>N21/Inputs!$C$6</f>
        <v>0</v>
      </c>
      <c r="O29" s="15">
        <f t="shared" si="17"/>
        <v>3409.3992189384267</v>
      </c>
    </row>
    <row r="30" spans="2:19" x14ac:dyDescent="0.25">
      <c r="B30" s="1" t="str">
        <f t="shared" si="16"/>
        <v>Online Video</v>
      </c>
      <c r="C30" s="17">
        <f>C22/Inputs!$C$6</f>
        <v>279.4870302119761</v>
      </c>
      <c r="D30" s="17">
        <f>D22/Inputs!$C$6</f>
        <v>279.4870302119761</v>
      </c>
      <c r="E30" s="17">
        <f>E22/Inputs!$C$6</f>
        <v>279.4870302119761</v>
      </c>
      <c r="F30" s="17">
        <f>F22/Inputs!$C$6</f>
        <v>279.4870302119761</v>
      </c>
      <c r="G30" s="17">
        <f>G22/Inputs!$C$6</f>
        <v>279.4870302119761</v>
      </c>
      <c r="H30" s="17">
        <f>H22/Inputs!$C$6</f>
        <v>279.4870302119761</v>
      </c>
      <c r="I30" s="17">
        <f>I22/Inputs!$C$6</f>
        <v>0</v>
      </c>
      <c r="J30" s="17">
        <f>J22/Inputs!$C$6</f>
        <v>0</v>
      </c>
      <c r="K30" s="17">
        <f>K22/Inputs!$C$6</f>
        <v>0</v>
      </c>
      <c r="L30" s="17">
        <f>L22/Inputs!$C$6</f>
        <v>0</v>
      </c>
      <c r="M30" s="17">
        <f>M22/Inputs!$C$6</f>
        <v>0</v>
      </c>
      <c r="N30" s="17">
        <f>N22/Inputs!$C$6</f>
        <v>0</v>
      </c>
      <c r="O30" s="15">
        <f t="shared" si="17"/>
        <v>1676.9221812718567</v>
      </c>
    </row>
    <row r="31" spans="2:19" x14ac:dyDescent="0.25">
      <c r="B31" s="1" t="str">
        <f t="shared" si="16"/>
        <v>Search</v>
      </c>
      <c r="C31" s="17">
        <f>C23/Inputs!$C$6</f>
        <v>4369.4860389914875</v>
      </c>
      <c r="D31" s="17">
        <f>D23/Inputs!$C$6</f>
        <v>3927.6279002170677</v>
      </c>
      <c r="E31" s="17">
        <f>E23/Inputs!$C$6</f>
        <v>3927.6279002170677</v>
      </c>
      <c r="F31" s="17">
        <f>F23/Inputs!$C$6</f>
        <v>3068.4592970445838</v>
      </c>
      <c r="G31" s="17">
        <f>G23/Inputs!$C$6</f>
        <v>3043.9116226682272</v>
      </c>
      <c r="H31" s="17">
        <f>H23/Inputs!$C$6</f>
        <v>3043.9116226682272</v>
      </c>
      <c r="I31" s="17">
        <f>I23/Inputs!$C$6</f>
        <v>3043.9116226682272</v>
      </c>
      <c r="J31" s="17">
        <f>J23/Inputs!$C$6</f>
        <v>3068.4592970445838</v>
      </c>
      <c r="K31" s="17">
        <f>K23/Inputs!$C$6</f>
        <v>4443.129062120558</v>
      </c>
      <c r="L31" s="17">
        <f>L23/Inputs!$C$6</f>
        <v>4443.129062120558</v>
      </c>
      <c r="M31" s="17">
        <f>M23/Inputs!$C$6</f>
        <v>4762.2488290131942</v>
      </c>
      <c r="N31" s="17">
        <f>N23/Inputs!$C$6</f>
        <v>3043.9116226682272</v>
      </c>
      <c r="O31" s="15">
        <f t="shared" si="17"/>
        <v>44185.813877442008</v>
      </c>
    </row>
    <row r="32" spans="2:19" x14ac:dyDescent="0.25">
      <c r="B32" s="19" t="s">
        <v>39</v>
      </c>
      <c r="C32" s="15">
        <f>SUM(C27:C31)</f>
        <v>9227.9636090473577</v>
      </c>
      <c r="D32" s="15">
        <f t="shared" ref="D32" si="18">SUM(D27:D31)</f>
        <v>6399.9266146054651</v>
      </c>
      <c r="E32" s="15">
        <f t="shared" ref="E32" si="19">SUM(E27:E31)</f>
        <v>6399.9266146054651</v>
      </c>
      <c r="F32" s="15">
        <f t="shared" ref="F32" si="20">SUM(F27:F31)</f>
        <v>6367.0193838103478</v>
      </c>
      <c r="G32" s="15">
        <f t="shared" ref="G32" si="21">SUM(G27:G31)</f>
        <v>6342.4717094339903</v>
      </c>
      <c r="H32" s="15">
        <f t="shared" ref="H32" si="22">SUM(H27:H31)</f>
        <v>6342.4717094339903</v>
      </c>
      <c r="I32" s="15">
        <f t="shared" ref="I32" si="23">SUM(I27:I31)</f>
        <v>6062.9846792220142</v>
      </c>
      <c r="J32" s="15">
        <f t="shared" ref="J32" si="24">SUM(J27:J31)</f>
        <v>6087.5323535983716</v>
      </c>
      <c r="K32" s="15">
        <f t="shared" ref="K32" si="25">SUM(K27:K31)</f>
        <v>9334.5939462707447</v>
      </c>
      <c r="L32" s="15">
        <f t="shared" ref="L32" si="26">SUM(L27:L31)</f>
        <v>9334.5939462707447</v>
      </c>
      <c r="M32" s="15">
        <f t="shared" ref="M32" si="27">SUM(M27:M31)</f>
        <v>8074.7832672895565</v>
      </c>
      <c r="N32" s="15">
        <f t="shared" ref="N32" si="28">SUM(N27:N31)</f>
        <v>6062.9846792220142</v>
      </c>
      <c r="O32" s="15">
        <f t="shared" si="17"/>
        <v>86037.252512810068</v>
      </c>
    </row>
    <row r="34" spans="2:21" x14ac:dyDescent="0.25">
      <c r="B34" s="1" t="s">
        <v>45</v>
      </c>
      <c r="C34" s="1" t="s">
        <v>27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32</v>
      </c>
      <c r="I34" s="1" t="s">
        <v>33</v>
      </c>
      <c r="J34" s="1" t="s">
        <v>34</v>
      </c>
      <c r="K34" s="1" t="s">
        <v>35</v>
      </c>
      <c r="L34" s="1" t="s">
        <v>36</v>
      </c>
      <c r="M34" s="1" t="s">
        <v>37</v>
      </c>
      <c r="N34" s="1" t="s">
        <v>38</v>
      </c>
      <c r="O34" s="19" t="s">
        <v>39</v>
      </c>
      <c r="Q34" s="24" t="s">
        <v>7</v>
      </c>
      <c r="R34" s="8">
        <v>2014</v>
      </c>
      <c r="S34" s="25">
        <v>2015</v>
      </c>
      <c r="T34" s="61">
        <v>2016</v>
      </c>
      <c r="U34" s="62">
        <v>2017</v>
      </c>
    </row>
    <row r="35" spans="2:21" x14ac:dyDescent="0.25">
      <c r="B35" s="1" t="s">
        <v>46</v>
      </c>
      <c r="C35" s="22">
        <f>C$32*Inputs!$D10</f>
        <v>2702.807964547284</v>
      </c>
      <c r="D35" s="22">
        <f>D$32*Inputs!$D10</f>
        <v>1874.4951063216763</v>
      </c>
      <c r="E35" s="22">
        <f>E$32*Inputs!$D10</f>
        <v>1874.4951063216763</v>
      </c>
      <c r="F35" s="22">
        <f>F$32*Inputs!$D10</f>
        <v>1864.8568015718572</v>
      </c>
      <c r="G35" s="22">
        <f>G$32*Inputs!$D10</f>
        <v>1857.6669542093814</v>
      </c>
      <c r="H35" s="22">
        <f>H$32*Inputs!$D10</f>
        <v>1857.6669542093814</v>
      </c>
      <c r="I35" s="22">
        <f>I$32*Inputs!$D10</f>
        <v>1775.807098313983</v>
      </c>
      <c r="J35" s="22">
        <f>J$32*Inputs!$D10</f>
        <v>1782.9969456764588</v>
      </c>
      <c r="K35" s="22">
        <f>K$32*Inputs!$D10</f>
        <v>2734.0392672398057</v>
      </c>
      <c r="L35" s="22">
        <f>L$32*Inputs!$D10</f>
        <v>2734.0392672398057</v>
      </c>
      <c r="M35" s="22">
        <f>M$32*Inputs!$D10</f>
        <v>2365.0492623774444</v>
      </c>
      <c r="N35" s="22">
        <f>N$32*Inputs!$D10</f>
        <v>1775.807098313983</v>
      </c>
      <c r="O35" s="16">
        <f>SUM(C35:N35)</f>
        <v>25199.727826342736</v>
      </c>
      <c r="Q35" s="26" t="s">
        <v>27</v>
      </c>
      <c r="R35" s="6">
        <f>C35</f>
        <v>2702.807964547284</v>
      </c>
      <c r="S35" s="6">
        <f t="shared" ref="S35:S46" si="29">SUM(C47,D46,E45,F44,G43,H42,I41,J40,K39,L38,M37,N36)</f>
        <v>5130.4630679600432</v>
      </c>
      <c r="T35" s="6">
        <f t="shared" ref="T35:T46" si="30">SUM(C59,D58,E57,F56,G55,H54,I53,J52,K51,L50,M49,N48)</f>
        <v>80.163485436875774</v>
      </c>
      <c r="U35" s="6">
        <f>SUM(C71,D70,E69,F68,G67,H66,I65,J64,K63,L62,M61,N60)</f>
        <v>1.2525544599511855</v>
      </c>
    </row>
    <row r="36" spans="2:21" x14ac:dyDescent="0.25">
      <c r="B36" s="1" t="s">
        <v>47</v>
      </c>
      <c r="C36" s="22">
        <f>C$32*Inputs!$D11</f>
        <v>1911.173839976394</v>
      </c>
      <c r="D36" s="22">
        <f>D$32*Inputs!$D11</f>
        <v>1325.4682009810556</v>
      </c>
      <c r="E36" s="22">
        <f>E$32*Inputs!$D11</f>
        <v>1325.4682009810556</v>
      </c>
      <c r="F36" s="22">
        <f>F$32*Inputs!$D11</f>
        <v>1318.652890333316</v>
      </c>
      <c r="G36" s="22">
        <f>G$32*Inputs!$D11</f>
        <v>1313.5689005076131</v>
      </c>
      <c r="H36" s="22">
        <f>H$32*Inputs!$D11</f>
        <v>1313.5689005076131</v>
      </c>
      <c r="I36" s="22">
        <f>I$32*Inputs!$D11</f>
        <v>1255.6852412970234</v>
      </c>
      <c r="J36" s="22">
        <f>J$32*Inputs!$D11</f>
        <v>1260.7692311227263</v>
      </c>
      <c r="K36" s="22">
        <f>K$32*Inputs!$D11</f>
        <v>1933.2577058955658</v>
      </c>
      <c r="L36" s="22">
        <f>L$32*Inputs!$D11</f>
        <v>1933.2577058955658</v>
      </c>
      <c r="M36" s="22">
        <f>M$32*Inputs!$D11</f>
        <v>1672.342371267333</v>
      </c>
      <c r="N36" s="23">
        <f>N$32*Inputs!$D11</f>
        <v>1255.6852412970234</v>
      </c>
      <c r="O36" s="16">
        <f t="shared" ref="O36:O73" si="31">SUM(C36:N36)</f>
        <v>17818.89843006228</v>
      </c>
      <c r="Q36" s="26" t="s">
        <v>28</v>
      </c>
      <c r="R36" s="6">
        <f>SUM(C36,D35)</f>
        <v>3785.6689462980703</v>
      </c>
      <c r="S36" s="6">
        <f t="shared" si="29"/>
        <v>3627.7852259816855</v>
      </c>
      <c r="T36" s="6">
        <f t="shared" si="30"/>
        <v>56.684144155963914</v>
      </c>
      <c r="U36" s="6">
        <f>SUM(C72,D71,E70,F69,G68,H67,I66,J65,K64,L63,M62,N61)</f>
        <v>0.88568975243693737</v>
      </c>
    </row>
    <row r="37" spans="2:21" x14ac:dyDescent="0.25">
      <c r="B37" s="1" t="s">
        <v>48</v>
      </c>
      <c r="C37" s="22">
        <f>C$32*Inputs!$D12</f>
        <v>1351.4039822736424</v>
      </c>
      <c r="D37" s="22">
        <f>D$32*Inputs!$D12</f>
        <v>937.24755316083849</v>
      </c>
      <c r="E37" s="22">
        <f>E$32*Inputs!$D12</f>
        <v>937.24755316083849</v>
      </c>
      <c r="F37" s="22">
        <f>F$32*Inputs!$D12</f>
        <v>932.42840078592894</v>
      </c>
      <c r="G37" s="22">
        <f>G$32*Inputs!$D12</f>
        <v>928.83347710469104</v>
      </c>
      <c r="H37" s="22">
        <f>H$32*Inputs!$D12</f>
        <v>928.83347710469104</v>
      </c>
      <c r="I37" s="22">
        <f>I$32*Inputs!$D12</f>
        <v>887.90354915699186</v>
      </c>
      <c r="J37" s="22">
        <f>J$32*Inputs!$D12</f>
        <v>891.49847283822976</v>
      </c>
      <c r="K37" s="22">
        <f>K$32*Inputs!$D12</f>
        <v>1367.0196336199033</v>
      </c>
      <c r="L37" s="22">
        <f>L$32*Inputs!$D12</f>
        <v>1367.0196336199033</v>
      </c>
      <c r="M37" s="23">
        <f>M$32*Inputs!$D12</f>
        <v>1182.5246311887227</v>
      </c>
      <c r="N37" s="23">
        <f>N$32*Inputs!$D12</f>
        <v>887.90354915699186</v>
      </c>
      <c r="O37" s="16">
        <f t="shared" si="31"/>
        <v>12599.863913171373</v>
      </c>
      <c r="Q37" s="26" t="s">
        <v>29</v>
      </c>
      <c r="R37" s="6">
        <f>SUM(C37,D36,E35)</f>
        <v>4551.3672895763739</v>
      </c>
      <c r="S37" s="6">
        <f t="shared" si="29"/>
        <v>2565.2315339800216</v>
      </c>
      <c r="T37" s="6">
        <f t="shared" si="30"/>
        <v>40.081742718437894</v>
      </c>
      <c r="U37" s="6">
        <f>SUM(C73,D72,E71,F70,G69,H68,I67,J66,K65,L64,M63,N62)</f>
        <v>0.62627722997559299</v>
      </c>
    </row>
    <row r="38" spans="2:21" x14ac:dyDescent="0.25">
      <c r="B38" s="1" t="s">
        <v>49</v>
      </c>
      <c r="C38" s="22">
        <f>C$32*Inputs!$D13</f>
        <v>955.586919988197</v>
      </c>
      <c r="D38" s="22">
        <f>D$32*Inputs!$D13</f>
        <v>662.73410049052779</v>
      </c>
      <c r="E38" s="22">
        <f>E$32*Inputs!$D13</f>
        <v>662.73410049052779</v>
      </c>
      <c r="F38" s="22">
        <f>F$32*Inputs!$D13</f>
        <v>659.326445166658</v>
      </c>
      <c r="G38" s="22">
        <f>G$32*Inputs!$D13</f>
        <v>656.78445025380654</v>
      </c>
      <c r="H38" s="22">
        <f>H$32*Inputs!$D13</f>
        <v>656.78445025380654</v>
      </c>
      <c r="I38" s="22">
        <f>I$32*Inputs!$D13</f>
        <v>627.84262064851168</v>
      </c>
      <c r="J38" s="22">
        <f>J$32*Inputs!$D13</f>
        <v>630.38461556136315</v>
      </c>
      <c r="K38" s="22">
        <f>K$32*Inputs!$D13</f>
        <v>966.62885294778289</v>
      </c>
      <c r="L38" s="23">
        <f>L$32*Inputs!$D13</f>
        <v>966.62885294778289</v>
      </c>
      <c r="M38" s="23">
        <f>M$32*Inputs!$D13</f>
        <v>836.17118563366648</v>
      </c>
      <c r="N38" s="23">
        <f>N$32*Inputs!$D13</f>
        <v>627.84262064851168</v>
      </c>
      <c r="O38" s="16">
        <f t="shared" si="31"/>
        <v>8909.4492150311398</v>
      </c>
      <c r="Q38" s="26" t="s">
        <v>30</v>
      </c>
      <c r="R38" s="6">
        <f>SUM(C38,D37,E36,F35)</f>
        <v>5083.1594757019484</v>
      </c>
      <c r="S38" s="6">
        <f t="shared" si="29"/>
        <v>1813.8926129908432</v>
      </c>
      <c r="T38" s="6">
        <f t="shared" si="30"/>
        <v>28.34207207798196</v>
      </c>
      <c r="U38" s="6">
        <f>SUM(D73,E72,F71,G70,H69,I68,J67,K66,L65,M64,N63)</f>
        <v>0.43919960140772279</v>
      </c>
    </row>
    <row r="39" spans="2:21" x14ac:dyDescent="0.25">
      <c r="B39" s="1" t="s">
        <v>50</v>
      </c>
      <c r="C39" s="22">
        <f>C$32*Inputs!$D14</f>
        <v>675.70199113682122</v>
      </c>
      <c r="D39" s="22">
        <f>D$32*Inputs!$D14</f>
        <v>468.62377658041925</v>
      </c>
      <c r="E39" s="22">
        <f>E$32*Inputs!$D14</f>
        <v>468.62377658041925</v>
      </c>
      <c r="F39" s="22">
        <f>F$32*Inputs!$D14</f>
        <v>466.21420039296447</v>
      </c>
      <c r="G39" s="22">
        <f>G$32*Inputs!$D14</f>
        <v>464.41673855234552</v>
      </c>
      <c r="H39" s="22">
        <f>H$32*Inputs!$D14</f>
        <v>464.41673855234552</v>
      </c>
      <c r="I39" s="22">
        <f>I$32*Inputs!$D14</f>
        <v>443.95177457849593</v>
      </c>
      <c r="J39" s="22">
        <f>J$32*Inputs!$D14</f>
        <v>445.74923641911488</v>
      </c>
      <c r="K39" s="23">
        <f>K$32*Inputs!$D14</f>
        <v>683.50981680995164</v>
      </c>
      <c r="L39" s="23">
        <f>L$32*Inputs!$D14</f>
        <v>683.50981680995164</v>
      </c>
      <c r="M39" s="23">
        <f>M$32*Inputs!$D14</f>
        <v>591.26231559436133</v>
      </c>
      <c r="N39" s="23">
        <f>N$32*Inputs!$D14</f>
        <v>443.95177457849593</v>
      </c>
      <c r="O39" s="16">
        <f t="shared" si="31"/>
        <v>6299.9319565856867</v>
      </c>
      <c r="Q39" s="26" t="s">
        <v>31</v>
      </c>
      <c r="R39" s="6">
        <f>SUM(C39,D38,E37,F36,G35)</f>
        <v>5452.0034893308848</v>
      </c>
      <c r="S39" s="6">
        <f t="shared" si="29"/>
        <v>1282.6157669900113</v>
      </c>
      <c r="T39" s="6">
        <f t="shared" si="30"/>
        <v>20.040871359218951</v>
      </c>
      <c r="U39" s="6">
        <f>SUM(E73,F72,G71,H70,I69,J68,K67,L66,M65,N64)</f>
        <v>0.30803288648885185</v>
      </c>
    </row>
    <row r="40" spans="2:21" x14ac:dyDescent="0.25">
      <c r="B40" s="1" t="s">
        <v>51</v>
      </c>
      <c r="C40" s="22">
        <f>C$32*Inputs!$D15</f>
        <v>477.79345999409873</v>
      </c>
      <c r="D40" s="22">
        <f>D$32*Inputs!$D15</f>
        <v>331.36705024526407</v>
      </c>
      <c r="E40" s="22">
        <f>E$32*Inputs!$D15</f>
        <v>331.36705024526407</v>
      </c>
      <c r="F40" s="22">
        <f>F$32*Inputs!$D15</f>
        <v>329.66322258332917</v>
      </c>
      <c r="G40" s="22">
        <f>G$32*Inputs!$D15</f>
        <v>328.39222512690344</v>
      </c>
      <c r="H40" s="22">
        <f>H$32*Inputs!$D15</f>
        <v>328.39222512690344</v>
      </c>
      <c r="I40" s="22">
        <f>I$32*Inputs!$D15</f>
        <v>313.92131032425601</v>
      </c>
      <c r="J40" s="23">
        <f>J$32*Inputs!$D15</f>
        <v>315.19230778068174</v>
      </c>
      <c r="K40" s="23">
        <f>K$32*Inputs!$D15</f>
        <v>483.31442647389167</v>
      </c>
      <c r="L40" s="23">
        <f>L$32*Inputs!$D15</f>
        <v>483.31442647389167</v>
      </c>
      <c r="M40" s="23">
        <f>M$32*Inputs!$D15</f>
        <v>418.08559281683347</v>
      </c>
      <c r="N40" s="23">
        <f>N$32*Inputs!$D15</f>
        <v>313.92131032425601</v>
      </c>
      <c r="O40" s="16">
        <f t="shared" si="31"/>
        <v>4454.7246075155745</v>
      </c>
      <c r="Q40" s="26" t="s">
        <v>32</v>
      </c>
      <c r="R40" s="6">
        <f>SUM(C40,D39,E38,F37,G36,H35)</f>
        <v>5712.8155925679694</v>
      </c>
      <c r="S40" s="6">
        <f t="shared" si="29"/>
        <v>906.94630649542182</v>
      </c>
      <c r="T40" s="6">
        <f t="shared" si="30"/>
        <v>14.171036038990986</v>
      </c>
      <c r="U40" s="6">
        <f>SUM(F73,G72,H71,I70,J69,K68,L67,M66,N65)</f>
        <v>0.21528401290375559</v>
      </c>
    </row>
    <row r="41" spans="2:21" x14ac:dyDescent="0.25">
      <c r="B41" s="1" t="s">
        <v>52</v>
      </c>
      <c r="C41" s="22">
        <f>C$32*Inputs!$D16</f>
        <v>337.85099556841072</v>
      </c>
      <c r="D41" s="22">
        <f>D$32*Inputs!$D16</f>
        <v>234.31188829020971</v>
      </c>
      <c r="E41" s="22">
        <f>E$32*Inputs!$D16</f>
        <v>234.31188829020971</v>
      </c>
      <c r="F41" s="22">
        <f>F$32*Inputs!$D16</f>
        <v>233.10710019648232</v>
      </c>
      <c r="G41" s="22">
        <f>G$32*Inputs!$D16</f>
        <v>232.20836927617285</v>
      </c>
      <c r="H41" s="22">
        <f>H$32*Inputs!$D16</f>
        <v>232.20836927617285</v>
      </c>
      <c r="I41" s="23">
        <f>I$32*Inputs!$D16</f>
        <v>221.97588728924805</v>
      </c>
      <c r="J41" s="23">
        <f>J$32*Inputs!$D16</f>
        <v>222.87461820955753</v>
      </c>
      <c r="K41" s="23">
        <f>K$32*Inputs!$D16</f>
        <v>341.75490840497594</v>
      </c>
      <c r="L41" s="23">
        <f>L$32*Inputs!$D16</f>
        <v>341.75490840497594</v>
      </c>
      <c r="M41" s="23">
        <f>M$32*Inputs!$D16</f>
        <v>295.63115779718078</v>
      </c>
      <c r="N41" s="23">
        <f>N$32*Inputs!$D16</f>
        <v>221.97588728924805</v>
      </c>
      <c r="O41" s="16">
        <f t="shared" si="31"/>
        <v>3149.9659782928447</v>
      </c>
      <c r="Q41" s="26" t="s">
        <v>33</v>
      </c>
      <c r="R41" s="6">
        <f>SUM(I35,H36,G37,F38,E39,D40,C41)</f>
        <v>5815.377743487039</v>
      </c>
      <c r="S41" s="6">
        <f t="shared" si="29"/>
        <v>641.30788349500574</v>
      </c>
      <c r="T41" s="6">
        <f t="shared" si="30"/>
        <v>10.020435679609477</v>
      </c>
      <c r="U41" s="6">
        <f>SUM(G73,H72,I71,J70,K69,L68,M67,N66)</f>
        <v>0.14971365461776626</v>
      </c>
    </row>
    <row r="42" spans="2:21" x14ac:dyDescent="0.25">
      <c r="B42" s="1" t="s">
        <v>53</v>
      </c>
      <c r="C42" s="22">
        <f>C$32*Inputs!$D17</f>
        <v>238.89672999704936</v>
      </c>
      <c r="D42" s="22">
        <f>D$32*Inputs!$D17</f>
        <v>165.68352512263203</v>
      </c>
      <c r="E42" s="22">
        <f>E$32*Inputs!$D17</f>
        <v>165.68352512263203</v>
      </c>
      <c r="F42" s="22">
        <f>F$32*Inputs!$D17</f>
        <v>164.83161129166459</v>
      </c>
      <c r="G42" s="22">
        <f>G$32*Inputs!$D17</f>
        <v>164.19611256345172</v>
      </c>
      <c r="H42" s="23">
        <f>H$32*Inputs!$D17</f>
        <v>164.19611256345172</v>
      </c>
      <c r="I42" s="23">
        <f>I$32*Inputs!$D17</f>
        <v>156.96065516212801</v>
      </c>
      <c r="J42" s="23">
        <f>J$32*Inputs!$D17</f>
        <v>157.59615389034087</v>
      </c>
      <c r="K42" s="23">
        <f>K$32*Inputs!$D17</f>
        <v>241.65721323694584</v>
      </c>
      <c r="L42" s="23">
        <f>L$32*Inputs!$D17</f>
        <v>241.65721323694584</v>
      </c>
      <c r="M42" s="23">
        <f>M$32*Inputs!$D17</f>
        <v>209.04279640841673</v>
      </c>
      <c r="N42" s="23">
        <f>N$32*Inputs!$D17</f>
        <v>156.96065516212801</v>
      </c>
      <c r="O42" s="16">
        <f t="shared" si="31"/>
        <v>2227.3623037577872</v>
      </c>
      <c r="Q42" s="26" t="s">
        <v>34</v>
      </c>
      <c r="R42" s="6">
        <f>SUM(I36,H37,G38,F39,E40,D41,C42,J35)</f>
        <v>5895.0899832574669</v>
      </c>
      <c r="S42" s="6">
        <f t="shared" si="29"/>
        <v>453.47315324771102</v>
      </c>
      <c r="T42" s="6">
        <f t="shared" si="30"/>
        <v>7.0855180194954945</v>
      </c>
      <c r="U42" s="6">
        <f>SUM(H73,I72,J71,K70,L69,M68,N67)</f>
        <v>0.10335810656995501</v>
      </c>
    </row>
    <row r="43" spans="2:21" x14ac:dyDescent="0.25">
      <c r="B43" s="1" t="s">
        <v>54</v>
      </c>
      <c r="C43" s="22">
        <f>C$32*Inputs!$D18</f>
        <v>168.92549778420536</v>
      </c>
      <c r="D43" s="22">
        <f>D$32*Inputs!$D18</f>
        <v>117.15594414510485</v>
      </c>
      <c r="E43" s="22">
        <f>E$32*Inputs!$D18</f>
        <v>117.15594414510485</v>
      </c>
      <c r="F43" s="22">
        <f>F$32*Inputs!$D18</f>
        <v>116.55355009824116</v>
      </c>
      <c r="G43" s="23">
        <f>G$32*Inputs!$D18</f>
        <v>116.10418463808642</v>
      </c>
      <c r="H43" s="23">
        <f>H$32*Inputs!$D18</f>
        <v>116.10418463808642</v>
      </c>
      <c r="I43" s="23">
        <f>I$32*Inputs!$D18</f>
        <v>110.98794364462402</v>
      </c>
      <c r="J43" s="23">
        <f>J$32*Inputs!$D18</f>
        <v>111.43730910477876</v>
      </c>
      <c r="K43" s="23">
        <f>K$32*Inputs!$D18</f>
        <v>170.87745420248797</v>
      </c>
      <c r="L43" s="23">
        <f>L$32*Inputs!$D18</f>
        <v>170.87745420248797</v>
      </c>
      <c r="M43" s="23">
        <f>M$32*Inputs!$D18</f>
        <v>147.81557889859039</v>
      </c>
      <c r="N43" s="23">
        <f>N$32*Inputs!$D18</f>
        <v>110.98794364462402</v>
      </c>
      <c r="O43" s="16">
        <f t="shared" si="31"/>
        <v>1574.9829891464224</v>
      </c>
      <c r="Q43" s="26" t="s">
        <v>35</v>
      </c>
      <c r="R43" s="6">
        <f>SUM(I37,H38,G39,F40,E41,D42,C43,J36,K35)</f>
        <v>6902.4973701060517</v>
      </c>
      <c r="S43" s="6">
        <f t="shared" si="29"/>
        <v>320.65394174750293</v>
      </c>
      <c r="T43" s="6">
        <f t="shared" si="30"/>
        <v>5.0102178398047403</v>
      </c>
      <c r="U43" s="6">
        <f>SUM(I73,J72,K71,L70,M69,N68)</f>
        <v>7.0579784199728809E-2</v>
      </c>
    </row>
    <row r="44" spans="2:21" x14ac:dyDescent="0.25">
      <c r="B44" s="1" t="s">
        <v>55</v>
      </c>
      <c r="C44" s="22">
        <f>C$32*Inputs!$D19</f>
        <v>119.44836499852475</v>
      </c>
      <c r="D44" s="22">
        <f>D$32*Inputs!$D19</f>
        <v>82.84176256131606</v>
      </c>
      <c r="E44" s="22">
        <f>E$32*Inputs!$D19</f>
        <v>82.84176256131606</v>
      </c>
      <c r="F44" s="23">
        <f>F$32*Inputs!$D19</f>
        <v>82.415805645832336</v>
      </c>
      <c r="G44" s="23">
        <f>G$32*Inputs!$D19</f>
        <v>82.098056281725903</v>
      </c>
      <c r="H44" s="23">
        <f>H$32*Inputs!$D19</f>
        <v>82.098056281725903</v>
      </c>
      <c r="I44" s="23">
        <f>I$32*Inputs!$D19</f>
        <v>78.480327581064046</v>
      </c>
      <c r="J44" s="23">
        <f>J$32*Inputs!$D19</f>
        <v>78.798076945170479</v>
      </c>
      <c r="K44" s="23">
        <f>K$32*Inputs!$D19</f>
        <v>120.82860661847299</v>
      </c>
      <c r="L44" s="23">
        <f>L$32*Inputs!$D19</f>
        <v>120.82860661847299</v>
      </c>
      <c r="M44" s="23">
        <f>M$32*Inputs!$D19</f>
        <v>104.52139820420842</v>
      </c>
      <c r="N44" s="23">
        <f>N$32*Inputs!$D19</f>
        <v>78.480327581064046</v>
      </c>
      <c r="O44" s="16">
        <f t="shared" si="31"/>
        <v>1113.6811518788941</v>
      </c>
      <c r="Q44" s="26" t="s">
        <v>36</v>
      </c>
      <c r="R44" s="6">
        <f>SUM(I38,H39,G40,F41,E42,D43,C44,J37,K36,L35)</f>
        <v>7614.8419647641058</v>
      </c>
      <c r="S44" s="6">
        <f t="shared" si="29"/>
        <v>226.73657662385554</v>
      </c>
      <c r="T44" s="6">
        <f t="shared" si="30"/>
        <v>3.5427590097477477</v>
      </c>
      <c r="U44" s="6">
        <f>SUM(J73,K72,L71,M70,N69)</f>
        <v>4.7512414494080661E-2</v>
      </c>
    </row>
    <row r="45" spans="2:21" x14ac:dyDescent="0.25">
      <c r="B45" s="1" t="s">
        <v>56</v>
      </c>
      <c r="C45" s="22">
        <f>C$32*Inputs!$D20</f>
        <v>84.462748892102724</v>
      </c>
      <c r="D45" s="22">
        <f>D$32*Inputs!$D20</f>
        <v>58.577972072552448</v>
      </c>
      <c r="E45" s="23">
        <f>E$32*Inputs!$D20</f>
        <v>58.577972072552448</v>
      </c>
      <c r="F45" s="23">
        <f>F$32*Inputs!$D20</f>
        <v>58.276775049120602</v>
      </c>
      <c r="G45" s="23">
        <f>G$32*Inputs!$D20</f>
        <v>58.052092319043233</v>
      </c>
      <c r="H45" s="23">
        <f>H$32*Inputs!$D20</f>
        <v>58.052092319043233</v>
      </c>
      <c r="I45" s="23">
        <f>I$32*Inputs!$D20</f>
        <v>55.493971822312034</v>
      </c>
      <c r="J45" s="23">
        <f>J$32*Inputs!$D20</f>
        <v>55.718654552389403</v>
      </c>
      <c r="K45" s="23">
        <f>K$32*Inputs!$D20</f>
        <v>85.438727101244027</v>
      </c>
      <c r="L45" s="23">
        <f>L$32*Inputs!$D20</f>
        <v>85.438727101244027</v>
      </c>
      <c r="M45" s="23">
        <f>M$32*Inputs!$D20</f>
        <v>73.907789449295223</v>
      </c>
      <c r="N45" s="23">
        <f>N$32*Inputs!$D20</f>
        <v>55.493971822312034</v>
      </c>
      <c r="O45" s="16">
        <f t="shared" si="31"/>
        <v>787.49149457321153</v>
      </c>
      <c r="Q45" s="26" t="s">
        <v>37</v>
      </c>
      <c r="R45" s="6">
        <f>SUM(I39,H40,G41,F42,E43,D44,C45,J38,K37,L36,M35)</f>
        <v>7749.5556533260369</v>
      </c>
      <c r="S45" s="6">
        <f t="shared" si="29"/>
        <v>160.32697087375152</v>
      </c>
      <c r="T45" s="6">
        <f t="shared" si="30"/>
        <v>2.5051089199023706</v>
      </c>
      <c r="U45" s="6">
        <f>SUM(K73,L72,M71,N70)</f>
        <v>3.1191624010036438E-2</v>
      </c>
    </row>
    <row r="46" spans="2:21" x14ac:dyDescent="0.25">
      <c r="B46" s="1" t="s">
        <v>57</v>
      </c>
      <c r="C46" s="22">
        <f>C$32*Inputs!$D21</f>
        <v>59.724182499262376</v>
      </c>
      <c r="D46" s="23">
        <f>D$32*Inputs!$D21</f>
        <v>41.42088128065803</v>
      </c>
      <c r="E46" s="23">
        <f>E$32*Inputs!$D21</f>
        <v>41.42088128065803</v>
      </c>
      <c r="F46" s="23">
        <f>F$32*Inputs!$D21</f>
        <v>41.207902822916168</v>
      </c>
      <c r="G46" s="23">
        <f>G$32*Inputs!$D21</f>
        <v>41.049028140862951</v>
      </c>
      <c r="H46" s="23">
        <f>H$32*Inputs!$D21</f>
        <v>41.049028140862951</v>
      </c>
      <c r="I46" s="23">
        <f>I$32*Inputs!$D21</f>
        <v>39.240163790532023</v>
      </c>
      <c r="J46" s="23">
        <f>J$32*Inputs!$D21</f>
        <v>39.399038472585239</v>
      </c>
      <c r="K46" s="23">
        <f>K$32*Inputs!$D21</f>
        <v>60.414303309236494</v>
      </c>
      <c r="L46" s="23">
        <f>L$32*Inputs!$D21</f>
        <v>60.414303309236494</v>
      </c>
      <c r="M46" s="23">
        <f>M$32*Inputs!$D21</f>
        <v>52.260699102104212</v>
      </c>
      <c r="N46" s="23">
        <f>N$32*Inputs!$D21</f>
        <v>39.240163790532023</v>
      </c>
      <c r="O46" s="16">
        <f t="shared" si="31"/>
        <v>556.84057593944704</v>
      </c>
      <c r="Q46" s="26" t="s">
        <v>38</v>
      </c>
      <c r="R46" s="6">
        <f>SUM(I40,H41,G42,F43,E44,D45,C46,J39,K38,L37,M36,N35)</f>
        <v>7255.57045196337</v>
      </c>
      <c r="S46" s="6">
        <f t="shared" si="29"/>
        <v>113.3682883119278</v>
      </c>
      <c r="T46" s="6">
        <f t="shared" si="30"/>
        <v>1.7713795048738743</v>
      </c>
      <c r="U46" s="6">
        <f>SUM(,L73,M72,N71)</f>
        <v>1.8368412411503748E-2</v>
      </c>
    </row>
    <row r="47" spans="2:21" x14ac:dyDescent="0.25">
      <c r="B47" s="1" t="s">
        <v>58</v>
      </c>
      <c r="C47" s="23">
        <f>C$32*Inputs!$D22</f>
        <v>42.231374446051362</v>
      </c>
      <c r="D47" s="23">
        <f>D$32*Inputs!$D22</f>
        <v>29.288986036276224</v>
      </c>
      <c r="E47" s="23">
        <f>E$32*Inputs!$D22</f>
        <v>29.288986036276224</v>
      </c>
      <c r="F47" s="23">
        <f>F$32*Inputs!$D22</f>
        <v>29.138387524560301</v>
      </c>
      <c r="G47" s="23">
        <f>G$32*Inputs!$D22</f>
        <v>29.026046159521616</v>
      </c>
      <c r="H47" s="23">
        <f>H$32*Inputs!$D22</f>
        <v>29.026046159521616</v>
      </c>
      <c r="I47" s="23">
        <f>I$32*Inputs!$D22</f>
        <v>27.746985911156017</v>
      </c>
      <c r="J47" s="23">
        <f>J$32*Inputs!$D22</f>
        <v>27.859327276194701</v>
      </c>
      <c r="K47" s="23">
        <f>K$32*Inputs!$D22</f>
        <v>42.719363550622013</v>
      </c>
      <c r="L47" s="23">
        <f>L$32*Inputs!$D22</f>
        <v>42.719363550622013</v>
      </c>
      <c r="M47" s="23">
        <f>M$32*Inputs!$D22</f>
        <v>36.953894724647611</v>
      </c>
      <c r="N47" s="23">
        <f>N$32*Inputs!$D22</f>
        <v>27.746985911156017</v>
      </c>
      <c r="O47" s="16">
        <f t="shared" si="31"/>
        <v>393.74574728660576</v>
      </c>
      <c r="Q47" s="63" t="s">
        <v>39</v>
      </c>
      <c r="R47" s="64">
        <f>SUM(R35:R46)</f>
        <v>68520.755924926591</v>
      </c>
      <c r="S47" s="64">
        <f t="shared" ref="S47:U47" si="32">SUM(S35:S46)</f>
        <v>17242.80132869778</v>
      </c>
      <c r="T47" s="64">
        <f t="shared" si="32"/>
        <v>269.41877076090321</v>
      </c>
      <c r="U47" s="64">
        <f t="shared" si="32"/>
        <v>4.1477619394671175</v>
      </c>
    </row>
    <row r="48" spans="2:21" x14ac:dyDescent="0.25">
      <c r="B48" s="1" t="s">
        <v>59</v>
      </c>
      <c r="C48" s="23">
        <f>C$32*Inputs!$D23</f>
        <v>29.862091249631202</v>
      </c>
      <c r="D48" s="23">
        <f>D$32*Inputs!$D23</f>
        <v>20.710440640329026</v>
      </c>
      <c r="E48" s="23">
        <f>E$32*Inputs!$D23</f>
        <v>20.710440640329026</v>
      </c>
      <c r="F48" s="23">
        <f>F$32*Inputs!$D23</f>
        <v>20.603951411458095</v>
      </c>
      <c r="G48" s="23">
        <f>G$32*Inputs!$D23</f>
        <v>20.524514070431486</v>
      </c>
      <c r="H48" s="23">
        <f>H$32*Inputs!$D23</f>
        <v>20.524514070431486</v>
      </c>
      <c r="I48" s="23">
        <f>I$32*Inputs!$D23</f>
        <v>19.620081895266022</v>
      </c>
      <c r="J48" s="23">
        <f>J$32*Inputs!$D23</f>
        <v>19.69951923629263</v>
      </c>
      <c r="K48" s="23">
        <f>K$32*Inputs!$D23</f>
        <v>30.207151654618261</v>
      </c>
      <c r="L48" s="23">
        <f>L$32*Inputs!$D23</f>
        <v>30.207151654618261</v>
      </c>
      <c r="M48" s="23">
        <f>M$32*Inputs!$D23</f>
        <v>26.13034955105212</v>
      </c>
      <c r="N48" s="28">
        <f>N$32*Inputs!$D23</f>
        <v>19.620081895266022</v>
      </c>
      <c r="O48" s="16">
        <f t="shared" si="31"/>
        <v>278.42028796972363</v>
      </c>
    </row>
    <row r="49" spans="2:33" x14ac:dyDescent="0.25">
      <c r="B49" s="1" t="s">
        <v>60</v>
      </c>
      <c r="C49" s="23">
        <f>C$32*Inputs!$D24</f>
        <v>21.115687223025688</v>
      </c>
      <c r="D49" s="23">
        <f>D$32*Inputs!$D24</f>
        <v>14.644493018138119</v>
      </c>
      <c r="E49" s="23">
        <f>E$32*Inputs!$D24</f>
        <v>14.644493018138119</v>
      </c>
      <c r="F49" s="23">
        <f>F$32*Inputs!$D24</f>
        <v>14.569193762280158</v>
      </c>
      <c r="G49" s="23">
        <f>G$32*Inputs!$D24</f>
        <v>14.513023079760814</v>
      </c>
      <c r="H49" s="23">
        <f>H$32*Inputs!$D24</f>
        <v>14.513023079760814</v>
      </c>
      <c r="I49" s="23">
        <f>I$32*Inputs!$D24</f>
        <v>13.873492955578014</v>
      </c>
      <c r="J49" s="23">
        <f>J$32*Inputs!$D24</f>
        <v>13.929663638097356</v>
      </c>
      <c r="K49" s="23">
        <f>K$32*Inputs!$D24</f>
        <v>21.359681775311014</v>
      </c>
      <c r="L49" s="23">
        <f>L$32*Inputs!$D24</f>
        <v>21.359681775311014</v>
      </c>
      <c r="M49" s="28">
        <f>M$32*Inputs!$D24</f>
        <v>18.476947362323813</v>
      </c>
      <c r="N49" s="28">
        <f>N$32*Inputs!$D24</f>
        <v>13.873492955578014</v>
      </c>
      <c r="O49" s="16">
        <f t="shared" si="31"/>
        <v>196.87287364330291</v>
      </c>
    </row>
    <row r="50" spans="2:33" x14ac:dyDescent="0.25">
      <c r="B50" s="1" t="s">
        <v>61</v>
      </c>
      <c r="C50" s="23">
        <f>C$32*Inputs!$D25</f>
        <v>14.931045624815601</v>
      </c>
      <c r="D50" s="23">
        <f>D$32*Inputs!$D25</f>
        <v>10.355220320164513</v>
      </c>
      <c r="E50" s="23">
        <f>E$32*Inputs!$D25</f>
        <v>10.355220320164513</v>
      </c>
      <c r="F50" s="23">
        <f>F$32*Inputs!$D25</f>
        <v>10.301975705729047</v>
      </c>
      <c r="G50" s="23">
        <f>G$32*Inputs!$D25</f>
        <v>10.262257035215743</v>
      </c>
      <c r="H50" s="23">
        <f>H$32*Inputs!$D25</f>
        <v>10.262257035215743</v>
      </c>
      <c r="I50" s="23">
        <f>I$32*Inputs!$D25</f>
        <v>9.810040947633011</v>
      </c>
      <c r="J50" s="23">
        <f>J$32*Inputs!$D25</f>
        <v>9.8497596181463152</v>
      </c>
      <c r="K50" s="23">
        <f>K$32*Inputs!$D25</f>
        <v>15.103575827309131</v>
      </c>
      <c r="L50" s="28">
        <f>L$32*Inputs!$D25</f>
        <v>15.103575827309131</v>
      </c>
      <c r="M50" s="28">
        <f>M$32*Inputs!$D25</f>
        <v>13.06517477552606</v>
      </c>
      <c r="N50" s="28">
        <f>N$32*Inputs!$D25</f>
        <v>9.810040947633011</v>
      </c>
      <c r="O50" s="16">
        <f t="shared" si="31"/>
        <v>139.21014398486182</v>
      </c>
      <c r="Q50" t="s">
        <v>90</v>
      </c>
      <c r="R50" s="72" t="s">
        <v>91</v>
      </c>
      <c r="S50" s="73"/>
      <c r="T50" s="73"/>
      <c r="U50" s="73"/>
      <c r="V50" s="72" t="s">
        <v>97</v>
      </c>
      <c r="W50" s="73"/>
      <c r="X50" s="73"/>
      <c r="Y50" s="74"/>
      <c r="Z50" s="72" t="s">
        <v>98</v>
      </c>
      <c r="AA50" s="73"/>
      <c r="AB50" s="73"/>
      <c r="AC50" s="74"/>
      <c r="AD50" s="72"/>
      <c r="AE50" s="73"/>
      <c r="AF50" s="73"/>
      <c r="AG50" s="74"/>
    </row>
    <row r="51" spans="2:33" x14ac:dyDescent="0.25">
      <c r="B51" s="1" t="s">
        <v>62</v>
      </c>
      <c r="C51" s="23">
        <f>C$32*Inputs!$D26</f>
        <v>10.557843611512848</v>
      </c>
      <c r="D51" s="23">
        <f>D$32*Inputs!$D26</f>
        <v>7.3222465090690623</v>
      </c>
      <c r="E51" s="23">
        <f>E$32*Inputs!$D26</f>
        <v>7.3222465090690623</v>
      </c>
      <c r="F51" s="23">
        <f>F$32*Inputs!$D26</f>
        <v>7.2845968811400814</v>
      </c>
      <c r="G51" s="23">
        <f>G$32*Inputs!$D26</f>
        <v>7.2565115398804094</v>
      </c>
      <c r="H51" s="23">
        <f>H$32*Inputs!$D26</f>
        <v>7.2565115398804094</v>
      </c>
      <c r="I51" s="23">
        <f>I$32*Inputs!$D26</f>
        <v>6.9367464777890095</v>
      </c>
      <c r="J51" s="23">
        <f>J$32*Inputs!$D26</f>
        <v>6.9648318190486807</v>
      </c>
      <c r="K51" s="28">
        <f>K$32*Inputs!$D26</f>
        <v>10.67984088765551</v>
      </c>
      <c r="L51" s="28">
        <f>L$32*Inputs!$D26</f>
        <v>10.67984088765551</v>
      </c>
      <c r="M51" s="28">
        <f>M$32*Inputs!$D26</f>
        <v>9.2384736811619099</v>
      </c>
      <c r="N51" s="28">
        <f>N$32*Inputs!$D26</f>
        <v>6.9367464777890095</v>
      </c>
      <c r="O51" s="16">
        <f t="shared" si="31"/>
        <v>98.436436821651512</v>
      </c>
      <c r="Q51" t="s">
        <v>92</v>
      </c>
      <c r="R51" s="40" t="s">
        <v>93</v>
      </c>
      <c r="S51" s="41" t="s">
        <v>94</v>
      </c>
      <c r="T51" s="41" t="s">
        <v>95</v>
      </c>
      <c r="U51" s="41" t="s">
        <v>96</v>
      </c>
      <c r="V51" s="40" t="s">
        <v>94</v>
      </c>
      <c r="W51" s="41" t="s">
        <v>95</v>
      </c>
      <c r="X51" s="41" t="s">
        <v>96</v>
      </c>
      <c r="Y51" s="42" t="s">
        <v>99</v>
      </c>
      <c r="Z51" s="40" t="s">
        <v>95</v>
      </c>
      <c r="AA51" s="41" t="s">
        <v>96</v>
      </c>
      <c r="AB51" s="41" t="s">
        <v>99</v>
      </c>
      <c r="AC51" s="42" t="s">
        <v>100</v>
      </c>
      <c r="AD51" s="40" t="s">
        <v>96</v>
      </c>
      <c r="AE51" s="41" t="s">
        <v>99</v>
      </c>
      <c r="AF51" s="41" t="s">
        <v>100</v>
      </c>
      <c r="AG51" s="42" t="s">
        <v>101</v>
      </c>
    </row>
    <row r="52" spans="2:33" x14ac:dyDescent="0.25">
      <c r="B52" s="1" t="s">
        <v>63</v>
      </c>
      <c r="C52" s="23">
        <f>C$32*Inputs!$D27</f>
        <v>7.4655228124078006</v>
      </c>
      <c r="D52" s="23">
        <f>D$32*Inputs!$D27</f>
        <v>5.1776101600822564</v>
      </c>
      <c r="E52" s="23">
        <f>E$32*Inputs!$D27</f>
        <v>5.1776101600822564</v>
      </c>
      <c r="F52" s="23">
        <f>F$32*Inputs!$D27</f>
        <v>5.1509878528645237</v>
      </c>
      <c r="G52" s="23">
        <f>G$32*Inputs!$D27</f>
        <v>5.1311285176078716</v>
      </c>
      <c r="H52" s="23">
        <f>H$32*Inputs!$D27</f>
        <v>5.1311285176078716</v>
      </c>
      <c r="I52" s="23">
        <f>I$32*Inputs!$D27</f>
        <v>4.9050204738165055</v>
      </c>
      <c r="J52" s="28">
        <f>J$32*Inputs!$D27</f>
        <v>4.9248798090731576</v>
      </c>
      <c r="K52" s="28">
        <f>K$32*Inputs!$D27</f>
        <v>7.5517879136545654</v>
      </c>
      <c r="L52" s="28">
        <f>L$32*Inputs!$D27</f>
        <v>7.5517879136545654</v>
      </c>
      <c r="M52" s="28">
        <f>M$32*Inputs!$D27</f>
        <v>6.5325873877630301</v>
      </c>
      <c r="N52" s="28">
        <f>N$32*Inputs!$D27</f>
        <v>4.9050204738165055</v>
      </c>
      <c r="O52" s="16">
        <f t="shared" si="31"/>
        <v>69.605071992430908</v>
      </c>
      <c r="Q52" s="26" t="s">
        <v>27</v>
      </c>
      <c r="R52" s="45">
        <f>$R35*Adherence!BB3*Inputs!$C$6</f>
        <v>1726880.5911376132</v>
      </c>
      <c r="S52" s="46">
        <f>$R35*Adherence!BC3*Inputs!$C$6</f>
        <v>1074391.9027100001</v>
      </c>
      <c r="T52" s="46">
        <f>$R35*Adherence!BD3*Inputs!$C$6</f>
        <v>825567.792006028</v>
      </c>
      <c r="U52" s="46">
        <f>$R35*Adherence!BE3*Inputs!$C$6</f>
        <v>0</v>
      </c>
      <c r="V52" s="45">
        <f>$S35*Adherence!BB3*Inputs!$C$6</f>
        <v>3277960.2590421238</v>
      </c>
      <c r="W52" s="46">
        <f>$S35*Adherence!BC3*Inputs!$C$6</f>
        <v>2039407.9230457824</v>
      </c>
      <c r="X52" s="46">
        <f>$S35*Adherence!BD3*Inputs!$C$6</f>
        <v>1567090.6414890976</v>
      </c>
      <c r="Y52" s="47">
        <f>$S35*Adherence!BE3*Inputs!$C$6</f>
        <v>0</v>
      </c>
      <c r="Z52" s="45">
        <f>$T35*Adherence!BB3*Inputs!$C$6</f>
        <v>51218.12904753325</v>
      </c>
      <c r="AA52" s="46">
        <f>$T35*Adherence!BC3*Inputs!$C$6</f>
        <v>31865.74879759039</v>
      </c>
      <c r="AB52" s="46">
        <f>$T35*Adherence!BD3*Inputs!$C$6</f>
        <v>24485.791273267179</v>
      </c>
      <c r="AC52" s="47">
        <f>$T35*Adherence!BE3*Inputs!$C$6</f>
        <v>0</v>
      </c>
      <c r="AD52" s="45">
        <f>$U35*Adherence!BB3*Inputs!$C$6</f>
        <v>800.28326636770805</v>
      </c>
      <c r="AE52" s="46">
        <f>$U35*Adherence!BC3*Inputs!$C$6</f>
        <v>497.90232496235046</v>
      </c>
      <c r="AF52" s="46">
        <f>$U35*Adherence!BD3*Inputs!$C$6</f>
        <v>382.59048864480019</v>
      </c>
      <c r="AG52" s="47">
        <f>$U35*Adherence!BE3*Inputs!$C$6</f>
        <v>0</v>
      </c>
    </row>
    <row r="53" spans="2:33" x14ac:dyDescent="0.25">
      <c r="B53" s="1" t="s">
        <v>64</v>
      </c>
      <c r="C53" s="23">
        <f>C$32*Inputs!$D28</f>
        <v>5.2789218057564256</v>
      </c>
      <c r="D53" s="23">
        <f>D$32*Inputs!$D28</f>
        <v>3.6611232545345325</v>
      </c>
      <c r="E53" s="23">
        <f>E$32*Inputs!$D28</f>
        <v>3.6611232545345325</v>
      </c>
      <c r="F53" s="23">
        <f>F$32*Inputs!$D28</f>
        <v>3.642298440570042</v>
      </c>
      <c r="G53" s="23">
        <f>G$32*Inputs!$D28</f>
        <v>3.6282557699402065</v>
      </c>
      <c r="H53" s="23">
        <f>H$32*Inputs!$D28</f>
        <v>3.6282557699402065</v>
      </c>
      <c r="I53" s="28">
        <f>I$32*Inputs!$D28</f>
        <v>3.4683732388945061</v>
      </c>
      <c r="J53" s="28">
        <f>J$32*Inputs!$D28</f>
        <v>3.4824159095243417</v>
      </c>
      <c r="K53" s="28">
        <f>K$32*Inputs!$D28</f>
        <v>5.3399204438277579</v>
      </c>
      <c r="L53" s="28">
        <f>L$32*Inputs!$D28</f>
        <v>5.3399204438277579</v>
      </c>
      <c r="M53" s="28">
        <f>M$32*Inputs!$D28</f>
        <v>4.6192368405809567</v>
      </c>
      <c r="N53" s="28">
        <f>N$32*Inputs!$D28</f>
        <v>3.4683732388945061</v>
      </c>
      <c r="O53" s="16">
        <f t="shared" si="31"/>
        <v>49.218218410825777</v>
      </c>
      <c r="Q53" s="26" t="s">
        <v>28</v>
      </c>
      <c r="R53" s="45">
        <f>$R36*Adherence!BB4*Inputs!$C$6</f>
        <v>2279580.5545075573</v>
      </c>
      <c r="S53" s="46">
        <f>$R36*Adherence!BC4*Inputs!$C$6</f>
        <v>1532076.9366700109</v>
      </c>
      <c r="T53" s="46">
        <f>$R36*Adherence!BD4*Inputs!$C$6</f>
        <v>1214779.5284331443</v>
      </c>
      <c r="U53" s="46">
        <f>$R36*Adherence!BE4*Inputs!$C$6</f>
        <v>53471.291832606556</v>
      </c>
      <c r="V53" s="45">
        <f>$S36*Adherence!BB4*Inputs!$C$6</f>
        <v>2184509.2041565212</v>
      </c>
      <c r="W53" s="46">
        <f>$S36*Adherence!BC4*Inputs!$C$6</f>
        <v>1468180.6979857143</v>
      </c>
      <c r="X53" s="46">
        <f>$S36*Adherence!BD4*Inputs!$C$6</f>
        <v>1164116.3790574546</v>
      </c>
      <c r="Y53" s="47">
        <f>$S36*Adherence!BE4*Inputs!$C$6</f>
        <v>51241.237751171204</v>
      </c>
      <c r="Z53" s="45">
        <f>$T36*Adherence!BB4*Inputs!$C$6</f>
        <v>34132.956314945695</v>
      </c>
      <c r="AA53" s="46">
        <f>$T36*Adherence!BC4*Inputs!$C$6</f>
        <v>22940.323406026819</v>
      </c>
      <c r="AB53" s="46">
        <f>$T36*Adherence!BD4*Inputs!$C$6</f>
        <v>18189.318422772754</v>
      </c>
      <c r="AC53" s="47">
        <f>$T36*Adherence!BE4*Inputs!$C$6</f>
        <v>800.64433986205131</v>
      </c>
      <c r="AD53" s="45">
        <f>$U36*Adherence!BB4*Inputs!$C$6</f>
        <v>533.32744242102717</v>
      </c>
      <c r="AE53" s="46">
        <f>$U36*Adherence!BC4*Inputs!$C$6</f>
        <v>358.4425532191695</v>
      </c>
      <c r="AF53" s="46">
        <f>$U36*Adherence!BD4*Inputs!$C$6</f>
        <v>284.20810035582468</v>
      </c>
      <c r="AG53" s="47">
        <f>$U36*Adherence!BE4*Inputs!$C$6</f>
        <v>12.510067810344568</v>
      </c>
    </row>
    <row r="54" spans="2:33" x14ac:dyDescent="0.25">
      <c r="B54" s="1" t="s">
        <v>65</v>
      </c>
      <c r="C54" s="23">
        <f>C$32*Inputs!$D29</f>
        <v>3.7327614062039003</v>
      </c>
      <c r="D54" s="23">
        <f>D$32*Inputs!$D29</f>
        <v>2.5888050800411282</v>
      </c>
      <c r="E54" s="23">
        <f>E$32*Inputs!$D29</f>
        <v>2.5888050800411282</v>
      </c>
      <c r="F54" s="23">
        <f>F$32*Inputs!$D29</f>
        <v>2.5754939264322618</v>
      </c>
      <c r="G54" s="23">
        <f>G$32*Inputs!$D29</f>
        <v>2.5655642588039358</v>
      </c>
      <c r="H54" s="28">
        <f>H$32*Inputs!$D29</f>
        <v>2.5655642588039358</v>
      </c>
      <c r="I54" s="28">
        <f>I$32*Inputs!$D29</f>
        <v>2.4525102369082528</v>
      </c>
      <c r="J54" s="28">
        <f>J$32*Inputs!$D29</f>
        <v>2.4624399045365788</v>
      </c>
      <c r="K54" s="28">
        <f>K$32*Inputs!$D29</f>
        <v>3.7758939568272827</v>
      </c>
      <c r="L54" s="28">
        <f>L$32*Inputs!$D29</f>
        <v>3.7758939568272827</v>
      </c>
      <c r="M54" s="28">
        <f>M$32*Inputs!$D29</f>
        <v>3.266293693881515</v>
      </c>
      <c r="N54" s="28">
        <f>N$32*Inputs!$D29</f>
        <v>2.4525102369082528</v>
      </c>
      <c r="O54" s="16">
        <f t="shared" si="31"/>
        <v>34.802535996215454</v>
      </c>
      <c r="Q54" s="26" t="s">
        <v>29</v>
      </c>
      <c r="R54" s="45">
        <f>$R37*Adherence!BB5*Inputs!$C$6</f>
        <v>2564483.2561403988</v>
      </c>
      <c r="S54" s="46">
        <f>$R37*Adherence!BC5*Inputs!$C$6</f>
        <v>1877893.9933839757</v>
      </c>
      <c r="T54" s="46">
        <f>$R37*Adherence!BD5*Inputs!$C$6</f>
        <v>1506311.7674708127</v>
      </c>
      <c r="U54" s="46">
        <f>$R37*Adherence!BE5*Inputs!$C$6</f>
        <v>158693.54886793933</v>
      </c>
      <c r="V54" s="45">
        <f>$S37*Adherence!BB5*Inputs!$C$6</f>
        <v>1445388.3632027025</v>
      </c>
      <c r="W54" s="46">
        <f>$S37*Adherence!BC5*Inputs!$C$6</f>
        <v>1058414.4462110894</v>
      </c>
      <c r="X54" s="46">
        <f>$S37*Adherence!BD5*Inputs!$C$6</f>
        <v>848984.09644301899</v>
      </c>
      <c r="Y54" s="47">
        <f>$S37*Adherence!BE5*Inputs!$C$6</f>
        <v>89442.505931690641</v>
      </c>
      <c r="Z54" s="45">
        <f>$T37*Adherence!BB5*Inputs!$C$6</f>
        <v>22584.193175042259</v>
      </c>
      <c r="AA54" s="46">
        <f>$T37*Adherence!BC5*Inputs!$C$6</f>
        <v>16537.725722048293</v>
      </c>
      <c r="AB54" s="46">
        <f>$T37*Adherence!BD5*Inputs!$C$6</f>
        <v>13265.376506922192</v>
      </c>
      <c r="AC54" s="47">
        <f>$T37*Adherence!BE5*Inputs!$C$6</f>
        <v>1397.5391551826681</v>
      </c>
      <c r="AD54" s="45">
        <f>$U37*Adherence!BB5*Inputs!$C$6</f>
        <v>352.87801836003581</v>
      </c>
      <c r="AE54" s="46">
        <f>$U37*Adherence!BC5*Inputs!$C$6</f>
        <v>258.40196440700498</v>
      </c>
      <c r="AF54" s="46">
        <f>$U37*Adherence!BD5*Inputs!$C$6</f>
        <v>207.27150792065953</v>
      </c>
      <c r="AG54" s="47">
        <f>$U37*Adherence!BE5*Inputs!$C$6</f>
        <v>21.836549299729221</v>
      </c>
    </row>
    <row r="55" spans="2:33" x14ac:dyDescent="0.25">
      <c r="B55" s="1" t="s">
        <v>66</v>
      </c>
      <c r="C55" s="23">
        <f>C$32*Inputs!$D30</f>
        <v>2.6394609028782128</v>
      </c>
      <c r="D55" s="23">
        <f>D$32*Inputs!$D30</f>
        <v>1.8305616272672662</v>
      </c>
      <c r="E55" s="23">
        <f>E$32*Inputs!$D30</f>
        <v>1.8305616272672662</v>
      </c>
      <c r="F55" s="23">
        <f>F$32*Inputs!$D30</f>
        <v>1.821149220285021</v>
      </c>
      <c r="G55" s="28">
        <f>G$32*Inputs!$D30</f>
        <v>1.8141278849701032</v>
      </c>
      <c r="H55" s="28">
        <f>H$32*Inputs!$D30</f>
        <v>1.8141278849701032</v>
      </c>
      <c r="I55" s="28">
        <f>I$32*Inputs!$D30</f>
        <v>1.7341866194472531</v>
      </c>
      <c r="J55" s="28">
        <f>J$32*Inputs!$D30</f>
        <v>1.7412079547621708</v>
      </c>
      <c r="K55" s="28">
        <f>K$32*Inputs!$D30</f>
        <v>2.6699602219138789</v>
      </c>
      <c r="L55" s="28">
        <f>L$32*Inputs!$D30</f>
        <v>2.6699602219138789</v>
      </c>
      <c r="M55" s="28">
        <f>M$32*Inputs!$D30</f>
        <v>2.3096184202904784</v>
      </c>
      <c r="N55" s="28">
        <f>N$32*Inputs!$D30</f>
        <v>1.7341866194472531</v>
      </c>
      <c r="O55" s="16">
        <f t="shared" si="31"/>
        <v>24.609109205412889</v>
      </c>
      <c r="Q55" s="26" t="s">
        <v>30</v>
      </c>
      <c r="R55" s="45">
        <f>$R38*Adherence!BB6*Inputs!$C$6</f>
        <v>2658661.5931385043</v>
      </c>
      <c r="S55" s="46">
        <f>$R38*Adherence!BC6*Inputs!$C$6</f>
        <v>2142631.4548444883</v>
      </c>
      <c r="T55" s="46">
        <f>$R38*Adherence!BD6*Inputs!$C$6</f>
        <v>1716641.2554814876</v>
      </c>
      <c r="U55" s="46">
        <f>$R38*Adherence!BE6*Inputs!$C$6</f>
        <v>303048.8398874994</v>
      </c>
      <c r="V55" s="45">
        <f>$S38*Adherence!BB6*Inputs!$C$6</f>
        <v>948726.21000552864</v>
      </c>
      <c r="W55" s="46">
        <f>$S38*Adherence!BC6*Inputs!$C$6</f>
        <v>764584.18959352875</v>
      </c>
      <c r="X55" s="46">
        <f>$S38*Adherence!BD6*Inputs!$C$6</f>
        <v>612572.33957689337</v>
      </c>
      <c r="Y55" s="47">
        <f>$S38*Adherence!BE6*Inputs!$C$6</f>
        <v>108141.02029948028</v>
      </c>
      <c r="Z55" s="45">
        <f>$T38*Adherence!BB6*Inputs!$C$6</f>
        <v>14823.847031336405</v>
      </c>
      <c r="AA55" s="46">
        <f>$T38*Adherence!BC6*Inputs!$C$6</f>
        <v>11946.627962398903</v>
      </c>
      <c r="AB55" s="46">
        <f>$T38*Adherence!BD6*Inputs!$C$6</f>
        <v>9571.4428058889716</v>
      </c>
      <c r="AC55" s="47">
        <f>$T38*Adherence!BE6*Inputs!$C$6</f>
        <v>1689.7034421793815</v>
      </c>
      <c r="AD55" s="45">
        <f>$U38*Adherence!BB6*Inputs!$C$6</f>
        <v>229.71600980966736</v>
      </c>
      <c r="AE55" s="46">
        <f>$U38*Adherence!BC6*Inputs!$C$6</f>
        <v>185.12952139897146</v>
      </c>
      <c r="AF55" s="46">
        <f>$U38*Adherence!BD6*Inputs!$C$6</f>
        <v>148.32274272949255</v>
      </c>
      <c r="AG55" s="47">
        <f>$U38*Adherence!BE6*Inputs!$C$6</f>
        <v>26.184291545817086</v>
      </c>
    </row>
    <row r="56" spans="2:33" x14ac:dyDescent="0.25">
      <c r="B56" s="1" t="s">
        <v>67</v>
      </c>
      <c r="C56" s="23">
        <f>C$32*Inputs!$D31</f>
        <v>1.8663807031019513</v>
      </c>
      <c r="D56" s="23">
        <f>D$32*Inputs!$D31</f>
        <v>1.2944025400205648</v>
      </c>
      <c r="E56" s="23">
        <f>E$32*Inputs!$D31</f>
        <v>1.2944025400205648</v>
      </c>
      <c r="F56" s="28">
        <f>F$32*Inputs!$D31</f>
        <v>1.2877469632161316</v>
      </c>
      <c r="G56" s="28">
        <f>G$32*Inputs!$D31</f>
        <v>1.2827821294019686</v>
      </c>
      <c r="H56" s="28">
        <f>H$32*Inputs!$D31</f>
        <v>1.2827821294019686</v>
      </c>
      <c r="I56" s="28">
        <f>I$32*Inputs!$D31</f>
        <v>1.226255118454127</v>
      </c>
      <c r="J56" s="28">
        <f>J$32*Inputs!$D31</f>
        <v>1.2312199522682901</v>
      </c>
      <c r="K56" s="28">
        <f>K$32*Inputs!$D31</f>
        <v>1.8879469784136425</v>
      </c>
      <c r="L56" s="28">
        <f>L$32*Inputs!$D31</f>
        <v>1.8879469784136425</v>
      </c>
      <c r="M56" s="28">
        <f>M$32*Inputs!$D31</f>
        <v>1.6331468469407584</v>
      </c>
      <c r="N56" s="28">
        <f>N$32*Inputs!$D31</f>
        <v>1.226255118454127</v>
      </c>
      <c r="O56" s="16">
        <f t="shared" si="31"/>
        <v>17.401267998107738</v>
      </c>
      <c r="Q56" s="26" t="s">
        <v>31</v>
      </c>
      <c r="R56" s="45">
        <f>$R39*Adherence!BB7*Inputs!$C$6</f>
        <v>2623207.9841226088</v>
      </c>
      <c r="S56" s="46">
        <f>$R39*Adherence!BC7*Inputs!$C$6</f>
        <v>2354851.251539838</v>
      </c>
      <c r="T56" s="46">
        <f>$R39*Adherence!BD7*Inputs!$C$6</f>
        <v>1873522.356826874</v>
      </c>
      <c r="U56" s="46">
        <f>$R39*Adherence!BE7*Inputs!$C$6</f>
        <v>464345.45563594723</v>
      </c>
      <c r="V56" s="45">
        <f>$S39*Adherence!BB7*Inputs!$C$6</f>
        <v>617125.04900518118</v>
      </c>
      <c r="W56" s="46">
        <f>$S39*Adherence!BC7*Inputs!$C$6</f>
        <v>553992.55522337195</v>
      </c>
      <c r="X56" s="46">
        <f>$S39*Adherence!BD7*Inputs!$C$6</f>
        <v>440757.11238573544</v>
      </c>
      <c r="Y56" s="47">
        <f>$S39*Adherence!BE7*Inputs!$C$6</f>
        <v>109239.98927996299</v>
      </c>
      <c r="Z56" s="45">
        <f>$T39*Adherence!BB7*Inputs!$C$6</f>
        <v>9642.5788907059687</v>
      </c>
      <c r="AA56" s="46">
        <f>$T39*Adherence!BC7*Inputs!$C$6</f>
        <v>8656.1336753651976</v>
      </c>
      <c r="AB56" s="46">
        <f>$T39*Adherence!BD7*Inputs!$C$6</f>
        <v>6886.8298810271244</v>
      </c>
      <c r="AC56" s="47">
        <f>$T39*Adherence!BE7*Inputs!$C$6</f>
        <v>1706.8748324994242</v>
      </c>
      <c r="AD56" s="45">
        <f>$U39*Adherence!BB7*Inputs!$C$6</f>
        <v>148.20869590255126</v>
      </c>
      <c r="AE56" s="46">
        <f>$U39*Adherence!BC7*Inputs!$C$6</f>
        <v>133.04680191111271</v>
      </c>
      <c r="AF56" s="46">
        <f>$U39*Adherence!BD7*Inputs!$C$6</f>
        <v>105.85218821010072</v>
      </c>
      <c r="AG56" s="47">
        <f>$U39*Adherence!BE7*Inputs!$C$6</f>
        <v>26.23506593629789</v>
      </c>
    </row>
    <row r="57" spans="2:33" x14ac:dyDescent="0.25">
      <c r="B57" s="1" t="s">
        <v>68</v>
      </c>
      <c r="C57" s="23">
        <f>C$32*Inputs!$D32</f>
        <v>1.3197304514391071</v>
      </c>
      <c r="D57" s="23">
        <f>D$32*Inputs!$D32</f>
        <v>0.91528081363363345</v>
      </c>
      <c r="E57" s="28">
        <f>E$32*Inputs!$D32</f>
        <v>0.91528081363363345</v>
      </c>
      <c r="F57" s="28">
        <f>F$32*Inputs!$D32</f>
        <v>0.91057461014251084</v>
      </c>
      <c r="G57" s="28">
        <f>G$32*Inputs!$D32</f>
        <v>0.90706394248505195</v>
      </c>
      <c r="H57" s="28">
        <f>H$32*Inputs!$D32</f>
        <v>0.90706394248505195</v>
      </c>
      <c r="I57" s="28">
        <f>I$32*Inputs!$D32</f>
        <v>0.86709330972362686</v>
      </c>
      <c r="J57" s="28">
        <f>J$32*Inputs!$D32</f>
        <v>0.87060397738108575</v>
      </c>
      <c r="K57" s="28">
        <f>K$32*Inputs!$D32</f>
        <v>1.3349801109569399</v>
      </c>
      <c r="L57" s="28">
        <f>L$32*Inputs!$D32</f>
        <v>1.3349801109569399</v>
      </c>
      <c r="M57" s="28">
        <f>M$32*Inputs!$D32</f>
        <v>1.1548092101452396</v>
      </c>
      <c r="N57" s="28">
        <f>N$32*Inputs!$D32</f>
        <v>0.86709330972362686</v>
      </c>
      <c r="O57" s="16">
        <f t="shared" si="31"/>
        <v>12.304554602706448</v>
      </c>
      <c r="Q57" s="26" t="s">
        <v>32</v>
      </c>
      <c r="R57" s="45">
        <f>$R40*Adherence!BB8*Inputs!$C$6</f>
        <v>2496352.7627535043</v>
      </c>
      <c r="S57" s="46">
        <f>$R40*Adherence!BC8*Inputs!$C$6</f>
        <v>2533625.9916356574</v>
      </c>
      <c r="T57" s="46">
        <f>$R40*Adherence!BD8*Inputs!$C$6</f>
        <v>2000830.4469066646</v>
      </c>
      <c r="U57" s="46">
        <f>$R40*Adherence!BE8*Inputs!$C$6</f>
        <v>635096.03820158192</v>
      </c>
      <c r="V57" s="45">
        <f>$S40*Adherence!BB8*Inputs!$C$6</f>
        <v>396312.09535878181</v>
      </c>
      <c r="W57" s="46">
        <f>$S40*Adherence!BC8*Inputs!$C$6</f>
        <v>402229.46074859158</v>
      </c>
      <c r="X57" s="46">
        <f>$S40*Adherence!BD8*Inputs!$C$6</f>
        <v>317644.73302907398</v>
      </c>
      <c r="Y57" s="47">
        <f>$S40*Adherence!BE8*Inputs!$C$6</f>
        <v>100825.59060126831</v>
      </c>
      <c r="Z57" s="45">
        <f>$T40*Adherence!BB8*Inputs!$C$6</f>
        <v>6192.3764899809739</v>
      </c>
      <c r="AA57" s="46">
        <f>$T40*Adherence!BC8*Inputs!$C$6</f>
        <v>6284.8353241967534</v>
      </c>
      <c r="AB57" s="46">
        <f>$T40*Adherence!BD8*Inputs!$C$6</f>
        <v>4963.1989535792882</v>
      </c>
      <c r="AC57" s="47">
        <f>$T40*Adherence!BE8*Inputs!$C$6</f>
        <v>1575.3998531448194</v>
      </c>
      <c r="AD57" s="45">
        <f>$U40*Adherence!BB8*Inputs!$C$6</f>
        <v>94.07354949249698</v>
      </c>
      <c r="AE57" s="46">
        <f>$U40*Adherence!BC8*Inputs!$C$6</f>
        <v>95.478168661032612</v>
      </c>
      <c r="AF57" s="46">
        <f>$U40*Adherence!BD8*Inputs!$C$6</f>
        <v>75.400089635390515</v>
      </c>
      <c r="AG57" s="47">
        <f>$U40*Adherence!BE8*Inputs!$C$6</f>
        <v>23.933211473023178</v>
      </c>
    </row>
    <row r="58" spans="2:33" x14ac:dyDescent="0.25">
      <c r="B58" s="1" t="s">
        <v>69</v>
      </c>
      <c r="C58" s="23">
        <f>C$32*Inputs!$D33</f>
        <v>0.93319035155097563</v>
      </c>
      <c r="D58" s="28">
        <f>D$32*Inputs!$D33</f>
        <v>0.64720127001028238</v>
      </c>
      <c r="E58" s="28">
        <f>E$32*Inputs!$D33</f>
        <v>0.64720127001028238</v>
      </c>
      <c r="F58" s="28">
        <f>F$32*Inputs!$D33</f>
        <v>0.64387348160806579</v>
      </c>
      <c r="G58" s="28">
        <f>G$32*Inputs!$D33</f>
        <v>0.64139106470098428</v>
      </c>
      <c r="H58" s="28">
        <f>H$32*Inputs!$D33</f>
        <v>0.64139106470098428</v>
      </c>
      <c r="I58" s="28">
        <f>I$32*Inputs!$D33</f>
        <v>0.61312755922706352</v>
      </c>
      <c r="J58" s="28">
        <f>J$32*Inputs!$D33</f>
        <v>0.61560997613414503</v>
      </c>
      <c r="K58" s="28">
        <f>K$32*Inputs!$D33</f>
        <v>0.94397348920682123</v>
      </c>
      <c r="L58" s="28">
        <f>L$32*Inputs!$D33</f>
        <v>0.94397348920682123</v>
      </c>
      <c r="M58" s="28">
        <f>M$32*Inputs!$D33</f>
        <v>0.8165734234703792</v>
      </c>
      <c r="N58" s="28">
        <f>N$32*Inputs!$D33</f>
        <v>0.61312755922706352</v>
      </c>
      <c r="O58" s="16">
        <f t="shared" si="31"/>
        <v>8.7006339990538688</v>
      </c>
      <c r="Q58" s="26" t="s">
        <v>33</v>
      </c>
      <c r="R58" s="45">
        <f>$R41*Adherence!BB9*Inputs!$C$6</f>
        <v>2281392.3404919454</v>
      </c>
      <c r="S58" s="46">
        <f>$R41*Adherence!BC9*Inputs!$C$6</f>
        <v>2647114.0076426174</v>
      </c>
      <c r="T58" s="46">
        <f>$R41*Adherence!BD9*Inputs!$C$6</f>
        <v>2075776.2004967202</v>
      </c>
      <c r="U58" s="46">
        <f>$R41*Adherence!BE9*Inputs!$C$6</f>
        <v>799248.65084415569</v>
      </c>
      <c r="V58" s="45">
        <f>$S41*Adherence!BB9*Inputs!$C$6</f>
        <v>251587.24984652721</v>
      </c>
      <c r="W58" s="46">
        <f>$S41*Adherence!BC9*Inputs!$C$6</f>
        <v>291918.28226679197</v>
      </c>
      <c r="X58" s="46">
        <f>$S41*Adherence!BD9*Inputs!$C$6</f>
        <v>228912.32529834425</v>
      </c>
      <c r="Y58" s="47">
        <f>$S41*Adherence!BE9*Inputs!$C$6</f>
        <v>88139.495535462571</v>
      </c>
      <c r="Z58" s="45">
        <f>$T41*Adherence!BB9*Inputs!$C$6</f>
        <v>3931.0507788519922</v>
      </c>
      <c r="AA58" s="46">
        <f>$T41*Adherence!BC9*Inputs!$C$6</f>
        <v>4561.22316041863</v>
      </c>
      <c r="AB58" s="46">
        <f>$T41*Adherence!BD9*Inputs!$C$6</f>
        <v>3576.7550827866335</v>
      </c>
      <c r="AC58" s="47">
        <f>$T41*Adherence!BE9*Inputs!$C$6</f>
        <v>1377.1796177416045</v>
      </c>
      <c r="AD58" s="45">
        <f>$U41*Adherence!BB9*Inputs!$C$6</f>
        <v>58.73317262916504</v>
      </c>
      <c r="AE58" s="46">
        <f>$U41*Adherence!BC9*Inputs!$C$6</f>
        <v>68.148472851639994</v>
      </c>
      <c r="AF58" s="46">
        <f>$U41*Adherence!BD9*Inputs!$C$6</f>
        <v>53.43969985320313</v>
      </c>
      <c r="AG58" s="47">
        <f>$U41*Adherence!BE9*Inputs!$C$6</f>
        <v>20.576210479226329</v>
      </c>
    </row>
    <row r="59" spans="2:33" x14ac:dyDescent="0.25">
      <c r="B59" s="1" t="s">
        <v>70</v>
      </c>
      <c r="C59" s="28">
        <f>C$32*Inputs!$D34</f>
        <v>0.65986522571955353</v>
      </c>
      <c r="D59" s="28">
        <f>D$32*Inputs!$D34</f>
        <v>0.45764040681681672</v>
      </c>
      <c r="E59" s="28">
        <f>E$32*Inputs!$D34</f>
        <v>0.45764040681681672</v>
      </c>
      <c r="F59" s="28">
        <f>F$32*Inputs!$D34</f>
        <v>0.45528730507125542</v>
      </c>
      <c r="G59" s="28">
        <f>G$32*Inputs!$D34</f>
        <v>0.45353197124252598</v>
      </c>
      <c r="H59" s="28">
        <f>H$32*Inputs!$D34</f>
        <v>0.45353197124252598</v>
      </c>
      <c r="I59" s="28">
        <f>I$32*Inputs!$D34</f>
        <v>0.43354665486181343</v>
      </c>
      <c r="J59" s="28">
        <f>J$32*Inputs!$D34</f>
        <v>0.43530198869054287</v>
      </c>
      <c r="K59" s="28">
        <f>K$32*Inputs!$D34</f>
        <v>0.66749005547846996</v>
      </c>
      <c r="L59" s="28">
        <f>L$32*Inputs!$D34</f>
        <v>0.66749005547846996</v>
      </c>
      <c r="M59" s="28">
        <f>M$32*Inputs!$D34</f>
        <v>0.57740460507261981</v>
      </c>
      <c r="N59" s="28">
        <f>N$32*Inputs!$D34</f>
        <v>0.43354665486181343</v>
      </c>
      <c r="O59" s="16">
        <f t="shared" si="31"/>
        <v>6.1522773013532239</v>
      </c>
      <c r="Q59" s="26" t="s">
        <v>34</v>
      </c>
      <c r="R59" s="45">
        <f>$R42*Adherence!BB10*Inputs!$C$6</f>
        <v>2035884.0780003069</v>
      </c>
      <c r="S59" s="46">
        <f>$R42*Adherence!BC10*Inputs!$C$6</f>
        <v>2760700.0001513585</v>
      </c>
      <c r="T59" s="46">
        <f>$R42*Adherence!BD10*Inputs!$C$6</f>
        <v>2144710.4360562074</v>
      </c>
      <c r="U59" s="46">
        <f>$R42*Adherence!BE10*Inputs!$C$6</f>
        <v>969200.83746305387</v>
      </c>
      <c r="V59" s="45">
        <f>$S42*Adherence!BB10*Inputs!$C$6</f>
        <v>156608.08827679034</v>
      </c>
      <c r="W59" s="46">
        <f>$S42*Adherence!BC10*Inputs!$C$6</f>
        <v>212363.73622711442</v>
      </c>
      <c r="X59" s="46">
        <f>$S42*Adherence!BD10*Inputs!$C$6</f>
        <v>164979.43322389573</v>
      </c>
      <c r="Y59" s="47">
        <f>$S42*Adherence!BE10*Inputs!$C$6</f>
        <v>74554.682141057638</v>
      </c>
      <c r="Z59" s="45">
        <f>$T42*Adherence!BB10*Inputs!$C$6</f>
        <v>2447.0013793248527</v>
      </c>
      <c r="AA59" s="46">
        <f>$T42*Adherence!BC10*Inputs!$C$6</f>
        <v>3318.183378548667</v>
      </c>
      <c r="AB59" s="46">
        <f>$T42*Adherence!BD10*Inputs!$C$6</f>
        <v>2577.8036441233744</v>
      </c>
      <c r="AC59" s="47">
        <f>$T42*Adherence!BE10*Inputs!$C$6</f>
        <v>1164.9169084540272</v>
      </c>
      <c r="AD59" s="45">
        <f>$U42*Adherence!BB10*Inputs!$C$6</f>
        <v>35.694980754433722</v>
      </c>
      <c r="AE59" s="46">
        <f>$U42*Adherence!BC10*Inputs!$C$6</f>
        <v>48.403116090459974</v>
      </c>
      <c r="AF59" s="46">
        <f>$U42*Adherence!BD10*Inputs!$C$6</f>
        <v>37.60302394724458</v>
      </c>
      <c r="AG59" s="47">
        <f>$U42*Adherence!BE10*Inputs!$C$6</f>
        <v>16.992915075206724</v>
      </c>
    </row>
    <row r="60" spans="2:33" x14ac:dyDescent="0.25">
      <c r="B60" s="1" t="s">
        <v>71</v>
      </c>
      <c r="C60" s="28">
        <f>C$32*Inputs!$D35</f>
        <v>0.46659517577548804</v>
      </c>
      <c r="D60" s="28">
        <f>D$32*Inputs!$D35</f>
        <v>0.32360063500514136</v>
      </c>
      <c r="E60" s="28">
        <f>E$32*Inputs!$D35</f>
        <v>0.32360063500514136</v>
      </c>
      <c r="F60" s="28">
        <f>F$32*Inputs!$D35</f>
        <v>0.32193674080403306</v>
      </c>
      <c r="G60" s="28">
        <f>G$32*Inputs!$D35</f>
        <v>0.32069553235049231</v>
      </c>
      <c r="H60" s="28">
        <f>H$32*Inputs!$D35</f>
        <v>0.32069553235049231</v>
      </c>
      <c r="I60" s="28">
        <f>I$32*Inputs!$D35</f>
        <v>0.30656377961353193</v>
      </c>
      <c r="J60" s="28">
        <f>J$32*Inputs!$D35</f>
        <v>0.30780498806707268</v>
      </c>
      <c r="K60" s="28">
        <f>K$32*Inputs!$D35</f>
        <v>0.47198674460341083</v>
      </c>
      <c r="L60" s="28">
        <f>L$32*Inputs!$D35</f>
        <v>0.47198674460341083</v>
      </c>
      <c r="M60" s="28">
        <f>M$32*Inputs!$D35</f>
        <v>0.40828671173518982</v>
      </c>
      <c r="N60" s="27">
        <f>N$32*Inputs!$D35</f>
        <v>0.30656377961353193</v>
      </c>
      <c r="O60" s="16">
        <f t="shared" si="31"/>
        <v>4.3503169995269362</v>
      </c>
      <c r="Q60" s="26" t="s">
        <v>35</v>
      </c>
      <c r="R60" s="45">
        <f>$R43*Adherence!BB11*Inputs!$C$6</f>
        <v>2040079.872301362</v>
      </c>
      <c r="S60" s="46">
        <f>$R43*Adherence!BC11*Inputs!$C$6</f>
        <v>3339474.6874672533</v>
      </c>
      <c r="T60" s="46">
        <f>$R43*Adherence!BD11*Inputs!$C$6</f>
        <v>2561485.7776706442</v>
      </c>
      <c r="U60" s="46">
        <f>$R43*Adherence!BE11*Inputs!$C$6</f>
        <v>1321273.4722259566</v>
      </c>
      <c r="V60" s="45">
        <f>$S43*Adherence!BB11*Inputs!$C$6</f>
        <v>94771.445385298779</v>
      </c>
      <c r="W60" s="46">
        <f>$S43*Adherence!BC11*Inputs!$C$6</f>
        <v>155134.53529732136</v>
      </c>
      <c r="X60" s="46">
        <f>$S43*Adherence!BD11*Inputs!$C$6</f>
        <v>118993.23785293098</v>
      </c>
      <c r="Y60" s="47">
        <f>$S43*Adherence!BE11*Inputs!$C$6</f>
        <v>61379.45793801199</v>
      </c>
      <c r="Z60" s="45">
        <f>$T43*Adherence!BB11*Inputs!$C$6</f>
        <v>1480.8038341452955</v>
      </c>
      <c r="AA60" s="46">
        <f>$T43*Adherence!BC11*Inputs!$C$6</f>
        <v>2423.9771140206499</v>
      </c>
      <c r="AB60" s="46">
        <f>$T43*Adherence!BD11*Inputs!$C$6</f>
        <v>1859.269341452049</v>
      </c>
      <c r="AC60" s="47">
        <f>$T43*Adherence!BE11*Inputs!$C$6</f>
        <v>959.05403028143883</v>
      </c>
      <c r="AD60" s="45">
        <f>$U43*Adherence!BB11*Inputs!$C$6</f>
        <v>20.860333502021771</v>
      </c>
      <c r="AE60" s="46">
        <f>$U43*Adherence!BC11*Inputs!$C$6</f>
        <v>34.146974659155028</v>
      </c>
      <c r="AF60" s="46">
        <f>$U43*Adherence!BD11*Inputs!$C$6</f>
        <v>26.191840970725483</v>
      </c>
      <c r="AG60" s="47">
        <f>$U43*Adherence!BE11*Inputs!$C$6</f>
        <v>13.510355968031554</v>
      </c>
    </row>
    <row r="61" spans="2:33" x14ac:dyDescent="0.25">
      <c r="B61" s="1" t="s">
        <v>72</v>
      </c>
      <c r="C61" s="28">
        <f>C$32*Inputs!$D36</f>
        <v>0.32993261285977687</v>
      </c>
      <c r="D61" s="28">
        <f>D$32*Inputs!$D36</f>
        <v>0.22882020340840845</v>
      </c>
      <c r="E61" s="28">
        <f>E$32*Inputs!$D36</f>
        <v>0.22882020340840845</v>
      </c>
      <c r="F61" s="28">
        <f>F$32*Inputs!$D36</f>
        <v>0.22764365253562779</v>
      </c>
      <c r="G61" s="28">
        <f>G$32*Inputs!$D36</f>
        <v>0.22676598562126307</v>
      </c>
      <c r="H61" s="28">
        <f>H$32*Inputs!$D36</f>
        <v>0.22676598562126307</v>
      </c>
      <c r="I61" s="28">
        <f>I$32*Inputs!$D36</f>
        <v>0.2167733274309068</v>
      </c>
      <c r="J61" s="28">
        <f>J$32*Inputs!$D36</f>
        <v>0.21765099434527152</v>
      </c>
      <c r="K61" s="28">
        <f>K$32*Inputs!$D36</f>
        <v>0.33374502773923509</v>
      </c>
      <c r="L61" s="28">
        <f>L$32*Inputs!$D36</f>
        <v>0.33374502773923509</v>
      </c>
      <c r="M61" s="27">
        <f>M$32*Inputs!$D36</f>
        <v>0.28870230253631002</v>
      </c>
      <c r="N61" s="27">
        <f>N$32*Inputs!$D36</f>
        <v>0.2167733274309068</v>
      </c>
      <c r="O61" s="16">
        <f t="shared" si="31"/>
        <v>3.0761386506766133</v>
      </c>
      <c r="Q61" s="26" t="s">
        <v>36</v>
      </c>
      <c r="R61" s="45">
        <f>$R44*Adherence!BB12*Inputs!$C$6</f>
        <v>1801319.2314359108</v>
      </c>
      <c r="S61" s="46">
        <f>$R44*Adherence!BC12*Inputs!$C$6</f>
        <v>3872960.2827889971</v>
      </c>
      <c r="T61" s="46">
        <f>$R44*Adherence!BD12*Inputs!$C$6</f>
        <v>2874829.3444812805</v>
      </c>
      <c r="U61" s="46">
        <f>$R44*Adherence!BE12*Inputs!$C$6</f>
        <v>1669084.9495399296</v>
      </c>
      <c r="V61" s="45">
        <f>$S44*Adherence!BB12*Inputs!$C$6</f>
        <v>53635.381775798312</v>
      </c>
      <c r="W61" s="46">
        <f>$S44*Adherence!BC12*Inputs!$C$6</f>
        <v>115319.76106439656</v>
      </c>
      <c r="X61" s="46">
        <f>$S44*Adherence!BD12*Inputs!$C$6</f>
        <v>85599.801934389936</v>
      </c>
      <c r="Y61" s="47">
        <f>$S44*Adherence!BE12*Inputs!$C$6</f>
        <v>49698.025159844241</v>
      </c>
      <c r="Z61" s="45">
        <f>$T44*Adherence!BB12*Inputs!$C$6</f>
        <v>838.05284024684988</v>
      </c>
      <c r="AA61" s="46">
        <f>$T44*Adherence!BC12*Inputs!$C$6</f>
        <v>1801.8712666311985</v>
      </c>
      <c r="AB61" s="46">
        <f>$T44*Adherence!BD12*Inputs!$C$6</f>
        <v>1337.4969052248446</v>
      </c>
      <c r="AC61" s="47">
        <f>$T44*Adherence!BE12*Inputs!$C$6</f>
        <v>776.53164312256729</v>
      </c>
      <c r="AD61" s="45">
        <f>$U44*Adherence!BB12*Inputs!$C$6</f>
        <v>11.239238628479281</v>
      </c>
      <c r="AE61" s="46">
        <f>$U44*Adherence!BC12*Inputs!$C$6</f>
        <v>24.165136338542926</v>
      </c>
      <c r="AF61" s="46">
        <f>$U44*Adherence!BD12*Inputs!$C$6</f>
        <v>17.937349723970549</v>
      </c>
      <c r="AG61" s="47">
        <f>$U44*Adherence!BE12*Inputs!$C$6</f>
        <v>10.41416963284667</v>
      </c>
    </row>
    <row r="62" spans="2:33" x14ac:dyDescent="0.25">
      <c r="B62" s="1" t="s">
        <v>73</v>
      </c>
      <c r="C62" s="28">
        <f>C$32*Inputs!$D37</f>
        <v>0.23329758788774402</v>
      </c>
      <c r="D62" s="28">
        <f>D$32*Inputs!$D37</f>
        <v>0.16180031750257068</v>
      </c>
      <c r="E62" s="28">
        <f>E$32*Inputs!$D37</f>
        <v>0.16180031750257068</v>
      </c>
      <c r="F62" s="28">
        <f>F$32*Inputs!$D37</f>
        <v>0.16096837040201653</v>
      </c>
      <c r="G62" s="28">
        <f>G$32*Inputs!$D37</f>
        <v>0.16034776617524615</v>
      </c>
      <c r="H62" s="28">
        <f>H$32*Inputs!$D37</f>
        <v>0.16034776617524615</v>
      </c>
      <c r="I62" s="28">
        <f>I$32*Inputs!$D37</f>
        <v>0.15328188980676596</v>
      </c>
      <c r="J62" s="28">
        <f>J$32*Inputs!$D37</f>
        <v>0.15390249403353634</v>
      </c>
      <c r="K62" s="28">
        <f>K$32*Inputs!$D37</f>
        <v>0.23599337230170542</v>
      </c>
      <c r="L62" s="27">
        <f>L$32*Inputs!$D37</f>
        <v>0.23599337230170542</v>
      </c>
      <c r="M62" s="27">
        <f>M$32*Inputs!$D37</f>
        <v>0.20414335586759491</v>
      </c>
      <c r="N62" s="27">
        <f>N$32*Inputs!$D37</f>
        <v>0.15328188980676596</v>
      </c>
      <c r="O62" s="16">
        <f t="shared" si="31"/>
        <v>2.1751584997634681</v>
      </c>
      <c r="Q62" s="26" t="s">
        <v>37</v>
      </c>
      <c r="R62" s="45">
        <f>$R45*Adherence!BB13*Inputs!$C$6</f>
        <v>1359178.4867847736</v>
      </c>
      <c r="S62" s="46">
        <f>$R45*Adherence!BC13*Inputs!$C$6</f>
        <v>4143975.1540371645</v>
      </c>
      <c r="T62" s="46">
        <f>$R45*Adherence!BD13*Inputs!$C$6</f>
        <v>2980261.794901385</v>
      </c>
      <c r="U62" s="46">
        <f>$R45*Adherence!BE13*Inputs!$C$6</f>
        <v>1915547.7942283391</v>
      </c>
      <c r="V62" s="45">
        <f>$S45*Adherence!BB13*Inputs!$C$6</f>
        <v>28119.414765341528</v>
      </c>
      <c r="W62" s="46">
        <f>$S45*Adherence!BC13*Inputs!$C$6</f>
        <v>85732.784374251962</v>
      </c>
      <c r="X62" s="46">
        <f>$S45*Adherence!BD13*Inputs!$C$6</f>
        <v>61657.257185092218</v>
      </c>
      <c r="Y62" s="47">
        <f>$S45*Adherence!BE13*Inputs!$C$6</f>
        <v>39629.88191209588</v>
      </c>
      <c r="Z62" s="45">
        <f>$T45*Adherence!BB13*Inputs!$C$6</f>
        <v>439.36585570846188</v>
      </c>
      <c r="AA62" s="46">
        <f>$T45*Adherence!BC13*Inputs!$C$6</f>
        <v>1339.5747558476885</v>
      </c>
      <c r="AB62" s="46">
        <f>$T45*Adherence!BD13*Inputs!$C$6</f>
        <v>963.39464351706704</v>
      </c>
      <c r="AC62" s="47">
        <f>$T45*Adherence!BE13*Inputs!$C$6</f>
        <v>619.21690487649892</v>
      </c>
      <c r="AD62" s="45">
        <f>$U45*Adherence!BB13*Inputs!$C$6</f>
        <v>5.4706342168309234</v>
      </c>
      <c r="AE62" s="46">
        <f>$U45*Adherence!BC13*Inputs!$C$6</f>
        <v>16.679319524105107</v>
      </c>
      <c r="AF62" s="46">
        <f>$U45*Adherence!BD13*Inputs!$C$6</f>
        <v>11.995423933518449</v>
      </c>
      <c r="AG62" s="47">
        <f>$U45*Adherence!BE13*Inputs!$C$6</f>
        <v>7.709996449303679</v>
      </c>
    </row>
    <row r="63" spans="2:33" x14ac:dyDescent="0.25">
      <c r="B63" s="1" t="s">
        <v>74</v>
      </c>
      <c r="C63" s="28">
        <f>C$32*Inputs!$D38</f>
        <v>0.16496630642988844</v>
      </c>
      <c r="D63" s="28">
        <f>D$32*Inputs!$D38</f>
        <v>0.11441010170420422</v>
      </c>
      <c r="E63" s="28">
        <f>E$32*Inputs!$D38</f>
        <v>0.11441010170420422</v>
      </c>
      <c r="F63" s="28">
        <f>F$32*Inputs!$D38</f>
        <v>0.1138218262678139</v>
      </c>
      <c r="G63" s="28">
        <f>G$32*Inputs!$D38</f>
        <v>0.11338299281063154</v>
      </c>
      <c r="H63" s="28">
        <f>H$32*Inputs!$D38</f>
        <v>0.11338299281063154</v>
      </c>
      <c r="I63" s="28">
        <f>I$32*Inputs!$D38</f>
        <v>0.1083866637154534</v>
      </c>
      <c r="J63" s="28">
        <f>J$32*Inputs!$D38</f>
        <v>0.10882549717263576</v>
      </c>
      <c r="K63" s="27">
        <f>K$32*Inputs!$D38</f>
        <v>0.16687251386961754</v>
      </c>
      <c r="L63" s="27">
        <f>L$32*Inputs!$D38</f>
        <v>0.16687251386961754</v>
      </c>
      <c r="M63" s="27">
        <f>M$32*Inputs!$D38</f>
        <v>0.14435115126815501</v>
      </c>
      <c r="N63" s="27">
        <f>N$32*Inputs!$D38</f>
        <v>0.1083866637154534</v>
      </c>
      <c r="O63" s="16">
        <f t="shared" si="31"/>
        <v>1.5380693253383066</v>
      </c>
      <c r="Q63" s="26" t="s">
        <v>38</v>
      </c>
      <c r="R63" s="48">
        <f>$R46*Adherence!BB14*Inputs!$C$6</f>
        <v>667612.27699650906</v>
      </c>
      <c r="S63" s="49">
        <f>$R46*Adherence!BC14*Inputs!$C$6</f>
        <v>4229114.2135927416</v>
      </c>
      <c r="T63" s="49">
        <f>$R46*Adherence!BD14*Inputs!$C$6</f>
        <v>2839134.0561975576</v>
      </c>
      <c r="U63" s="49">
        <f>$R46*Adherence!BE14*Inputs!$C$6</f>
        <v>2000234.4911149126</v>
      </c>
      <c r="V63" s="48">
        <f>$S46*Adherence!BB14*Inputs!$C$6</f>
        <v>10431.441828070469</v>
      </c>
      <c r="W63" s="49">
        <f>$S46*Adherence!BC14*Inputs!$C$6</f>
        <v>66079.909587386675</v>
      </c>
      <c r="X63" s="49">
        <f>$S46*Adherence!BD14*Inputs!$C$6</f>
        <v>44361.469628086881</v>
      </c>
      <c r="Y63" s="50">
        <f>$S46*Adherence!BE14*Inputs!$C$6</f>
        <v>31253.663923670549</v>
      </c>
      <c r="Z63" s="48">
        <f>$T46*Adherence!BB14*Inputs!$C$6</f>
        <v>162.9912785636013</v>
      </c>
      <c r="AA63" s="49">
        <f>$T46*Adherence!BC14*Inputs!$C$6</f>
        <v>1032.4985873029182</v>
      </c>
      <c r="AB63" s="49">
        <f>$T46*Adherence!BD14*Inputs!$C$6</f>
        <v>693.14796293885854</v>
      </c>
      <c r="AC63" s="50">
        <f>$T46*Adherence!BE14*Inputs!$C$6</f>
        <v>488.33849880735295</v>
      </c>
      <c r="AD63" s="48">
        <f>$U46*Adherence!BB14*Inputs!$C$6</f>
        <v>1.6901465868251027</v>
      </c>
      <c r="AE63" s="49">
        <f>$U46*Adherence!BC14*Inputs!$C$6</f>
        <v>10.706548096380612</v>
      </c>
      <c r="AF63" s="49">
        <f>$U46*Adherence!BD14*Inputs!$C$6</f>
        <v>7.1876340504240037</v>
      </c>
      <c r="AG63" s="50">
        <f>$U46*Adherence!BE14*Inputs!$C$6</f>
        <v>5.0638516014369115</v>
      </c>
    </row>
    <row r="64" spans="2:33" x14ac:dyDescent="0.25">
      <c r="B64" s="1" t="s">
        <v>75</v>
      </c>
      <c r="C64" s="28">
        <f>C$32*Inputs!$D39</f>
        <v>0.11664879394387208</v>
      </c>
      <c r="D64" s="28">
        <f>D$32*Inputs!$D39</f>
        <v>8.0900158751285395E-2</v>
      </c>
      <c r="E64" s="28">
        <f>E$32*Inputs!$D39</f>
        <v>8.0900158751285395E-2</v>
      </c>
      <c r="F64" s="28">
        <f>F$32*Inputs!$D39</f>
        <v>8.0484185201008307E-2</v>
      </c>
      <c r="G64" s="28">
        <f>G$32*Inputs!$D39</f>
        <v>8.0173883087623132E-2</v>
      </c>
      <c r="H64" s="28">
        <f>H$32*Inputs!$D39</f>
        <v>8.0173883087623132E-2</v>
      </c>
      <c r="I64" s="28">
        <f>I$32*Inputs!$D39</f>
        <v>7.6640944903383024E-2</v>
      </c>
      <c r="J64" s="27">
        <f>J$32*Inputs!$D39</f>
        <v>7.6951247016768212E-2</v>
      </c>
      <c r="K64" s="27">
        <f>K$32*Inputs!$D39</f>
        <v>0.11799668615085278</v>
      </c>
      <c r="L64" s="27">
        <f>L$32*Inputs!$D39</f>
        <v>0.11799668615085278</v>
      </c>
      <c r="M64" s="27">
        <f>M$32*Inputs!$D39</f>
        <v>0.10207167793379751</v>
      </c>
      <c r="N64" s="27">
        <f>N$32*Inputs!$D39</f>
        <v>7.6640944903383024E-2</v>
      </c>
      <c r="O64" s="16">
        <f t="shared" si="31"/>
        <v>1.0875792498817347</v>
      </c>
    </row>
    <row r="65" spans="2:18" x14ac:dyDescent="0.25">
      <c r="B65" s="1" t="s">
        <v>76</v>
      </c>
      <c r="C65" s="28">
        <f>C$32*Inputs!$D40</f>
        <v>8.2483153214944246E-2</v>
      </c>
      <c r="D65" s="28">
        <f>D$32*Inputs!$D40</f>
        <v>5.7205050852102132E-2</v>
      </c>
      <c r="E65" s="28">
        <f>E$32*Inputs!$D40</f>
        <v>5.7205050852102132E-2</v>
      </c>
      <c r="F65" s="28">
        <f>F$32*Inputs!$D40</f>
        <v>5.6910913133906969E-2</v>
      </c>
      <c r="G65" s="28">
        <f>G$32*Inputs!$D40</f>
        <v>5.6691496405315789E-2</v>
      </c>
      <c r="H65" s="28">
        <f>H$32*Inputs!$D40</f>
        <v>5.6691496405315789E-2</v>
      </c>
      <c r="I65" s="27">
        <f>I$32*Inputs!$D40</f>
        <v>5.419333185772672E-2</v>
      </c>
      <c r="J65" s="27">
        <f>J$32*Inputs!$D40</f>
        <v>5.4412748586317901E-2</v>
      </c>
      <c r="K65" s="27">
        <f>K$32*Inputs!$D40</f>
        <v>8.34362569348088E-2</v>
      </c>
      <c r="L65" s="27">
        <f>L$32*Inputs!$D40</f>
        <v>8.34362569348088E-2</v>
      </c>
      <c r="M65" s="27">
        <f>M$32*Inputs!$D40</f>
        <v>7.2175575634077532E-2</v>
      </c>
      <c r="N65" s="27">
        <f>N$32*Inputs!$D40</f>
        <v>5.419333185772672E-2</v>
      </c>
      <c r="O65" s="16">
        <f t="shared" si="31"/>
        <v>0.76903466266915343</v>
      </c>
      <c r="Q65" s="41" t="s">
        <v>102</v>
      </c>
      <c r="R65" s="44" t="s">
        <v>103</v>
      </c>
    </row>
    <row r="66" spans="2:18" x14ac:dyDescent="0.25">
      <c r="B66" s="1" t="s">
        <v>77</v>
      </c>
      <c r="C66" s="28">
        <f>C$32*Inputs!$D41</f>
        <v>5.8324396971936039E-2</v>
      </c>
      <c r="D66" s="28">
        <f>D$32*Inputs!$D41</f>
        <v>4.0450079375642697E-2</v>
      </c>
      <c r="E66" s="28">
        <f>E$32*Inputs!$D41</f>
        <v>4.0450079375642697E-2</v>
      </c>
      <c r="F66" s="28">
        <f>F$32*Inputs!$D41</f>
        <v>4.0242092600504153E-2</v>
      </c>
      <c r="G66" s="28">
        <f>G$32*Inputs!$D41</f>
        <v>4.0086941543811566E-2</v>
      </c>
      <c r="H66" s="27">
        <f>H$32*Inputs!$D41</f>
        <v>4.0086941543811566E-2</v>
      </c>
      <c r="I66" s="27">
        <f>I$32*Inputs!$D41</f>
        <v>3.8320472451691512E-2</v>
      </c>
      <c r="J66" s="27">
        <f>J$32*Inputs!$D41</f>
        <v>3.8475623508384106E-2</v>
      </c>
      <c r="K66" s="27">
        <f>K$32*Inputs!$D41</f>
        <v>5.8998343075426389E-2</v>
      </c>
      <c r="L66" s="27">
        <f>L$32*Inputs!$D41</f>
        <v>5.8998343075426389E-2</v>
      </c>
      <c r="M66" s="27">
        <f>M$32*Inputs!$D41</f>
        <v>5.1035838966898756E-2</v>
      </c>
      <c r="N66" s="27">
        <f>N$32*Inputs!$D41</f>
        <v>3.8320472451691512E-2</v>
      </c>
      <c r="O66" s="16">
        <f t="shared" si="31"/>
        <v>0.54378962494086736</v>
      </c>
      <c r="Q66" s="1">
        <v>2014</v>
      </c>
      <c r="R66" s="11">
        <f>SUM(R52:R63)</f>
        <v>24534633.027810995</v>
      </c>
    </row>
    <row r="67" spans="2:18" x14ac:dyDescent="0.25">
      <c r="B67" s="1" t="s">
        <v>78</v>
      </c>
      <c r="C67" s="28">
        <f>C$32*Inputs!$D42</f>
        <v>4.1241576607472123E-2</v>
      </c>
      <c r="D67" s="28">
        <f>D$32*Inputs!$D42</f>
        <v>2.8602525426051066E-2</v>
      </c>
      <c r="E67" s="28">
        <f>E$32*Inputs!$D42</f>
        <v>2.8602525426051066E-2</v>
      </c>
      <c r="F67" s="28">
        <f>F$32*Inputs!$D42</f>
        <v>2.8455456566953485E-2</v>
      </c>
      <c r="G67" s="27">
        <f>G$32*Inputs!$D42</f>
        <v>2.8345748202657894E-2</v>
      </c>
      <c r="H67" s="27">
        <f>H$32*Inputs!$D42</f>
        <v>2.8345748202657894E-2</v>
      </c>
      <c r="I67" s="27">
        <f>I$32*Inputs!$D42</f>
        <v>2.709666592886336E-2</v>
      </c>
      <c r="J67" s="27">
        <f>J$32*Inputs!$D42</f>
        <v>2.720637429315895E-2</v>
      </c>
      <c r="K67" s="27">
        <f>K$32*Inputs!$D42</f>
        <v>4.17181284674044E-2</v>
      </c>
      <c r="L67" s="27">
        <f>L$32*Inputs!$D42</f>
        <v>4.17181284674044E-2</v>
      </c>
      <c r="M67" s="27">
        <f>M$32*Inputs!$D42</f>
        <v>3.6087787817038766E-2</v>
      </c>
      <c r="N67" s="27">
        <f>N$32*Inputs!$D42</f>
        <v>2.709666592886336E-2</v>
      </c>
      <c r="O67" s="16">
        <f t="shared" si="31"/>
        <v>0.38451733133457672</v>
      </c>
      <c r="Q67" s="1">
        <v>2015</v>
      </c>
      <c r="R67" s="11">
        <f>SUM(S52:S63,V52:V63)</f>
        <v>41973984.079112768</v>
      </c>
    </row>
    <row r="68" spans="2:18" x14ac:dyDescent="0.25">
      <c r="B68" s="1" t="s">
        <v>79</v>
      </c>
      <c r="C68" s="28">
        <f>C$32*Inputs!$D43</f>
        <v>2.9162198485968033E-2</v>
      </c>
      <c r="D68" s="28">
        <f>D$32*Inputs!$D43</f>
        <v>2.0225039687821359E-2</v>
      </c>
      <c r="E68" s="28">
        <f>E$32*Inputs!$D43</f>
        <v>2.0225039687821359E-2</v>
      </c>
      <c r="F68" s="27">
        <f>F$32*Inputs!$D43</f>
        <v>2.0121046300252091E-2</v>
      </c>
      <c r="G68" s="27">
        <f>G$32*Inputs!$D43</f>
        <v>2.0043470771905793E-2</v>
      </c>
      <c r="H68" s="27">
        <f>H$32*Inputs!$D43</f>
        <v>2.0043470771905793E-2</v>
      </c>
      <c r="I68" s="27">
        <f>I$32*Inputs!$D43</f>
        <v>1.9160236225845766E-2</v>
      </c>
      <c r="J68" s="27">
        <f>J$32*Inputs!$D43</f>
        <v>1.923781175419206E-2</v>
      </c>
      <c r="K68" s="27">
        <f>K$32*Inputs!$D43</f>
        <v>2.9499171537713212E-2</v>
      </c>
      <c r="L68" s="27">
        <f>L$32*Inputs!$D43</f>
        <v>2.9499171537713212E-2</v>
      </c>
      <c r="M68" s="27">
        <f>M$32*Inputs!$D43</f>
        <v>2.5517919483449392E-2</v>
      </c>
      <c r="N68" s="27">
        <f>N$32*Inputs!$D43</f>
        <v>1.9160236225845766E-2</v>
      </c>
      <c r="O68" s="16">
        <f t="shared" si="31"/>
        <v>0.27189481247043384</v>
      </c>
      <c r="Q68" s="1">
        <v>2016</v>
      </c>
      <c r="R68" s="11">
        <f>SUM(T52:T63,W52:W63,Z52:Z63)</f>
        <v>31975102.385470539</v>
      </c>
    </row>
    <row r="69" spans="2:18" x14ac:dyDescent="0.25">
      <c r="B69" s="1" t="s">
        <v>80</v>
      </c>
      <c r="C69" s="28">
        <f>C$32*Inputs!$D44</f>
        <v>2.0620788303736069E-2</v>
      </c>
      <c r="D69" s="28">
        <f>D$32*Inputs!$D44</f>
        <v>1.4301262713025538E-2</v>
      </c>
      <c r="E69" s="27">
        <f>E$32*Inputs!$D44</f>
        <v>1.4301262713025538E-2</v>
      </c>
      <c r="F69" s="27">
        <f>F$32*Inputs!$D44</f>
        <v>1.4227728283476748E-2</v>
      </c>
      <c r="G69" s="27">
        <f>G$32*Inputs!$D44</f>
        <v>1.4172874101328952E-2</v>
      </c>
      <c r="H69" s="27">
        <f>H$32*Inputs!$D44</f>
        <v>1.4172874101328952E-2</v>
      </c>
      <c r="I69" s="27">
        <f>I$32*Inputs!$D44</f>
        <v>1.3548332964431685E-2</v>
      </c>
      <c r="J69" s="27">
        <f>J$32*Inputs!$D44</f>
        <v>1.360318714657948E-2</v>
      </c>
      <c r="K69" s="27">
        <f>K$32*Inputs!$D44</f>
        <v>2.085906423370221E-2</v>
      </c>
      <c r="L69" s="27">
        <f>L$32*Inputs!$D44</f>
        <v>2.085906423370221E-2</v>
      </c>
      <c r="M69" s="27">
        <f>M$32*Inputs!$D44</f>
        <v>1.804389390851939E-2</v>
      </c>
      <c r="N69" s="27">
        <f>N$32*Inputs!$D44</f>
        <v>1.3548332964431685E-2</v>
      </c>
      <c r="O69" s="16">
        <f t="shared" si="31"/>
        <v>0.19225866566728844</v>
      </c>
      <c r="Q69" s="1" t="s">
        <v>111</v>
      </c>
      <c r="R69" s="11">
        <f>SUM(U52:U63,X52:Y63,AA52:AC63,AD52:AG63)</f>
        <v>16967659.488385756</v>
      </c>
    </row>
    <row r="70" spans="2:18" x14ac:dyDescent="0.25">
      <c r="B70" s="1" t="s">
        <v>81</v>
      </c>
      <c r="C70" s="28">
        <f>C$32*Inputs!$D45</f>
        <v>1.4581099242984017E-2</v>
      </c>
      <c r="D70" s="27">
        <f>D$32*Inputs!$D45</f>
        <v>1.011251984391068E-2</v>
      </c>
      <c r="E70" s="27">
        <f>E$32*Inputs!$D45</f>
        <v>1.011251984391068E-2</v>
      </c>
      <c r="F70" s="27">
        <f>F$32*Inputs!$D45</f>
        <v>1.0060523150126045E-2</v>
      </c>
      <c r="G70" s="27">
        <f>G$32*Inputs!$D45</f>
        <v>1.0021735385952897E-2</v>
      </c>
      <c r="H70" s="27">
        <f>H$32*Inputs!$D45</f>
        <v>1.0021735385952897E-2</v>
      </c>
      <c r="I70" s="27">
        <f>I$32*Inputs!$D45</f>
        <v>9.5801181129228832E-3</v>
      </c>
      <c r="J70" s="27">
        <f>J$32*Inputs!$D45</f>
        <v>9.61890587709603E-3</v>
      </c>
      <c r="K70" s="27">
        <f>K$32*Inputs!$D45</f>
        <v>1.4749585768856606E-2</v>
      </c>
      <c r="L70" s="27">
        <f>L$32*Inputs!$D45</f>
        <v>1.4749585768856606E-2</v>
      </c>
      <c r="M70" s="27">
        <f>M$32*Inputs!$D45</f>
        <v>1.2758959741724696E-2</v>
      </c>
      <c r="N70" s="27">
        <f>N$32*Inputs!$D45</f>
        <v>9.5801181129228832E-3</v>
      </c>
      <c r="O70" s="16">
        <f t="shared" si="31"/>
        <v>0.13594740623521692</v>
      </c>
      <c r="Q70" s="51" t="s">
        <v>104</v>
      </c>
      <c r="R70" s="52">
        <f>SUM(R66:R69)</f>
        <v>115451378.98078005</v>
      </c>
    </row>
    <row r="71" spans="2:18" x14ac:dyDescent="0.25">
      <c r="B71" s="1" t="s">
        <v>82</v>
      </c>
      <c r="C71" s="27">
        <f>C$32*Inputs!$D46</f>
        <v>1.0310394151868034E-2</v>
      </c>
      <c r="D71" s="27">
        <f>D$32*Inputs!$D46</f>
        <v>7.1506313565127691E-3</v>
      </c>
      <c r="E71" s="27">
        <f>E$32*Inputs!$D46</f>
        <v>7.1506313565127691E-3</v>
      </c>
      <c r="F71" s="27">
        <f>F$32*Inputs!$D46</f>
        <v>7.1138641417383738E-3</v>
      </c>
      <c r="G71" s="27">
        <f>G$32*Inputs!$D46</f>
        <v>7.0864370506644762E-3</v>
      </c>
      <c r="H71" s="27">
        <f>H$32*Inputs!$D46</f>
        <v>7.0864370506644762E-3</v>
      </c>
      <c r="I71" s="27">
        <f>I$32*Inputs!$D46</f>
        <v>6.7741664822158426E-3</v>
      </c>
      <c r="J71" s="27">
        <f>J$32*Inputs!$D46</f>
        <v>6.8015935732897402E-3</v>
      </c>
      <c r="K71" s="27">
        <f>K$32*Inputs!$D46</f>
        <v>1.0429532116851105E-2</v>
      </c>
      <c r="L71" s="27">
        <f>L$32*Inputs!$D46</f>
        <v>1.0429532116851105E-2</v>
      </c>
      <c r="M71" s="27">
        <f>M$32*Inputs!$D46</f>
        <v>9.021946954259695E-3</v>
      </c>
      <c r="N71" s="27">
        <f>N$32*Inputs!$D46</f>
        <v>6.7741664822158426E-3</v>
      </c>
      <c r="O71" s="16">
        <f t="shared" si="31"/>
        <v>9.6129332833644221E-2</v>
      </c>
    </row>
    <row r="72" spans="2:18" x14ac:dyDescent="0.25">
      <c r="B72" s="1" t="s">
        <v>83</v>
      </c>
      <c r="C72" s="27">
        <f>C$32*Inputs!$D47</f>
        <v>7.2905496214920127E-3</v>
      </c>
      <c r="D72" s="27">
        <f>D$32*Inputs!$D47</f>
        <v>5.0562599219553424E-3</v>
      </c>
      <c r="E72" s="27">
        <f>E$32*Inputs!$D47</f>
        <v>5.0562599219553424E-3</v>
      </c>
      <c r="F72" s="27">
        <f>F$32*Inputs!$D47</f>
        <v>5.0302615750630253E-3</v>
      </c>
      <c r="G72" s="27">
        <f>G$32*Inputs!$D47</f>
        <v>5.010867692976451E-3</v>
      </c>
      <c r="H72" s="27">
        <f>H$32*Inputs!$D47</f>
        <v>5.010867692976451E-3</v>
      </c>
      <c r="I72" s="27">
        <f>I$32*Inputs!$D47</f>
        <v>4.7900590564614442E-3</v>
      </c>
      <c r="J72" s="27">
        <f>J$32*Inputs!$D47</f>
        <v>4.8094529385480176E-3</v>
      </c>
      <c r="K72" s="27">
        <f>K$32*Inputs!$D47</f>
        <v>7.3747928844283064E-3</v>
      </c>
      <c r="L72" s="27">
        <f>L$32*Inputs!$D47</f>
        <v>7.3747928844283064E-3</v>
      </c>
      <c r="M72" s="27">
        <f>M$32*Inputs!$D47</f>
        <v>6.3794798708623514E-3</v>
      </c>
      <c r="N72" s="27">
        <f>N$32*Inputs!$D47</f>
        <v>4.7900590564614442E-3</v>
      </c>
      <c r="O72" s="16">
        <f t="shared" si="31"/>
        <v>6.7973703117608489E-2</v>
      </c>
    </row>
    <row r="73" spans="2:18" x14ac:dyDescent="0.25">
      <c r="B73" s="1" t="s">
        <v>84</v>
      </c>
      <c r="C73" s="27">
        <f>C$32*Inputs!$D48</f>
        <v>5.1551970759340197E-3</v>
      </c>
      <c r="D73" s="27">
        <f>D$32*Inputs!$D48</f>
        <v>3.5753156782563859E-3</v>
      </c>
      <c r="E73" s="27">
        <f>E$32*Inputs!$D48</f>
        <v>3.5753156782563859E-3</v>
      </c>
      <c r="F73" s="27">
        <f>F$32*Inputs!$D48</f>
        <v>3.5569320708691882E-3</v>
      </c>
      <c r="G73" s="27">
        <f>G$32*Inputs!$D48</f>
        <v>3.5432185253322394E-3</v>
      </c>
      <c r="H73" s="27">
        <f>H$32*Inputs!$D48</f>
        <v>3.5432185253322394E-3</v>
      </c>
      <c r="I73" s="27">
        <f>I$32*Inputs!$D48</f>
        <v>3.3870832411079226E-3</v>
      </c>
      <c r="J73" s="27">
        <f>J$32*Inputs!$D48</f>
        <v>3.4007967866448714E-3</v>
      </c>
      <c r="K73" s="27">
        <f>K$32*Inputs!$D48</f>
        <v>5.2147660584255543E-3</v>
      </c>
      <c r="L73" s="27">
        <f>L$32*Inputs!$D48</f>
        <v>5.2147660584255543E-3</v>
      </c>
      <c r="M73" s="27">
        <f>M$32*Inputs!$D48</f>
        <v>4.5109734771298492E-3</v>
      </c>
      <c r="N73" s="27">
        <f>N$32*Inputs!$D48</f>
        <v>3.3870832411079226E-3</v>
      </c>
      <c r="O73" s="16">
        <f t="shared" si="31"/>
        <v>4.8064666416822131E-2</v>
      </c>
    </row>
    <row r="74" spans="2:18" x14ac:dyDescent="0.25">
      <c r="B74" s="19" t="s">
        <v>39</v>
      </c>
      <c r="C74" s="15">
        <f>SUM(C35:C73)</f>
        <v>9227.9511633006605</v>
      </c>
      <c r="D74" s="15">
        <f t="shared" ref="D74:O74" si="33">SUM(D35:D73)</f>
        <v>6399.9179830298644</v>
      </c>
      <c r="E74" s="15">
        <f t="shared" si="33"/>
        <v>6399.9179830298644</v>
      </c>
      <c r="F74" s="15">
        <f t="shared" si="33"/>
        <v>6367.0107966167016</v>
      </c>
      <c r="G74" s="15">
        <f t="shared" si="33"/>
        <v>6342.4631553477711</v>
      </c>
      <c r="H74" s="15">
        <f t="shared" si="33"/>
        <v>6342.4631553477711</v>
      </c>
      <c r="I74" s="15">
        <f t="shared" si="33"/>
        <v>6062.9765020797176</v>
      </c>
      <c r="J74" s="15">
        <f t="shared" si="33"/>
        <v>6087.5241433486453</v>
      </c>
      <c r="K74" s="15">
        <f t="shared" si="33"/>
        <v>9334.5813567118021</v>
      </c>
      <c r="L74" s="15">
        <f t="shared" si="33"/>
        <v>9334.5813567118021</v>
      </c>
      <c r="M74" s="15">
        <f t="shared" si="33"/>
        <v>8074.7723768362084</v>
      </c>
      <c r="N74" s="15">
        <f t="shared" si="33"/>
        <v>6062.9765020797176</v>
      </c>
      <c r="O74" s="16">
        <f t="shared" si="33"/>
        <v>86037.136474440515</v>
      </c>
    </row>
  </sheetData>
  <mergeCells count="4">
    <mergeCell ref="R50:U50"/>
    <mergeCell ref="V50:Y50"/>
    <mergeCell ref="Z50:AC50"/>
    <mergeCell ref="AD50:AG5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6"/>
  <sheetViews>
    <sheetView topLeftCell="A8" workbookViewId="0">
      <selection activeCell="B13" sqref="B13:C21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15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15" x14ac:dyDescent="0.25">
      <c r="B3" t="s">
        <v>112</v>
      </c>
      <c r="C3" s="11">
        <v>0</v>
      </c>
      <c r="D3" s="11">
        <v>170130</v>
      </c>
      <c r="E3" s="11">
        <v>1048068</v>
      </c>
      <c r="F3" s="11">
        <v>85858</v>
      </c>
      <c r="G3" s="11">
        <v>84272</v>
      </c>
      <c r="H3" s="11">
        <v>431720</v>
      </c>
      <c r="I3" s="11">
        <v>0</v>
      </c>
      <c r="J3" s="11">
        <v>0</v>
      </c>
      <c r="K3" s="11">
        <v>1048086</v>
      </c>
      <c r="L3" s="11">
        <v>170130</v>
      </c>
      <c r="M3" s="11">
        <v>753140</v>
      </c>
      <c r="N3" s="11">
        <v>0</v>
      </c>
      <c r="O3" s="12">
        <f t="shared" ref="O3:O5" si="0">SUM(C3:N3)</f>
        <v>3791404</v>
      </c>
    </row>
    <row r="4" spans="2:15" x14ac:dyDescent="0.25">
      <c r="B4" t="s">
        <v>113</v>
      </c>
      <c r="C4" s="11">
        <v>0</v>
      </c>
      <c r="D4" s="11">
        <v>0</v>
      </c>
      <c r="E4" s="11">
        <v>384951.6666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384951.6666</v>
      </c>
      <c r="L4" s="11">
        <v>0</v>
      </c>
      <c r="M4" s="11">
        <v>384951.6666</v>
      </c>
      <c r="N4" s="11">
        <v>0</v>
      </c>
      <c r="O4" s="12">
        <f t="shared" si="0"/>
        <v>1154854.9997999999</v>
      </c>
    </row>
    <row r="5" spans="2:15" ht="15.75" customHeight="1" x14ac:dyDescent="0.25">
      <c r="B5" t="s">
        <v>114</v>
      </c>
      <c r="C5" s="11">
        <f>500000/6</f>
        <v>83333.333333333328</v>
      </c>
      <c r="D5" s="11">
        <f t="shared" ref="D5:H5" si="1">500000/6</f>
        <v>83333.333333333328</v>
      </c>
      <c r="E5" s="11">
        <f t="shared" si="1"/>
        <v>83333.333333333328</v>
      </c>
      <c r="F5" s="11">
        <f t="shared" si="1"/>
        <v>83333.333333333328</v>
      </c>
      <c r="G5" s="11">
        <f t="shared" si="1"/>
        <v>83333.333333333328</v>
      </c>
      <c r="H5" s="11">
        <f t="shared" si="1"/>
        <v>83333.333333333328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f t="shared" si="0"/>
        <v>499999.99999999994</v>
      </c>
    </row>
    <row r="6" spans="2:15" x14ac:dyDescent="0.25">
      <c r="B6" t="s">
        <v>106</v>
      </c>
      <c r="C6" s="11">
        <v>1297596.07</v>
      </c>
      <c r="D6" s="11">
        <v>545673.06999999995</v>
      </c>
      <c r="E6" s="11">
        <v>545673.06999999995</v>
      </c>
      <c r="F6" s="11">
        <v>845673.07</v>
      </c>
      <c r="G6" s="11">
        <v>845673.07</v>
      </c>
      <c r="H6" s="11">
        <v>845673.07</v>
      </c>
      <c r="I6" s="11">
        <v>845673.07</v>
      </c>
      <c r="J6" s="11">
        <v>845673.07</v>
      </c>
      <c r="K6" s="11">
        <v>845673.07</v>
      </c>
      <c r="L6" s="11">
        <v>845673.07</v>
      </c>
      <c r="M6" s="11">
        <v>845673.07</v>
      </c>
      <c r="N6" s="11">
        <v>845673.07</v>
      </c>
      <c r="O6" s="12">
        <f>SUM(C6:N6)</f>
        <v>9999999.8400000017</v>
      </c>
    </row>
    <row r="7" spans="2:15" ht="15.75" customHeight="1" x14ac:dyDescent="0.25">
      <c r="B7" t="s">
        <v>107</v>
      </c>
      <c r="C7" s="11">
        <v>290000</v>
      </c>
      <c r="D7" s="11">
        <v>290000</v>
      </c>
      <c r="E7" s="11">
        <v>290000</v>
      </c>
      <c r="F7" s="11">
        <v>255000</v>
      </c>
      <c r="G7" s="11">
        <v>255000</v>
      </c>
      <c r="H7" s="11">
        <v>255000</v>
      </c>
      <c r="I7" s="11">
        <v>255000</v>
      </c>
      <c r="J7" s="11">
        <v>280000</v>
      </c>
      <c r="K7" s="11">
        <v>330000</v>
      </c>
      <c r="L7" s="11">
        <v>330000</v>
      </c>
      <c r="M7" s="11">
        <v>420000</v>
      </c>
      <c r="N7" s="11">
        <v>250000</v>
      </c>
      <c r="O7" s="12">
        <f t="shared" ref="O7:O11" si="2">SUM(C7:N7)</f>
        <v>3500000</v>
      </c>
    </row>
    <row r="8" spans="2:15" x14ac:dyDescent="0.25">
      <c r="B8" t="s">
        <v>108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>
        <v>500000</v>
      </c>
      <c r="L8" s="11">
        <v>500000</v>
      </c>
      <c r="M8" s="11">
        <v>0</v>
      </c>
      <c r="N8" s="11">
        <v>0</v>
      </c>
      <c r="O8" s="12">
        <f t="shared" si="2"/>
        <v>1000000</v>
      </c>
    </row>
    <row r="9" spans="2:15" x14ac:dyDescent="0.25">
      <c r="B9" t="s">
        <v>109</v>
      </c>
      <c r="C9" s="11">
        <f>1000000/6</f>
        <v>166666.66666666666</v>
      </c>
      <c r="D9" s="11">
        <f t="shared" ref="D9:H9" si="3">1000000/6</f>
        <v>166666.66666666666</v>
      </c>
      <c r="E9" s="11">
        <f t="shared" si="3"/>
        <v>166666.66666666666</v>
      </c>
      <c r="F9" s="11">
        <f t="shared" si="3"/>
        <v>166666.66666666666</v>
      </c>
      <c r="G9" s="11">
        <f t="shared" si="3"/>
        <v>166666.66666666666</v>
      </c>
      <c r="H9" s="11">
        <f t="shared" si="3"/>
        <v>166666.66666666666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f t="shared" si="2"/>
        <v>999999.99999999988</v>
      </c>
    </row>
    <row r="10" spans="2:15" x14ac:dyDescent="0.25">
      <c r="B10" t="s">
        <v>110</v>
      </c>
      <c r="C10" s="11">
        <v>890000</v>
      </c>
      <c r="D10" s="11">
        <v>800000</v>
      </c>
      <c r="E10" s="11">
        <v>800000</v>
      </c>
      <c r="F10" s="11">
        <v>625000</v>
      </c>
      <c r="G10" s="11">
        <v>620000</v>
      </c>
      <c r="H10" s="11">
        <v>620000</v>
      </c>
      <c r="I10" s="11">
        <v>620000</v>
      </c>
      <c r="J10" s="11">
        <v>625000</v>
      </c>
      <c r="K10" s="11">
        <v>905000</v>
      </c>
      <c r="L10" s="11">
        <v>905000</v>
      </c>
      <c r="M10" s="11">
        <v>970000</v>
      </c>
      <c r="N10" s="11">
        <v>620000</v>
      </c>
      <c r="O10" s="12">
        <f t="shared" si="2"/>
        <v>9000000</v>
      </c>
    </row>
    <row r="11" spans="2:15" x14ac:dyDescent="0.25">
      <c r="B11" s="13" t="s">
        <v>39</v>
      </c>
      <c r="C11" s="12">
        <f>SUM(C3:C10)</f>
        <v>2727596.0700000003</v>
      </c>
      <c r="D11" s="12">
        <f t="shared" ref="D11:N11" si="4">SUM(D3:D10)</f>
        <v>2055803.07</v>
      </c>
      <c r="E11" s="12">
        <f t="shared" si="4"/>
        <v>3318692.7365999999</v>
      </c>
      <c r="F11" s="12">
        <f t="shared" si="4"/>
        <v>2061531.07</v>
      </c>
      <c r="G11" s="12">
        <f t="shared" si="4"/>
        <v>2054945.07</v>
      </c>
      <c r="H11" s="12">
        <f t="shared" si="4"/>
        <v>2402393.0700000003</v>
      </c>
      <c r="I11" s="12">
        <f t="shared" si="4"/>
        <v>1720673.0699999998</v>
      </c>
      <c r="J11" s="12">
        <f t="shared" si="4"/>
        <v>1750673.0699999998</v>
      </c>
      <c r="K11" s="12">
        <f t="shared" si="4"/>
        <v>4013710.7365999999</v>
      </c>
      <c r="L11" s="12">
        <f t="shared" si="4"/>
        <v>2750803.07</v>
      </c>
      <c r="M11" s="12">
        <f t="shared" si="4"/>
        <v>3373764.7365999999</v>
      </c>
      <c r="N11" s="12">
        <f t="shared" si="4"/>
        <v>1715673.0699999998</v>
      </c>
      <c r="O11" s="12">
        <f t="shared" si="2"/>
        <v>29946258.839800004</v>
      </c>
    </row>
    <row r="13" spans="2:15" x14ac:dyDescent="0.25">
      <c r="B13" s="20" t="s">
        <v>44</v>
      </c>
      <c r="C13" s="20" t="s">
        <v>40</v>
      </c>
      <c r="O13"/>
    </row>
    <row r="14" spans="2:15" x14ac:dyDescent="0.25">
      <c r="B14" s="1" t="str">
        <f t="shared" ref="B14:B21" si="5">B3</f>
        <v>Magazines</v>
      </c>
      <c r="C14" s="66">
        <v>1</v>
      </c>
      <c r="O14"/>
    </row>
    <row r="15" spans="2:15" x14ac:dyDescent="0.25">
      <c r="B15" s="1" t="str">
        <f t="shared" si="5"/>
        <v>Local Newspaper</v>
      </c>
      <c r="C15" s="66">
        <v>1</v>
      </c>
      <c r="O15"/>
    </row>
    <row r="16" spans="2:15" x14ac:dyDescent="0.25">
      <c r="B16" s="1" t="str">
        <f t="shared" si="5"/>
        <v>Social</v>
      </c>
      <c r="C16" s="66">
        <v>8.8000000000000007</v>
      </c>
      <c r="D16" t="s">
        <v>140</v>
      </c>
      <c r="O16"/>
    </row>
    <row r="17" spans="2:19" x14ac:dyDescent="0.25">
      <c r="B17" s="1" t="str">
        <f t="shared" si="5"/>
        <v>In-office</v>
      </c>
      <c r="C17" s="66">
        <f>'S1 - $24MM Calculation'!C11</f>
        <v>6.9809259259259262</v>
      </c>
      <c r="O17"/>
    </row>
    <row r="18" spans="2:19" x14ac:dyDescent="0.25">
      <c r="B18" s="1" t="str">
        <f t="shared" si="5"/>
        <v>Display/Mobile</v>
      </c>
      <c r="C18" s="66">
        <f>'S1 - $24MM Calculation'!C12</f>
        <v>3.6888951841359772</v>
      </c>
      <c r="O18"/>
    </row>
    <row r="19" spans="2:19" x14ac:dyDescent="0.25">
      <c r="B19" s="1" t="str">
        <f t="shared" si="5"/>
        <v>Email</v>
      </c>
      <c r="C19" s="66">
        <f>'S1 - $24MM Calculation'!C13</f>
        <v>7.5</v>
      </c>
      <c r="O19"/>
    </row>
    <row r="20" spans="2:19" x14ac:dyDescent="0.25">
      <c r="B20" s="1" t="str">
        <f t="shared" si="5"/>
        <v>Online Video</v>
      </c>
      <c r="C20" s="66">
        <f>'S1 - $24MM Calculation'!C14</f>
        <v>3.6888951841359772</v>
      </c>
      <c r="O20"/>
    </row>
    <row r="21" spans="2:19" x14ac:dyDescent="0.25">
      <c r="B21" s="1" t="str">
        <f t="shared" si="5"/>
        <v>Search</v>
      </c>
      <c r="C21" s="66">
        <f>'S1 - $24MM Calculation'!C15</f>
        <v>10.8</v>
      </c>
      <c r="O21"/>
    </row>
    <row r="22" spans="2:19" x14ac:dyDescent="0.25">
      <c r="B22" s="19"/>
      <c r="C22" s="19"/>
    </row>
    <row r="24" spans="2:19" x14ac:dyDescent="0.25">
      <c r="B24" s="18" t="s">
        <v>42</v>
      </c>
      <c r="C24" s="1" t="s">
        <v>27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32</v>
      </c>
      <c r="I24" s="1" t="s">
        <v>33</v>
      </c>
      <c r="J24" s="1" t="s">
        <v>34</v>
      </c>
      <c r="K24" s="1" t="s">
        <v>35</v>
      </c>
      <c r="L24" s="1" t="s">
        <v>36</v>
      </c>
      <c r="M24" s="1" t="s">
        <v>37</v>
      </c>
      <c r="N24" s="1" t="s">
        <v>38</v>
      </c>
      <c r="O24" s="1" t="s">
        <v>39</v>
      </c>
      <c r="S24" s="4"/>
    </row>
    <row r="25" spans="2:19" x14ac:dyDescent="0.25">
      <c r="B25" s="1" t="str">
        <f t="shared" ref="B25:B27" si="6">B14</f>
        <v>Magazines</v>
      </c>
      <c r="C25" s="11">
        <f>C3*$C14*(1-Inputs!$C$5)</f>
        <v>0</v>
      </c>
      <c r="D25" s="11">
        <f>D3*$C14*(1-Inputs!$C$5)</f>
        <v>103779.3</v>
      </c>
      <c r="E25" s="11">
        <f>E3*$C14*(1-Inputs!$C$5)</f>
        <v>639321.48</v>
      </c>
      <c r="F25" s="11">
        <f>F3*$C14*(1-Inputs!$C$5)</f>
        <v>52373.38</v>
      </c>
      <c r="G25" s="11">
        <f>G3*$C14*(1-Inputs!$C$5)</f>
        <v>51405.919999999998</v>
      </c>
      <c r="H25" s="11">
        <f>H3*$C14*(1-Inputs!$C$5)</f>
        <v>263349.2</v>
      </c>
      <c r="I25" s="11">
        <f>I3*$C14*(1-Inputs!$C$5)</f>
        <v>0</v>
      </c>
      <c r="J25" s="11">
        <f>J3*$C14*(1-Inputs!$C$5)</f>
        <v>0</v>
      </c>
      <c r="K25" s="11">
        <f>K3*$C14*(1-Inputs!$C$5)</f>
        <v>639332.46</v>
      </c>
      <c r="L25" s="11">
        <f>L3*$C14*(1-Inputs!$C$5)</f>
        <v>103779.3</v>
      </c>
      <c r="M25" s="11">
        <f>M3*$C14*(1-Inputs!$C$5)</f>
        <v>459415.39999999997</v>
      </c>
      <c r="N25" s="11">
        <f>N3*$C14*(1-Inputs!$C$5)</f>
        <v>0</v>
      </c>
      <c r="O25" s="12">
        <f t="shared" ref="O25:O27" si="7">SUM(C25:N25)</f>
        <v>2312756.44</v>
      </c>
      <c r="S25" s="4"/>
    </row>
    <row r="26" spans="2:19" x14ac:dyDescent="0.25">
      <c r="B26" s="1" t="str">
        <f t="shared" si="6"/>
        <v>Local Newspaper</v>
      </c>
      <c r="C26" s="11">
        <f>C4*$C15*(1-Inputs!$C$5)</f>
        <v>0</v>
      </c>
      <c r="D26" s="11">
        <f>D4*$C15*(1-Inputs!$C$5)</f>
        <v>0</v>
      </c>
      <c r="E26" s="11">
        <f>E4*$C15*(1-Inputs!$C$5)</f>
        <v>234820.516626</v>
      </c>
      <c r="F26" s="11">
        <f>F4*$C15*(1-Inputs!$C$5)</f>
        <v>0</v>
      </c>
      <c r="G26" s="11">
        <f>G4*$C15*(1-Inputs!$C$5)</f>
        <v>0</v>
      </c>
      <c r="H26" s="11">
        <f>H4*$C15*(1-Inputs!$C$5)</f>
        <v>0</v>
      </c>
      <c r="I26" s="11">
        <f>I4*$C15*(1-Inputs!$C$5)</f>
        <v>0</v>
      </c>
      <c r="J26" s="11">
        <f>J4*$C15*(1-Inputs!$C$5)</f>
        <v>0</v>
      </c>
      <c r="K26" s="11">
        <f>K4*$C15*(1-Inputs!$C$5)</f>
        <v>234820.516626</v>
      </c>
      <c r="L26" s="11">
        <f>L4*$C15*(1-Inputs!$C$5)</f>
        <v>0</v>
      </c>
      <c r="M26" s="11">
        <f>M4*$C15*(1-Inputs!$C$5)</f>
        <v>234820.516626</v>
      </c>
      <c r="N26" s="11">
        <f>N4*$C15*(1-Inputs!$C$5)</f>
        <v>0</v>
      </c>
      <c r="O26" s="12">
        <f t="shared" si="7"/>
        <v>704461.54987800005</v>
      </c>
      <c r="S26" s="4"/>
    </row>
    <row r="27" spans="2:19" x14ac:dyDescent="0.25">
      <c r="B27" s="1" t="str">
        <f t="shared" si="6"/>
        <v>Social</v>
      </c>
      <c r="C27" s="11">
        <f>C5*$C16*(1-Inputs!$C$5)</f>
        <v>447333.33333333337</v>
      </c>
      <c r="D27" s="11">
        <f>D5*$C16*(1-Inputs!$C$5)</f>
        <v>447333.33333333337</v>
      </c>
      <c r="E27" s="11">
        <f>E5*$C16*(1-Inputs!$C$5)</f>
        <v>447333.33333333337</v>
      </c>
      <c r="F27" s="11">
        <f>F5*$C16*(1-Inputs!$C$5)</f>
        <v>447333.33333333337</v>
      </c>
      <c r="G27" s="11">
        <f>G5*$C16*(1-Inputs!$C$5)</f>
        <v>447333.33333333337</v>
      </c>
      <c r="H27" s="11">
        <f>H5*$C16*(1-Inputs!$C$5)</f>
        <v>447333.33333333337</v>
      </c>
      <c r="I27" s="11">
        <f>I5*$C16*(1-Inputs!$C$5)</f>
        <v>0</v>
      </c>
      <c r="J27" s="11">
        <f>J5*$C16*(1-Inputs!$C$5)</f>
        <v>0</v>
      </c>
      <c r="K27" s="11">
        <f>K5*$C16*(1-Inputs!$C$5)</f>
        <v>0</v>
      </c>
      <c r="L27" s="11">
        <f>L5*$C16*(1-Inputs!$C$5)</f>
        <v>0</v>
      </c>
      <c r="M27" s="11">
        <f>M5*$C16*(1-Inputs!$C$5)</f>
        <v>0</v>
      </c>
      <c r="N27" s="11">
        <f>N5*$C16*(1-Inputs!$C$5)</f>
        <v>0</v>
      </c>
      <c r="O27" s="12">
        <f t="shared" si="7"/>
        <v>2684000.0000000005</v>
      </c>
      <c r="S27" s="4"/>
    </row>
    <row r="28" spans="2:19" x14ac:dyDescent="0.25">
      <c r="B28" s="1" t="str">
        <f>B17</f>
        <v>In-office</v>
      </c>
      <c r="C28" s="11">
        <f>C6*$C17*(1-Inputs!$C$5)</f>
        <v>5525637.4483299814</v>
      </c>
      <c r="D28" s="11">
        <f>D6*$C17*(1-Inputs!$C$5)</f>
        <v>2323675.0016799811</v>
      </c>
      <c r="E28" s="11">
        <f>E6*$C17*(1-Inputs!$C$5)</f>
        <v>2323675.0016799811</v>
      </c>
      <c r="F28" s="11">
        <f>F6*$C17*(1-Inputs!$C$5)</f>
        <v>3601184.4461244256</v>
      </c>
      <c r="G28" s="11">
        <f>G6*$C17*(1-Inputs!$C$5)</f>
        <v>3601184.4461244256</v>
      </c>
      <c r="H28" s="11">
        <f>H6*$C17*(1-Inputs!$C$5)</f>
        <v>3601184.4461244256</v>
      </c>
      <c r="I28" s="11">
        <f>I6*$C17*(1-Inputs!$C$5)</f>
        <v>3601184.4461244256</v>
      </c>
      <c r="J28" s="11">
        <f>J6*$C17*(1-Inputs!$C$5)</f>
        <v>3601184.4461244256</v>
      </c>
      <c r="K28" s="11">
        <f>K6*$C17*(1-Inputs!$C$5)</f>
        <v>3601184.4461244256</v>
      </c>
      <c r="L28" s="11">
        <f>L6*$C17*(1-Inputs!$C$5)</f>
        <v>3601184.4461244256</v>
      </c>
      <c r="M28" s="11">
        <f>M6*$C17*(1-Inputs!$C$5)</f>
        <v>3601184.4461244256</v>
      </c>
      <c r="N28" s="11">
        <f>N6*$C17*(1-Inputs!$C$5)</f>
        <v>3601184.4461244256</v>
      </c>
      <c r="O28" s="12">
        <f>SUM(C28:N28)</f>
        <v>42583647.466809779</v>
      </c>
      <c r="S28" s="4"/>
    </row>
    <row r="29" spans="2:19" x14ac:dyDescent="0.25">
      <c r="B29" s="1" t="str">
        <f>B18</f>
        <v>Display/Mobile</v>
      </c>
      <c r="C29" s="11">
        <f>C7*$C18*(1-Inputs!$C$5)</f>
        <v>652565.55807365442</v>
      </c>
      <c r="D29" s="11">
        <f>D7*$C18*(1-Inputs!$C$5)</f>
        <v>652565.55807365442</v>
      </c>
      <c r="E29" s="11">
        <f>E7*$C18*(1-Inputs!$C$5)</f>
        <v>652565.55807365442</v>
      </c>
      <c r="F29" s="11">
        <f>F7*$C18*(1-Inputs!$C$5)</f>
        <v>573807.64589235117</v>
      </c>
      <c r="G29" s="11">
        <f>G7*$C18*(1-Inputs!$C$5)</f>
        <v>573807.64589235117</v>
      </c>
      <c r="H29" s="11">
        <f>H7*$C18*(1-Inputs!$C$5)</f>
        <v>573807.64589235117</v>
      </c>
      <c r="I29" s="11">
        <f>I7*$C18*(1-Inputs!$C$5)</f>
        <v>573807.64589235117</v>
      </c>
      <c r="J29" s="11">
        <f>J7*$C18*(1-Inputs!$C$5)</f>
        <v>630063.29745042487</v>
      </c>
      <c r="K29" s="11">
        <f>K7*$C18*(1-Inputs!$C$5)</f>
        <v>742574.60056657228</v>
      </c>
      <c r="L29" s="11">
        <f>L7*$C18*(1-Inputs!$C$5)</f>
        <v>742574.60056657228</v>
      </c>
      <c r="M29" s="11">
        <f>M7*$C18*(1-Inputs!$C$5)</f>
        <v>945094.94617563731</v>
      </c>
      <c r="N29" s="11">
        <f>N7*$C18*(1-Inputs!$C$5)</f>
        <v>562556.51558073645</v>
      </c>
      <c r="O29" s="12">
        <f t="shared" ref="O29:O33" si="8">SUM(C29:N29)</f>
        <v>7875791.218130311</v>
      </c>
      <c r="S29" s="4"/>
    </row>
    <row r="30" spans="2:19" x14ac:dyDescent="0.25">
      <c r="B30" s="1" t="str">
        <f>B19</f>
        <v>Email</v>
      </c>
      <c r="C30" s="11">
        <f>C8*$C19*(1-Inputs!$C$5)</f>
        <v>0</v>
      </c>
      <c r="D30" s="11">
        <f>D8*$C19*(1-Inputs!$C$5)</f>
        <v>0</v>
      </c>
      <c r="E30" s="11">
        <f>E8*$C19*(1-Inputs!$C$5)</f>
        <v>0</v>
      </c>
      <c r="F30" s="11">
        <f>F8*$C19*(1-Inputs!$C$5)</f>
        <v>0</v>
      </c>
      <c r="G30" s="11">
        <f>G8*$C19*(1-Inputs!$C$5)</f>
        <v>0</v>
      </c>
      <c r="H30" s="11">
        <f>H8*$C19*(1-Inputs!$C$5)</f>
        <v>0</v>
      </c>
      <c r="I30" s="11">
        <f>I8*$C19*(1-Inputs!$C$5)</f>
        <v>0</v>
      </c>
      <c r="J30" s="11">
        <f>J8*$C19*(1-Inputs!$C$5)</f>
        <v>0</v>
      </c>
      <c r="K30" s="11">
        <f>K8*$C19*(1-Inputs!$C$5)</f>
        <v>2287500</v>
      </c>
      <c r="L30" s="11">
        <f>L8*$C19*(1-Inputs!$C$5)</f>
        <v>2287500</v>
      </c>
      <c r="M30" s="11">
        <f>M8*$C19*(1-Inputs!$C$5)</f>
        <v>0</v>
      </c>
      <c r="N30" s="11">
        <f>N8*$C19*(1-Inputs!$C$5)</f>
        <v>0</v>
      </c>
      <c r="O30" s="12">
        <f t="shared" si="8"/>
        <v>4575000</v>
      </c>
      <c r="S30" s="4"/>
    </row>
    <row r="31" spans="2:19" x14ac:dyDescent="0.25">
      <c r="B31" s="1" t="str">
        <f>B20</f>
        <v>Online Video</v>
      </c>
      <c r="C31" s="11">
        <f>C9*$C20*(1-Inputs!$C$5)</f>
        <v>375037.67705382436</v>
      </c>
      <c r="D31" s="11">
        <f>D9*$C20*(1-Inputs!$C$5)</f>
        <v>375037.67705382436</v>
      </c>
      <c r="E31" s="11">
        <f>E9*$C20*(1-Inputs!$C$5)</f>
        <v>375037.67705382436</v>
      </c>
      <c r="F31" s="11">
        <f>F9*$C20*(1-Inputs!$C$5)</f>
        <v>375037.67705382436</v>
      </c>
      <c r="G31" s="11">
        <f>G9*$C20*(1-Inputs!$C$5)</f>
        <v>375037.67705382436</v>
      </c>
      <c r="H31" s="11">
        <f>H9*$C20*(1-Inputs!$C$5)</f>
        <v>375037.67705382436</v>
      </c>
      <c r="I31" s="11">
        <f>I9*$C20*(1-Inputs!$C$5)</f>
        <v>0</v>
      </c>
      <c r="J31" s="11">
        <f>J9*$C20*(1-Inputs!$C$5)</f>
        <v>0</v>
      </c>
      <c r="K31" s="11">
        <f>K9*$C20*(1-Inputs!$C$5)</f>
        <v>0</v>
      </c>
      <c r="L31" s="11">
        <f>L9*$C20*(1-Inputs!$C$5)</f>
        <v>0</v>
      </c>
      <c r="M31" s="11">
        <f>M9*$C20*(1-Inputs!$C$5)</f>
        <v>0</v>
      </c>
      <c r="N31" s="11">
        <f>N9*$C20*(1-Inputs!$C$5)</f>
        <v>0</v>
      </c>
      <c r="O31" s="12">
        <f t="shared" si="8"/>
        <v>2250226.0623229463</v>
      </c>
      <c r="S31" s="4"/>
    </row>
    <row r="32" spans="2:19" x14ac:dyDescent="0.25">
      <c r="B32" s="1" t="str">
        <f>B21</f>
        <v>Search</v>
      </c>
      <c r="C32" s="11">
        <f>C10*$C21*(1-Inputs!$C$5)</f>
        <v>5863320</v>
      </c>
      <c r="D32" s="11">
        <f>D10*$C21*(1-Inputs!$C$5)</f>
        <v>5270400</v>
      </c>
      <c r="E32" s="11">
        <f>E10*$C21*(1-Inputs!$C$5)</f>
        <v>5270400</v>
      </c>
      <c r="F32" s="11">
        <f>F10*$C21*(1-Inputs!$C$5)</f>
        <v>4117500</v>
      </c>
      <c r="G32" s="11">
        <f>G10*$C21*(1-Inputs!$C$5)</f>
        <v>4084560</v>
      </c>
      <c r="H32" s="11">
        <f>H10*$C21*(1-Inputs!$C$5)</f>
        <v>4084560</v>
      </c>
      <c r="I32" s="11">
        <f>I10*$C21*(1-Inputs!$C$5)</f>
        <v>4084560</v>
      </c>
      <c r="J32" s="11">
        <f>J10*$C21*(1-Inputs!$C$5)</f>
        <v>4117500</v>
      </c>
      <c r="K32" s="11">
        <f>K10*$C21*(1-Inputs!$C$5)</f>
        <v>5962140</v>
      </c>
      <c r="L32" s="11">
        <f>L10*$C21*(1-Inputs!$C$5)</f>
        <v>5962140</v>
      </c>
      <c r="M32" s="11">
        <f>M10*$C21*(1-Inputs!$C$5)</f>
        <v>6390360</v>
      </c>
      <c r="N32" s="11">
        <f>N10*$C21*(1-Inputs!$C$5)</f>
        <v>4084560</v>
      </c>
      <c r="O32" s="12">
        <f t="shared" si="8"/>
        <v>59292000</v>
      </c>
      <c r="S32" s="4"/>
    </row>
    <row r="33" spans="2:21" x14ac:dyDescent="0.25">
      <c r="B33" s="19" t="s">
        <v>39</v>
      </c>
      <c r="C33" s="12">
        <f>SUM(C25:C32)</f>
        <v>12863894.016790792</v>
      </c>
      <c r="D33" s="12">
        <f t="shared" ref="D33:N33" si="9">SUM(D25:D32)</f>
        <v>9172790.8701407928</v>
      </c>
      <c r="E33" s="12">
        <f t="shared" si="9"/>
        <v>9943153.5667667929</v>
      </c>
      <c r="F33" s="12">
        <f t="shared" si="9"/>
        <v>9167236.482403934</v>
      </c>
      <c r="G33" s="12">
        <f t="shared" si="9"/>
        <v>9133329.0224039331</v>
      </c>
      <c r="H33" s="12">
        <f t="shared" si="9"/>
        <v>9345272.3024039343</v>
      </c>
      <c r="I33" s="12">
        <f t="shared" si="9"/>
        <v>8259552.092016777</v>
      </c>
      <c r="J33" s="12">
        <f t="shared" si="9"/>
        <v>8348747.7435748503</v>
      </c>
      <c r="K33" s="12">
        <f t="shared" si="9"/>
        <v>13467552.023316998</v>
      </c>
      <c r="L33" s="12">
        <f t="shared" si="9"/>
        <v>12697178.346690997</v>
      </c>
      <c r="M33" s="12">
        <f t="shared" si="9"/>
        <v>11630875.308926065</v>
      </c>
      <c r="N33" s="12">
        <f t="shared" si="9"/>
        <v>8248300.9617051622</v>
      </c>
      <c r="O33" s="12">
        <f t="shared" si="8"/>
        <v>122277882.73714101</v>
      </c>
      <c r="S33" s="4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S34" s="4"/>
    </row>
    <row r="35" spans="2:21" x14ac:dyDescent="0.25">
      <c r="B35" s="18" t="s">
        <v>43</v>
      </c>
      <c r="C35" s="1" t="s">
        <v>27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32</v>
      </c>
      <c r="I35" s="1" t="s">
        <v>33</v>
      </c>
      <c r="J35" s="1" t="s">
        <v>34</v>
      </c>
      <c r="K35" s="1" t="s">
        <v>35</v>
      </c>
      <c r="L35" s="1" t="s">
        <v>36</v>
      </c>
      <c r="M35" s="1" t="s">
        <v>37</v>
      </c>
      <c r="N35" s="1" t="s">
        <v>38</v>
      </c>
      <c r="O35" s="1" t="s">
        <v>39</v>
      </c>
      <c r="S35" s="4"/>
    </row>
    <row r="36" spans="2:21" x14ac:dyDescent="0.25">
      <c r="B36" s="1" t="str">
        <f t="shared" ref="B36:B38" si="10">B25</f>
        <v>Magazines</v>
      </c>
      <c r="C36" s="17">
        <f>C25/Inputs!$C$6</f>
        <v>0</v>
      </c>
      <c r="D36" s="17">
        <f>D25/Inputs!$C$6</f>
        <v>77.33881188239927</v>
      </c>
      <c r="E36" s="17">
        <f>E25/Inputs!$C$6</f>
        <v>476.4376294125812</v>
      </c>
      <c r="F36" s="17">
        <f>F25/Inputs!$C$6</f>
        <v>39.029893085282055</v>
      </c>
      <c r="G36" s="17">
        <f>G25/Inputs!$C$6</f>
        <v>38.308918797117208</v>
      </c>
      <c r="H36" s="17">
        <f>H25/Inputs!$C$6</f>
        <v>196.25411077334635</v>
      </c>
      <c r="I36" s="17">
        <f>I25/Inputs!$C$6</f>
        <v>0</v>
      </c>
      <c r="J36" s="17">
        <f>J25/Inputs!$C$6</f>
        <v>0</v>
      </c>
      <c r="K36" s="17">
        <f>K25/Inputs!$C$6</f>
        <v>476.44581197070664</v>
      </c>
      <c r="L36" s="17">
        <f>L25/Inputs!$C$6</f>
        <v>77.33881188239927</v>
      </c>
      <c r="M36" s="17">
        <f>M25/Inputs!$C$6</f>
        <v>342.36732370017154</v>
      </c>
      <c r="N36" s="17">
        <f>N25/Inputs!$C$6</f>
        <v>0</v>
      </c>
      <c r="O36" s="15">
        <f t="shared" ref="O36:O38" si="11">SUM(C36:N36)</f>
        <v>1723.5213115040037</v>
      </c>
      <c r="S36" s="4"/>
    </row>
    <row r="37" spans="2:21" x14ac:dyDescent="0.25">
      <c r="B37" s="1" t="str">
        <f t="shared" si="10"/>
        <v>Local Newspaper</v>
      </c>
      <c r="C37" s="17">
        <f>C26/Inputs!$C$6</f>
        <v>0</v>
      </c>
      <c r="D37" s="17">
        <f>D26/Inputs!$C$6</f>
        <v>0</v>
      </c>
      <c r="E37" s="17">
        <f>E26/Inputs!$C$6</f>
        <v>174.99385485801142</v>
      </c>
      <c r="F37" s="17">
        <f>F26/Inputs!$C$6</f>
        <v>0</v>
      </c>
      <c r="G37" s="17">
        <f>G26/Inputs!$C$6</f>
        <v>0</v>
      </c>
      <c r="H37" s="17">
        <f>H26/Inputs!$C$6</f>
        <v>0</v>
      </c>
      <c r="I37" s="17">
        <f>I26/Inputs!$C$6</f>
        <v>0</v>
      </c>
      <c r="J37" s="17">
        <f>J26/Inputs!$C$6</f>
        <v>0</v>
      </c>
      <c r="K37" s="17">
        <f>K26/Inputs!$C$6</f>
        <v>174.99385485801142</v>
      </c>
      <c r="L37" s="17">
        <f>L26/Inputs!$C$6</f>
        <v>0</v>
      </c>
      <c r="M37" s="17">
        <f>M26/Inputs!$C$6</f>
        <v>174.99385485801142</v>
      </c>
      <c r="N37" s="17">
        <f>N26/Inputs!$C$6</f>
        <v>0</v>
      </c>
      <c r="O37" s="15">
        <f t="shared" si="11"/>
        <v>524.98156457403422</v>
      </c>
      <c r="S37" s="4"/>
    </row>
    <row r="38" spans="2:21" x14ac:dyDescent="0.25">
      <c r="B38" s="1" t="str">
        <f t="shared" si="10"/>
        <v>Social</v>
      </c>
      <c r="C38" s="17">
        <f>C27/Inputs!$C$6</f>
        <v>333.36347918509063</v>
      </c>
      <c r="D38" s="17">
        <f>D27/Inputs!$C$6</f>
        <v>333.36347918509063</v>
      </c>
      <c r="E38" s="17">
        <f>E27/Inputs!$C$6</f>
        <v>333.36347918509063</v>
      </c>
      <c r="F38" s="17">
        <f>F27/Inputs!$C$6</f>
        <v>333.36347918509063</v>
      </c>
      <c r="G38" s="17">
        <f>G27/Inputs!$C$6</f>
        <v>333.36347918509063</v>
      </c>
      <c r="H38" s="17">
        <f>H27/Inputs!$C$6</f>
        <v>333.36347918509063</v>
      </c>
      <c r="I38" s="17">
        <f>I27/Inputs!$C$6</f>
        <v>0</v>
      </c>
      <c r="J38" s="17">
        <f>J27/Inputs!$C$6</f>
        <v>0</v>
      </c>
      <c r="K38" s="17">
        <f>K27/Inputs!$C$6</f>
        <v>0</v>
      </c>
      <c r="L38" s="17">
        <f>L27/Inputs!$C$6</f>
        <v>0</v>
      </c>
      <c r="M38" s="17">
        <f>M27/Inputs!$C$6</f>
        <v>0</v>
      </c>
      <c r="N38" s="17">
        <f>N27/Inputs!$C$6</f>
        <v>0</v>
      </c>
      <c r="O38" s="15">
        <f t="shared" si="11"/>
        <v>2000.1808751105439</v>
      </c>
      <c r="S38" s="4"/>
    </row>
    <row r="39" spans="2:21" x14ac:dyDescent="0.25">
      <c r="B39" s="1" t="str">
        <f>B28</f>
        <v>In-office</v>
      </c>
      <c r="C39" s="17">
        <f>C28/Inputs!$C$6</f>
        <v>4117.836939994133</v>
      </c>
      <c r="D39" s="17">
        <f>D28/Inputs!$C$6</f>
        <v>1731.6580843266611</v>
      </c>
      <c r="E39" s="17">
        <f>E28/Inputs!$C$6</f>
        <v>1731.6580843266611</v>
      </c>
      <c r="F39" s="17">
        <f>F28/Inputs!$C$6</f>
        <v>2683.688620299416</v>
      </c>
      <c r="G39" s="17">
        <f>G28/Inputs!$C$6</f>
        <v>2683.688620299416</v>
      </c>
      <c r="H39" s="17">
        <f>H28/Inputs!$C$6</f>
        <v>2683.688620299416</v>
      </c>
      <c r="I39" s="17">
        <f>I28/Inputs!$C$6</f>
        <v>2683.688620299416</v>
      </c>
      <c r="J39" s="17">
        <f>J28/Inputs!$C$6</f>
        <v>2683.688620299416</v>
      </c>
      <c r="K39" s="17">
        <f>K28/Inputs!$C$6</f>
        <v>2683.688620299416</v>
      </c>
      <c r="L39" s="17">
        <f>L28/Inputs!$C$6</f>
        <v>2683.688620299416</v>
      </c>
      <c r="M39" s="17">
        <f>M28/Inputs!$C$6</f>
        <v>2683.688620299416</v>
      </c>
      <c r="N39" s="17">
        <f>N28/Inputs!$C$6</f>
        <v>2683.688620299416</v>
      </c>
      <c r="O39" s="15">
        <f>SUM(C39:N39)</f>
        <v>31734.350691342206</v>
      </c>
      <c r="S39" s="4"/>
    </row>
    <row r="40" spans="2:21" x14ac:dyDescent="0.25">
      <c r="B40" s="1" t="str">
        <f>B29</f>
        <v>Display/Mobile</v>
      </c>
      <c r="C40" s="17">
        <f>C29/Inputs!$C$6</f>
        <v>486.30743256883846</v>
      </c>
      <c r="D40" s="17">
        <f>D29/Inputs!$C$6</f>
        <v>486.30743256883846</v>
      </c>
      <c r="E40" s="17">
        <f>E29/Inputs!$C$6</f>
        <v>486.30743256883846</v>
      </c>
      <c r="F40" s="17">
        <f>F29/Inputs!$C$6</f>
        <v>427.61515622432336</v>
      </c>
      <c r="G40" s="17">
        <f>G29/Inputs!$C$6</f>
        <v>427.61515622432336</v>
      </c>
      <c r="H40" s="17">
        <f>H29/Inputs!$C$6</f>
        <v>427.61515622432336</v>
      </c>
      <c r="I40" s="17">
        <f>I29/Inputs!$C$6</f>
        <v>427.61515622432336</v>
      </c>
      <c r="J40" s="17">
        <f>J29/Inputs!$C$6</f>
        <v>469.53821075611984</v>
      </c>
      <c r="K40" s="17">
        <f>K29/Inputs!$C$6</f>
        <v>553.38431981971269</v>
      </c>
      <c r="L40" s="17">
        <f>L29/Inputs!$C$6</f>
        <v>553.38431981971269</v>
      </c>
      <c r="M40" s="17">
        <f>M29/Inputs!$C$6</f>
        <v>704.3073161341797</v>
      </c>
      <c r="N40" s="17">
        <f>N29/Inputs!$C$6</f>
        <v>419.23054531796407</v>
      </c>
      <c r="O40" s="15">
        <f t="shared" ref="O40:O44" si="12">SUM(C40:N40)</f>
        <v>5869.2276344514985</v>
      </c>
    </row>
    <row r="41" spans="2:21" x14ac:dyDescent="0.25">
      <c r="B41" s="1" t="str">
        <f>B30</f>
        <v>Email</v>
      </c>
      <c r="C41" s="17">
        <f>C30/Inputs!$C$6</f>
        <v>0</v>
      </c>
      <c r="D41" s="17">
        <f>D30/Inputs!$C$6</f>
        <v>0</v>
      </c>
      <c r="E41" s="17">
        <f>E30/Inputs!$C$6</f>
        <v>0</v>
      </c>
      <c r="F41" s="17">
        <f>F30/Inputs!$C$6</f>
        <v>0</v>
      </c>
      <c r="G41" s="17">
        <f>G30/Inputs!$C$6</f>
        <v>0</v>
      </c>
      <c r="H41" s="17">
        <f>H30/Inputs!$C$6</f>
        <v>0</v>
      </c>
      <c r="I41" s="17">
        <f>I30/Inputs!$C$6</f>
        <v>0</v>
      </c>
      <c r="J41" s="17">
        <f>J30/Inputs!$C$6</f>
        <v>0</v>
      </c>
      <c r="K41" s="17">
        <f>K30/Inputs!$C$6</f>
        <v>1704.6996094692133</v>
      </c>
      <c r="L41" s="17">
        <f>L30/Inputs!$C$6</f>
        <v>1704.6996094692133</v>
      </c>
      <c r="M41" s="17">
        <f>M30/Inputs!$C$6</f>
        <v>0</v>
      </c>
      <c r="N41" s="17">
        <f>N30/Inputs!$C$6</f>
        <v>0</v>
      </c>
      <c r="O41" s="15">
        <f t="shared" si="12"/>
        <v>3409.3992189384267</v>
      </c>
    </row>
    <row r="42" spans="2:21" x14ac:dyDescent="0.25">
      <c r="B42" s="1" t="str">
        <f>B31</f>
        <v>Online Video</v>
      </c>
      <c r="C42" s="17">
        <f>C31/Inputs!$C$6</f>
        <v>279.4870302119761</v>
      </c>
      <c r="D42" s="17">
        <f>D31/Inputs!$C$6</f>
        <v>279.4870302119761</v>
      </c>
      <c r="E42" s="17">
        <f>E31/Inputs!$C$6</f>
        <v>279.4870302119761</v>
      </c>
      <c r="F42" s="17">
        <f>F31/Inputs!$C$6</f>
        <v>279.4870302119761</v>
      </c>
      <c r="G42" s="17">
        <f>G31/Inputs!$C$6</f>
        <v>279.4870302119761</v>
      </c>
      <c r="H42" s="17">
        <f>H31/Inputs!$C$6</f>
        <v>279.4870302119761</v>
      </c>
      <c r="I42" s="17">
        <f>I31/Inputs!$C$6</f>
        <v>0</v>
      </c>
      <c r="J42" s="17">
        <f>J31/Inputs!$C$6</f>
        <v>0</v>
      </c>
      <c r="K42" s="17">
        <f>K31/Inputs!$C$6</f>
        <v>0</v>
      </c>
      <c r="L42" s="17">
        <f>L31/Inputs!$C$6</f>
        <v>0</v>
      </c>
      <c r="M42" s="17">
        <f>M31/Inputs!$C$6</f>
        <v>0</v>
      </c>
      <c r="N42" s="17">
        <f>N31/Inputs!$C$6</f>
        <v>0</v>
      </c>
      <c r="O42" s="15">
        <f t="shared" si="12"/>
        <v>1676.9221812718567</v>
      </c>
    </row>
    <row r="43" spans="2:21" x14ac:dyDescent="0.25">
      <c r="B43" s="1" t="str">
        <f>B32</f>
        <v>Search</v>
      </c>
      <c r="C43" s="17">
        <f>C32/Inputs!$C$6</f>
        <v>4369.4860389914875</v>
      </c>
      <c r="D43" s="17">
        <f>D32/Inputs!$C$6</f>
        <v>3927.6279002170677</v>
      </c>
      <c r="E43" s="17">
        <f>E32/Inputs!$C$6</f>
        <v>3927.6279002170677</v>
      </c>
      <c r="F43" s="17">
        <f>F32/Inputs!$C$6</f>
        <v>3068.4592970445838</v>
      </c>
      <c r="G43" s="17">
        <f>G32/Inputs!$C$6</f>
        <v>3043.9116226682272</v>
      </c>
      <c r="H43" s="17">
        <f>H32/Inputs!$C$6</f>
        <v>3043.9116226682272</v>
      </c>
      <c r="I43" s="17">
        <f>I32/Inputs!$C$6</f>
        <v>3043.9116226682272</v>
      </c>
      <c r="J43" s="17">
        <f>J32/Inputs!$C$6</f>
        <v>3068.4592970445838</v>
      </c>
      <c r="K43" s="17">
        <f>K32/Inputs!$C$6</f>
        <v>4443.129062120558</v>
      </c>
      <c r="L43" s="17">
        <f>L32/Inputs!$C$6</f>
        <v>4443.129062120558</v>
      </c>
      <c r="M43" s="17">
        <f>M32/Inputs!$C$6</f>
        <v>4762.2488290131942</v>
      </c>
      <c r="N43" s="17">
        <f>N32/Inputs!$C$6</f>
        <v>3043.9116226682272</v>
      </c>
      <c r="O43" s="15">
        <f t="shared" si="12"/>
        <v>44185.813877442008</v>
      </c>
    </row>
    <row r="44" spans="2:21" x14ac:dyDescent="0.25">
      <c r="B44" s="19" t="s">
        <v>39</v>
      </c>
      <c r="C44" s="15">
        <f>SUM(C36:C43)</f>
        <v>9586.4809209515261</v>
      </c>
      <c r="D44" s="15">
        <f t="shared" ref="D44:N44" si="13">SUM(D36:D43)</f>
        <v>6835.7827383920339</v>
      </c>
      <c r="E44" s="15">
        <f t="shared" si="13"/>
        <v>7409.875410780227</v>
      </c>
      <c r="F44" s="15">
        <f t="shared" si="13"/>
        <v>6831.6434760506727</v>
      </c>
      <c r="G44" s="15">
        <f t="shared" si="13"/>
        <v>6806.3748273861511</v>
      </c>
      <c r="H44" s="15">
        <f t="shared" si="13"/>
        <v>6964.3200193623798</v>
      </c>
      <c r="I44" s="15">
        <f t="shared" si="13"/>
        <v>6155.2153991919668</v>
      </c>
      <c r="J44" s="15">
        <f t="shared" si="13"/>
        <v>6221.6861281001202</v>
      </c>
      <c r="K44" s="15">
        <f t="shared" si="13"/>
        <v>10036.341278537619</v>
      </c>
      <c r="L44" s="15">
        <f t="shared" si="13"/>
        <v>9462.2404235912982</v>
      </c>
      <c r="M44" s="15">
        <f t="shared" si="13"/>
        <v>8667.6059440049721</v>
      </c>
      <c r="N44" s="15">
        <f t="shared" si="13"/>
        <v>6146.8307882856079</v>
      </c>
      <c r="O44" s="15">
        <f t="shared" si="12"/>
        <v>91124.397354634566</v>
      </c>
    </row>
    <row r="46" spans="2:21" x14ac:dyDescent="0.25">
      <c r="B46" s="1" t="s">
        <v>45</v>
      </c>
      <c r="C46" s="1" t="s">
        <v>27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32</v>
      </c>
      <c r="I46" s="1" t="s">
        <v>33</v>
      </c>
      <c r="J46" s="1" t="s">
        <v>34</v>
      </c>
      <c r="K46" s="1" t="s">
        <v>35</v>
      </c>
      <c r="L46" s="1" t="s">
        <v>36</v>
      </c>
      <c r="M46" s="1" t="s">
        <v>37</v>
      </c>
      <c r="N46" s="1" t="s">
        <v>38</v>
      </c>
      <c r="O46" s="19" t="s">
        <v>39</v>
      </c>
      <c r="Q46" s="24" t="s">
        <v>7</v>
      </c>
      <c r="R46" s="25">
        <v>2014</v>
      </c>
      <c r="S46" s="25">
        <v>2015</v>
      </c>
      <c r="T46" s="25">
        <v>2016</v>
      </c>
      <c r="U46" s="25">
        <v>2017</v>
      </c>
    </row>
    <row r="47" spans="2:21" x14ac:dyDescent="0.25">
      <c r="B47" s="1" t="s">
        <v>46</v>
      </c>
      <c r="C47" s="22">
        <f>C$44*Inputs!$D10</f>
        <v>2807.8152540312421</v>
      </c>
      <c r="D47" s="22">
        <f>D$44*Inputs!$D10</f>
        <v>2002.154409357079</v>
      </c>
      <c r="E47" s="22">
        <f>E$44*Inputs!$D10</f>
        <v>2170.3022600700738</v>
      </c>
      <c r="F47" s="22">
        <f>F$44*Inputs!$D10</f>
        <v>2000.9420474864044</v>
      </c>
      <c r="G47" s="22">
        <f>G$44*Inputs!$D10</f>
        <v>1993.5410316439863</v>
      </c>
      <c r="H47" s="22">
        <f>H$44*Inputs!$D10</f>
        <v>2039.8021073180128</v>
      </c>
      <c r="I47" s="22">
        <f>I$44*Inputs!$D10</f>
        <v>1802.8208507594647</v>
      </c>
      <c r="J47" s="22">
        <f>J$44*Inputs!$D10</f>
        <v>1822.2896765062501</v>
      </c>
      <c r="K47" s="22">
        <f>K$44*Inputs!$D10</f>
        <v>2939.5763021812036</v>
      </c>
      <c r="L47" s="22">
        <f>L$44*Inputs!$D10</f>
        <v>2771.4260548524207</v>
      </c>
      <c r="M47" s="22">
        <f>M$44*Inputs!$D10</f>
        <v>2538.6830043462292</v>
      </c>
      <c r="N47" s="22">
        <f>N$44*Inputs!$D10</f>
        <v>1800.3650550826028</v>
      </c>
      <c r="O47" s="16">
        <f>SUM(C47:N47)</f>
        <v>26689.718053634966</v>
      </c>
      <c r="Q47" s="26" t="s">
        <v>27</v>
      </c>
      <c r="R47" s="6">
        <f>C47</f>
        <v>2807.8152540312421</v>
      </c>
      <c r="S47" s="6">
        <f t="shared" ref="S47:S58" si="14">SUM(C59,D58,E57,F56,G55,H54,I53,J52,K51,L50,M49,N48)</f>
        <v>5353.8808203793415</v>
      </c>
      <c r="T47" s="6">
        <f t="shared" ref="T47:T58" si="15">SUM(C71,D70,E69,F68,G67,H66,I65,J64,K63,L62,M61,N60)</f>
        <v>83.654387818427324</v>
      </c>
      <c r="U47" s="6">
        <f>SUM(C83,D82,E81,F80,G79,H78,I77,J76,K75,L74,M73,N72)</f>
        <v>1.3070998096629285</v>
      </c>
    </row>
    <row r="48" spans="2:21" x14ac:dyDescent="0.25">
      <c r="B48" s="1" t="s">
        <v>47</v>
      </c>
      <c r="C48" s="22">
        <f>C$44*Inputs!$D11</f>
        <v>1985.4252064445197</v>
      </c>
      <c r="D48" s="22">
        <f>D$44*Inputs!$D11</f>
        <v>1415.7369598389371</v>
      </c>
      <c r="E48" s="22">
        <f>E$44*Inputs!$D11</f>
        <v>1534.635445320039</v>
      </c>
      <c r="F48" s="22">
        <f>F$44*Inputs!$D11</f>
        <v>1414.8796905389311</v>
      </c>
      <c r="G48" s="22">
        <f>G$44*Inputs!$D11</f>
        <v>1409.6463820490883</v>
      </c>
      <c r="H48" s="22">
        <f>H$44*Inputs!$D11</f>
        <v>1442.3579023631764</v>
      </c>
      <c r="I48" s="22">
        <f>I$44*Inputs!$D11</f>
        <v>1274.7868488365179</v>
      </c>
      <c r="J48" s="22">
        <f>J$44*Inputs!$D11</f>
        <v>1288.5533875438093</v>
      </c>
      <c r="K48" s="22">
        <f>K$44*Inputs!$D11</f>
        <v>2078.5943370876043</v>
      </c>
      <c r="L48" s="22">
        <f>L$44*Inputs!$D11</f>
        <v>1959.6941569432272</v>
      </c>
      <c r="M48" s="22">
        <f>M$44*Inputs!$D11</f>
        <v>1795.119967656256</v>
      </c>
      <c r="N48" s="23">
        <f>N$44*Inputs!$D11</f>
        <v>1273.0503390602005</v>
      </c>
      <c r="O48" s="16">
        <f t="shared" ref="O48:O85" si="16">SUM(C48:N48)</f>
        <v>18872.480623682306</v>
      </c>
      <c r="Q48" s="26" t="s">
        <v>28</v>
      </c>
      <c r="R48" s="6">
        <f>SUM(C48,D47)</f>
        <v>3987.5796158015987</v>
      </c>
      <c r="S48" s="6">
        <f t="shared" si="14"/>
        <v>3785.7654337548288</v>
      </c>
      <c r="T48" s="6">
        <f t="shared" si="15"/>
        <v>59.152584902419278</v>
      </c>
      <c r="U48" s="6">
        <f>SUM(C84,D83,E82,F81,G80,H79,I78,J77,K76,L75,M74,N73)</f>
        <v>0.92425913910030233</v>
      </c>
    </row>
    <row r="49" spans="2:33" x14ac:dyDescent="0.25">
      <c r="B49" s="1" t="s">
        <v>48</v>
      </c>
      <c r="C49" s="22">
        <f>C$44*Inputs!$D12</f>
        <v>1403.9076270156218</v>
      </c>
      <c r="D49" s="22">
        <f>D$44*Inputs!$D12</f>
        <v>1001.0772046785399</v>
      </c>
      <c r="E49" s="22">
        <f>E$44*Inputs!$D12</f>
        <v>1085.1511300350373</v>
      </c>
      <c r="F49" s="22">
        <f>F$44*Inputs!$D12</f>
        <v>1000.4710237432026</v>
      </c>
      <c r="G49" s="22">
        <f>G$44*Inputs!$D12</f>
        <v>996.77051582199363</v>
      </c>
      <c r="H49" s="22">
        <f>H$44*Inputs!$D12</f>
        <v>1019.9010536590067</v>
      </c>
      <c r="I49" s="22">
        <f>I$44*Inputs!$D12</f>
        <v>901.41042537973271</v>
      </c>
      <c r="J49" s="22">
        <f>J$44*Inputs!$D12</f>
        <v>911.14483825312539</v>
      </c>
      <c r="K49" s="22">
        <f>K$44*Inputs!$D12</f>
        <v>1469.7881510906025</v>
      </c>
      <c r="L49" s="22">
        <f>L$44*Inputs!$D12</f>
        <v>1385.7130274262111</v>
      </c>
      <c r="M49" s="23">
        <f>M$44*Inputs!$D12</f>
        <v>1269.341502173115</v>
      </c>
      <c r="N49" s="23">
        <f>N$44*Inputs!$D12</f>
        <v>900.18252754130174</v>
      </c>
      <c r="O49" s="16">
        <f t="shared" si="16"/>
        <v>13344.859026817488</v>
      </c>
      <c r="Q49" s="26" t="s">
        <v>29</v>
      </c>
      <c r="R49" s="6">
        <f>SUM(C49,D48,E47)</f>
        <v>4989.9468469246331</v>
      </c>
      <c r="S49" s="6">
        <f t="shared" si="14"/>
        <v>2676.9404101896707</v>
      </c>
      <c r="T49" s="6">
        <f t="shared" si="15"/>
        <v>41.827193909213662</v>
      </c>
      <c r="U49" s="6">
        <f>SUM(C85,D84,E83,F82,G81,H80,I79,J78,K77,L76,M75,N74)</f>
        <v>0.65354990483146436</v>
      </c>
    </row>
    <row r="50" spans="2:33" x14ac:dyDescent="0.25">
      <c r="B50" s="1" t="s">
        <v>49</v>
      </c>
      <c r="C50" s="22">
        <f>C$44*Inputs!$D13</f>
        <v>992.71260322225987</v>
      </c>
      <c r="D50" s="22">
        <f>D$44*Inputs!$D13</f>
        <v>707.86847991946854</v>
      </c>
      <c r="E50" s="22">
        <f>E$44*Inputs!$D13</f>
        <v>767.31772266001951</v>
      </c>
      <c r="F50" s="22">
        <f>F$44*Inputs!$D13</f>
        <v>707.43984526946554</v>
      </c>
      <c r="G50" s="22">
        <f>G$44*Inputs!$D13</f>
        <v>704.82319102454414</v>
      </c>
      <c r="H50" s="22">
        <f>H$44*Inputs!$D13</f>
        <v>721.17895118158822</v>
      </c>
      <c r="I50" s="22">
        <f>I$44*Inputs!$D13</f>
        <v>637.39342441825897</v>
      </c>
      <c r="J50" s="22">
        <f>J$44*Inputs!$D13</f>
        <v>644.27669377190466</v>
      </c>
      <c r="K50" s="22">
        <f>K$44*Inputs!$D13</f>
        <v>1039.2971685438022</v>
      </c>
      <c r="L50" s="23">
        <f>L$44*Inputs!$D13</f>
        <v>979.8470784716136</v>
      </c>
      <c r="M50" s="23">
        <f>M$44*Inputs!$D13</f>
        <v>897.559983828128</v>
      </c>
      <c r="N50" s="23">
        <f>N$44*Inputs!$D13</f>
        <v>636.52516953010024</v>
      </c>
      <c r="O50" s="16">
        <f t="shared" si="16"/>
        <v>9436.240311841153</v>
      </c>
      <c r="Q50" s="26" t="s">
        <v>30</v>
      </c>
      <c r="R50" s="6">
        <f>SUM(C50,D49,E48,F47)</f>
        <v>5529.367300707243</v>
      </c>
      <c r="S50" s="6">
        <f t="shared" si="14"/>
        <v>1892.8827168774149</v>
      </c>
      <c r="T50" s="6">
        <f t="shared" si="15"/>
        <v>29.576292451209639</v>
      </c>
      <c r="U50" s="6">
        <f>SUM(D85,E84,F83,G82,H81,I80,J79,K78,L77,M76,N75)</f>
        <v>0.45834267149708785</v>
      </c>
    </row>
    <row r="51" spans="2:33" x14ac:dyDescent="0.25">
      <c r="B51" s="1" t="s">
        <v>50</v>
      </c>
      <c r="C51" s="22">
        <f>C$44*Inputs!$D14</f>
        <v>701.95381350781088</v>
      </c>
      <c r="D51" s="22">
        <f>D$44*Inputs!$D14</f>
        <v>500.53860233926997</v>
      </c>
      <c r="E51" s="22">
        <f>E$44*Inputs!$D14</f>
        <v>542.57556501751867</v>
      </c>
      <c r="F51" s="22">
        <f>F$44*Inputs!$D14</f>
        <v>500.23551187160132</v>
      </c>
      <c r="G51" s="22">
        <f>G$44*Inputs!$D14</f>
        <v>498.38525791099681</v>
      </c>
      <c r="H51" s="22">
        <f>H$44*Inputs!$D14</f>
        <v>509.95052682950336</v>
      </c>
      <c r="I51" s="22">
        <f>I$44*Inputs!$D14</f>
        <v>450.70521268986636</v>
      </c>
      <c r="J51" s="22">
        <f>J$44*Inputs!$D14</f>
        <v>455.57241912656269</v>
      </c>
      <c r="K51" s="23">
        <f>K$44*Inputs!$D14</f>
        <v>734.89407554530123</v>
      </c>
      <c r="L51" s="23">
        <f>L$44*Inputs!$D14</f>
        <v>692.85651371310553</v>
      </c>
      <c r="M51" s="23">
        <f>M$44*Inputs!$D14</f>
        <v>634.67075108655752</v>
      </c>
      <c r="N51" s="23">
        <f>N$44*Inputs!$D14</f>
        <v>450.09126377065087</v>
      </c>
      <c r="O51" s="16">
        <f t="shared" si="16"/>
        <v>6672.4295134087442</v>
      </c>
      <c r="Q51" s="26" t="s">
        <v>31</v>
      </c>
      <c r="R51" s="6">
        <f>SUM(C51,D50,E49,F48,G47)</f>
        <v>5903.3941456452339</v>
      </c>
      <c r="S51" s="6">
        <f t="shared" si="14"/>
        <v>1338.4702050948358</v>
      </c>
      <c r="T51" s="6">
        <f t="shared" si="15"/>
        <v>20.913596954606838</v>
      </c>
      <c r="U51" s="6">
        <f>SUM(E85,F84,G83,H82,I81,J80,K79,L78,M77,N76)</f>
        <v>0.32139690716797803</v>
      </c>
    </row>
    <row r="52" spans="2:33" x14ac:dyDescent="0.25">
      <c r="B52" s="1" t="s">
        <v>51</v>
      </c>
      <c r="C52" s="22">
        <f>C$44*Inputs!$D15</f>
        <v>496.35630161113016</v>
      </c>
      <c r="D52" s="22">
        <f>D$44*Inputs!$D15</f>
        <v>353.9342399597345</v>
      </c>
      <c r="E52" s="22">
        <f>E$44*Inputs!$D15</f>
        <v>383.65886133000993</v>
      </c>
      <c r="F52" s="22">
        <f>F$44*Inputs!$D15</f>
        <v>353.719922634733</v>
      </c>
      <c r="G52" s="22">
        <f>G$44*Inputs!$D15</f>
        <v>352.4115955122723</v>
      </c>
      <c r="H52" s="22">
        <f>H$44*Inputs!$D15</f>
        <v>360.58947559079428</v>
      </c>
      <c r="I52" s="22">
        <f>I$44*Inputs!$D15</f>
        <v>318.69671220912966</v>
      </c>
      <c r="J52" s="23">
        <f>J$44*Inputs!$D15</f>
        <v>322.1383468859525</v>
      </c>
      <c r="K52" s="23">
        <f>K$44*Inputs!$D15</f>
        <v>519.64858427190143</v>
      </c>
      <c r="L52" s="23">
        <f>L$44*Inputs!$D15</f>
        <v>489.92353923580703</v>
      </c>
      <c r="M52" s="23">
        <f>M$44*Inputs!$D15</f>
        <v>448.77999191406423</v>
      </c>
      <c r="N52" s="23">
        <f>N$44*Inputs!$D15</f>
        <v>318.26258476505029</v>
      </c>
      <c r="O52" s="16">
        <f t="shared" si="16"/>
        <v>4718.1201559205792</v>
      </c>
      <c r="Q52" s="26" t="s">
        <v>32</v>
      </c>
      <c r="R52" s="6">
        <f>SUM(C52,D51,E50,F49,G48,H47)</f>
        <v>6214.132139720723</v>
      </c>
      <c r="S52" s="6">
        <f t="shared" si="14"/>
        <v>946.44135843870754</v>
      </c>
      <c r="T52" s="6">
        <f t="shared" si="15"/>
        <v>14.788146225604825</v>
      </c>
      <c r="U52" s="6">
        <f>SUM(F85,G84,H83,I82,J81,K80,L79,M78,N77)</f>
        <v>0.22433484769236381</v>
      </c>
    </row>
    <row r="53" spans="2:33" x14ac:dyDescent="0.25">
      <c r="B53" s="1" t="s">
        <v>52</v>
      </c>
      <c r="C53" s="22">
        <f>C$44*Inputs!$D16</f>
        <v>350.97690675390555</v>
      </c>
      <c r="D53" s="22">
        <f>D$44*Inputs!$D16</f>
        <v>250.26930116963507</v>
      </c>
      <c r="E53" s="22">
        <f>E$44*Inputs!$D16</f>
        <v>271.28778250875939</v>
      </c>
      <c r="F53" s="22">
        <f>F$44*Inputs!$D16</f>
        <v>250.11775593580074</v>
      </c>
      <c r="G53" s="22">
        <f>G$44*Inputs!$D16</f>
        <v>249.19262895549849</v>
      </c>
      <c r="H53" s="22">
        <f>H$44*Inputs!$D16</f>
        <v>254.97526341475179</v>
      </c>
      <c r="I53" s="23">
        <f>I$44*Inputs!$D16</f>
        <v>225.35260634493326</v>
      </c>
      <c r="J53" s="23">
        <f>J$44*Inputs!$D16</f>
        <v>227.78620956328143</v>
      </c>
      <c r="K53" s="23">
        <f>K$44*Inputs!$D16</f>
        <v>367.44703777265073</v>
      </c>
      <c r="L53" s="23">
        <f>L$44*Inputs!$D16</f>
        <v>346.42825685655288</v>
      </c>
      <c r="M53" s="23">
        <f>M$44*Inputs!$D16</f>
        <v>317.33537554327887</v>
      </c>
      <c r="N53" s="23">
        <f>N$44*Inputs!$D16</f>
        <v>225.04563188532552</v>
      </c>
      <c r="O53" s="16">
        <f t="shared" si="16"/>
        <v>3336.2147567043739</v>
      </c>
      <c r="Q53" s="26" t="s">
        <v>33</v>
      </c>
      <c r="R53" s="6">
        <f>SUM(I47,H48,G49,F50,E51,D52,C53)</f>
        <v>6196.8758259452588</v>
      </c>
      <c r="S53" s="6">
        <f t="shared" si="14"/>
        <v>669.23510254741791</v>
      </c>
      <c r="T53" s="6">
        <f t="shared" si="15"/>
        <v>10.456798477303419</v>
      </c>
      <c r="U53" s="6">
        <f>SUM(G85,H84,I83,J82,K81,L80,M79,N78)</f>
        <v>0.15593002321637817</v>
      </c>
    </row>
    <row r="54" spans="2:33" x14ac:dyDescent="0.25">
      <c r="B54" s="1" t="s">
        <v>53</v>
      </c>
      <c r="C54" s="22">
        <f>C$44*Inputs!$D17</f>
        <v>248.17815080556508</v>
      </c>
      <c r="D54" s="22">
        <f>D$44*Inputs!$D17</f>
        <v>176.96711997986725</v>
      </c>
      <c r="E54" s="22">
        <f>E$44*Inputs!$D17</f>
        <v>191.82943066500496</v>
      </c>
      <c r="F54" s="22">
        <f>F$44*Inputs!$D17</f>
        <v>176.8599613173665</v>
      </c>
      <c r="G54" s="22">
        <f>G$44*Inputs!$D17</f>
        <v>176.20579775613615</v>
      </c>
      <c r="H54" s="23">
        <f>H$44*Inputs!$D17</f>
        <v>180.29473779539714</v>
      </c>
      <c r="I54" s="23">
        <f>I$44*Inputs!$D17</f>
        <v>159.34835610456483</v>
      </c>
      <c r="J54" s="23">
        <f>J$44*Inputs!$D17</f>
        <v>161.06917344297625</v>
      </c>
      <c r="K54" s="23">
        <f>K$44*Inputs!$D17</f>
        <v>259.82429213595071</v>
      </c>
      <c r="L54" s="23">
        <f>L$44*Inputs!$D17</f>
        <v>244.96176961790351</v>
      </c>
      <c r="M54" s="23">
        <f>M$44*Inputs!$D17</f>
        <v>224.38999595703211</v>
      </c>
      <c r="N54" s="23">
        <f>N$44*Inputs!$D17</f>
        <v>159.13129238252515</v>
      </c>
      <c r="O54" s="16">
        <f t="shared" si="16"/>
        <v>2359.0600779602896</v>
      </c>
      <c r="Q54" s="26" t="s">
        <v>34</v>
      </c>
      <c r="R54" s="6">
        <f>SUM(I48,H49,G50,F51,E52,D53,C54,J47)</f>
        <v>6204.1425952031295</v>
      </c>
      <c r="S54" s="6">
        <f t="shared" si="14"/>
        <v>473.22067921935388</v>
      </c>
      <c r="T54" s="6">
        <f t="shared" si="15"/>
        <v>7.3940731128024142</v>
      </c>
      <c r="U54" s="6">
        <f>SUM(H85,I84,J83,K82,L81,M80,N79)</f>
        <v>0.10757048970732637</v>
      </c>
    </row>
    <row r="55" spans="2:33" x14ac:dyDescent="0.25">
      <c r="B55" s="1" t="s">
        <v>54</v>
      </c>
      <c r="C55" s="22">
        <f>C$44*Inputs!$D18</f>
        <v>175.48845337695278</v>
      </c>
      <c r="D55" s="22">
        <f>D$44*Inputs!$D18</f>
        <v>125.13465058481754</v>
      </c>
      <c r="E55" s="22">
        <f>E$44*Inputs!$D18</f>
        <v>135.6438912543797</v>
      </c>
      <c r="F55" s="22">
        <f>F$44*Inputs!$D18</f>
        <v>125.05887796790037</v>
      </c>
      <c r="G55" s="23">
        <f>G$44*Inputs!$D18</f>
        <v>124.59631447774925</v>
      </c>
      <c r="H55" s="23">
        <f>H$44*Inputs!$D18</f>
        <v>127.4876317073759</v>
      </c>
      <c r="I55" s="23">
        <f>I$44*Inputs!$D18</f>
        <v>112.67630317246663</v>
      </c>
      <c r="J55" s="23">
        <f>J$44*Inputs!$D18</f>
        <v>113.89310478164072</v>
      </c>
      <c r="K55" s="23">
        <f>K$44*Inputs!$D18</f>
        <v>183.72351888632537</v>
      </c>
      <c r="L55" s="23">
        <f>L$44*Inputs!$D18</f>
        <v>173.21412842827644</v>
      </c>
      <c r="M55" s="23">
        <f>M$44*Inputs!$D18</f>
        <v>158.66768777163944</v>
      </c>
      <c r="N55" s="23">
        <f>N$44*Inputs!$D18</f>
        <v>112.52281594266276</v>
      </c>
      <c r="O55" s="16">
        <f t="shared" si="16"/>
        <v>1668.107378352187</v>
      </c>
      <c r="Q55" s="26" t="s">
        <v>35</v>
      </c>
      <c r="R55" s="6">
        <f>SUM(I49,H50,G51,F52,E53,D54,C55,J48,K47)</f>
        <v>7326.5676026976425</v>
      </c>
      <c r="S55" s="6">
        <f t="shared" si="14"/>
        <v>334.61755127370907</v>
      </c>
      <c r="T55" s="6">
        <f t="shared" si="15"/>
        <v>5.2283992386517113</v>
      </c>
      <c r="U55" s="6">
        <f>SUM(I85,J84,K83,L82,M81,N80)</f>
        <v>7.3312743354509491E-2</v>
      </c>
    </row>
    <row r="56" spans="2:33" x14ac:dyDescent="0.25">
      <c r="B56" s="1" t="s">
        <v>55</v>
      </c>
      <c r="C56" s="22">
        <f>C$44*Inputs!$D19</f>
        <v>124.08907540278261</v>
      </c>
      <c r="D56" s="22">
        <f>D$44*Inputs!$D19</f>
        <v>88.483559989933667</v>
      </c>
      <c r="E56" s="22">
        <f>E$44*Inputs!$D19</f>
        <v>95.914715332502539</v>
      </c>
      <c r="F56" s="23">
        <f>F$44*Inputs!$D19</f>
        <v>88.429980658683291</v>
      </c>
      <c r="G56" s="23">
        <f>G$44*Inputs!$D19</f>
        <v>88.102898878068117</v>
      </c>
      <c r="H56" s="23">
        <f>H$44*Inputs!$D19</f>
        <v>90.147368897698612</v>
      </c>
      <c r="I56" s="23">
        <f>I$44*Inputs!$D19</f>
        <v>79.674178052282457</v>
      </c>
      <c r="J56" s="23">
        <f>J$44*Inputs!$D19</f>
        <v>80.534586721488168</v>
      </c>
      <c r="K56" s="23">
        <f>K$44*Inputs!$D19</f>
        <v>129.91214606797541</v>
      </c>
      <c r="L56" s="23">
        <f>L$44*Inputs!$D19</f>
        <v>122.48088480895183</v>
      </c>
      <c r="M56" s="23">
        <f>M$44*Inputs!$D19</f>
        <v>112.19499797851611</v>
      </c>
      <c r="N56" s="23">
        <f>N$44*Inputs!$D19</f>
        <v>79.565646191262616</v>
      </c>
      <c r="O56" s="16">
        <f t="shared" si="16"/>
        <v>1179.5300389801455</v>
      </c>
      <c r="Q56" s="26" t="s">
        <v>36</v>
      </c>
      <c r="R56" s="6">
        <f>SUM(I50,H51,G52,F53,E54,D55,C56,J49,K48,L47)</f>
        <v>7952.0916895415912</v>
      </c>
      <c r="S56" s="6">
        <f t="shared" si="14"/>
        <v>236.61033960967697</v>
      </c>
      <c r="T56" s="6">
        <f t="shared" si="15"/>
        <v>3.697036556401208</v>
      </c>
      <c r="U56" s="6">
        <f>SUM(J85,K84,L83,M82,N81)</f>
        <v>4.9408475020106958E-2</v>
      </c>
    </row>
    <row r="57" spans="2:33" x14ac:dyDescent="0.25">
      <c r="B57" s="1" t="s">
        <v>56</v>
      </c>
      <c r="C57" s="22">
        <f>C$44*Inputs!$D20</f>
        <v>87.744226688476417</v>
      </c>
      <c r="D57" s="22">
        <f>D$44*Inputs!$D20</f>
        <v>62.567325292408789</v>
      </c>
      <c r="E57" s="23">
        <f>E$44*Inputs!$D20</f>
        <v>67.821945627189876</v>
      </c>
      <c r="F57" s="23">
        <f>F$44*Inputs!$D20</f>
        <v>62.529438983950207</v>
      </c>
      <c r="G57" s="23">
        <f>G$44*Inputs!$D20</f>
        <v>62.298157238874644</v>
      </c>
      <c r="H57" s="23">
        <f>H$44*Inputs!$D20</f>
        <v>63.74381585368797</v>
      </c>
      <c r="I57" s="23">
        <f>I$44*Inputs!$D20</f>
        <v>56.338151586233337</v>
      </c>
      <c r="J57" s="23">
        <f>J$44*Inputs!$D20</f>
        <v>56.946552390820379</v>
      </c>
      <c r="K57" s="23">
        <f>K$44*Inputs!$D20</f>
        <v>91.861759443162711</v>
      </c>
      <c r="L57" s="23">
        <f>L$44*Inputs!$D20</f>
        <v>86.607064214138248</v>
      </c>
      <c r="M57" s="23">
        <f>M$44*Inputs!$D20</f>
        <v>79.333843885819746</v>
      </c>
      <c r="N57" s="23">
        <f>N$44*Inputs!$D20</f>
        <v>56.261407971331401</v>
      </c>
      <c r="O57" s="16">
        <f t="shared" si="16"/>
        <v>834.05368917609371</v>
      </c>
      <c r="Q57" s="26" t="s">
        <v>37</v>
      </c>
      <c r="R57" s="6">
        <f>SUM(I51,H52,G53,F54,E55,D56,C57,J50,K49,L48,M47)</f>
        <v>8161.6609626382797</v>
      </c>
      <c r="S57" s="6">
        <f t="shared" si="14"/>
        <v>167.30877563685456</v>
      </c>
      <c r="T57" s="6">
        <f t="shared" si="15"/>
        <v>2.6141996193258561</v>
      </c>
      <c r="U57" s="6">
        <f>SUM(K85,L84,M83,N82)</f>
        <v>3.2479347192766163E-2</v>
      </c>
    </row>
    <row r="58" spans="2:33" x14ac:dyDescent="0.25">
      <c r="B58" s="1" t="s">
        <v>57</v>
      </c>
      <c r="C58" s="22">
        <f>C$44*Inputs!$D21</f>
        <v>62.044537701391306</v>
      </c>
      <c r="D58" s="23">
        <f>D$44*Inputs!$D21</f>
        <v>44.241779994966834</v>
      </c>
      <c r="E58" s="23">
        <f>E$44*Inputs!$D21</f>
        <v>47.957357666251269</v>
      </c>
      <c r="F58" s="23">
        <f>F$44*Inputs!$D21</f>
        <v>44.214990329341646</v>
      </c>
      <c r="G58" s="23">
        <f>G$44*Inputs!$D21</f>
        <v>44.051449439034059</v>
      </c>
      <c r="H58" s="23">
        <f>H$44*Inputs!$D21</f>
        <v>45.073684448849306</v>
      </c>
      <c r="I58" s="23">
        <f>I$44*Inputs!$D21</f>
        <v>39.837089026141228</v>
      </c>
      <c r="J58" s="23">
        <f>J$44*Inputs!$D21</f>
        <v>40.267293360744084</v>
      </c>
      <c r="K58" s="23">
        <f>K$44*Inputs!$D21</f>
        <v>64.956073033987707</v>
      </c>
      <c r="L58" s="23">
        <f>L$44*Inputs!$D21</f>
        <v>61.240442404475914</v>
      </c>
      <c r="M58" s="23">
        <f>M$44*Inputs!$D21</f>
        <v>56.097498989258057</v>
      </c>
      <c r="N58" s="23">
        <f>N$44*Inputs!$D21</f>
        <v>39.782823095631308</v>
      </c>
      <c r="O58" s="16">
        <f t="shared" si="16"/>
        <v>589.76501949007275</v>
      </c>
      <c r="Q58" s="26" t="s">
        <v>38</v>
      </c>
      <c r="R58" s="6">
        <f>SUM(I52,H53,G54,F55,E56,D57,C58,J51,K50,L49,M48,N47)</f>
        <v>7571.5308675096549</v>
      </c>
      <c r="S58" s="6">
        <f t="shared" si="14"/>
        <v>118.30516980483853</v>
      </c>
      <c r="T58" s="6">
        <f t="shared" si="15"/>
        <v>1.8485182782006044</v>
      </c>
      <c r="U58" s="6">
        <f>SUM(,L85,M84,N83)</f>
        <v>1.9001762581501349E-2</v>
      </c>
    </row>
    <row r="59" spans="2:33" x14ac:dyDescent="0.25">
      <c r="B59" s="1" t="s">
        <v>58</v>
      </c>
      <c r="C59" s="23">
        <f>C$44*Inputs!$D22</f>
        <v>43.872113344238208</v>
      </c>
      <c r="D59" s="23">
        <f>D$44*Inputs!$D22</f>
        <v>31.283662646204395</v>
      </c>
      <c r="E59" s="23">
        <f>E$44*Inputs!$D22</f>
        <v>33.910972813594938</v>
      </c>
      <c r="F59" s="23">
        <f>F$44*Inputs!$D22</f>
        <v>31.264719491975104</v>
      </c>
      <c r="G59" s="23">
        <f>G$44*Inputs!$D22</f>
        <v>31.149078619437322</v>
      </c>
      <c r="H59" s="23">
        <f>H$44*Inputs!$D22</f>
        <v>31.871907926843985</v>
      </c>
      <c r="I59" s="23">
        <f>I$44*Inputs!$D22</f>
        <v>28.169075793116669</v>
      </c>
      <c r="J59" s="23">
        <f>J$44*Inputs!$D22</f>
        <v>28.47327619541019</v>
      </c>
      <c r="K59" s="23">
        <f>K$44*Inputs!$D22</f>
        <v>45.930879721581356</v>
      </c>
      <c r="L59" s="23">
        <f>L$44*Inputs!$D22</f>
        <v>43.303532107069124</v>
      </c>
      <c r="M59" s="23">
        <f>M$44*Inputs!$D22</f>
        <v>39.666921942909873</v>
      </c>
      <c r="N59" s="23">
        <f>N$44*Inputs!$D22</f>
        <v>28.130703985665701</v>
      </c>
      <c r="O59" s="16">
        <f t="shared" si="16"/>
        <v>417.02684458804686</v>
      </c>
      <c r="Q59" s="29" t="s">
        <v>39</v>
      </c>
      <c r="R59" s="39">
        <f>SUM(R47:R58)</f>
        <v>72845.10484636623</v>
      </c>
      <c r="S59" s="39">
        <f t="shared" ref="S59:U59" si="17">SUM(S47:S58)</f>
        <v>17993.678562826652</v>
      </c>
      <c r="T59" s="39">
        <f t="shared" si="17"/>
        <v>281.15122754416683</v>
      </c>
      <c r="U59" s="39">
        <f t="shared" si="17"/>
        <v>4.3266861210247134</v>
      </c>
    </row>
    <row r="60" spans="2:33" x14ac:dyDescent="0.25">
      <c r="B60" s="1" t="s">
        <v>59</v>
      </c>
      <c r="C60" s="23">
        <f>C$44*Inputs!$D23</f>
        <v>31.022268850695671</v>
      </c>
      <c r="D60" s="23">
        <f>D$44*Inputs!$D23</f>
        <v>22.120889997483427</v>
      </c>
      <c r="E60" s="23">
        <f>E$44*Inputs!$D23</f>
        <v>23.978678833125649</v>
      </c>
      <c r="F60" s="23">
        <f>F$44*Inputs!$D23</f>
        <v>22.107495164670834</v>
      </c>
      <c r="G60" s="23">
        <f>G$44*Inputs!$D23</f>
        <v>22.02572471951704</v>
      </c>
      <c r="H60" s="23">
        <f>H$44*Inputs!$D23</f>
        <v>22.536842224424667</v>
      </c>
      <c r="I60" s="23">
        <f>I$44*Inputs!$D23</f>
        <v>19.918544513070625</v>
      </c>
      <c r="J60" s="23">
        <f>J$44*Inputs!$D23</f>
        <v>20.133646680372053</v>
      </c>
      <c r="K60" s="23">
        <f>K$44*Inputs!$D23</f>
        <v>32.478036516993875</v>
      </c>
      <c r="L60" s="23">
        <f>L$44*Inputs!$D23</f>
        <v>30.620221202237975</v>
      </c>
      <c r="M60" s="23">
        <f>M$44*Inputs!$D23</f>
        <v>28.048749494629043</v>
      </c>
      <c r="N60" s="28">
        <f>N$44*Inputs!$D23</f>
        <v>19.891411547815665</v>
      </c>
      <c r="O60" s="16">
        <f t="shared" si="16"/>
        <v>294.88250974503654</v>
      </c>
    </row>
    <row r="61" spans="2:33" x14ac:dyDescent="0.25">
      <c r="B61" s="1" t="s">
        <v>60</v>
      </c>
      <c r="C61" s="23">
        <f>C$44*Inputs!$D24</f>
        <v>21.936056672119115</v>
      </c>
      <c r="D61" s="23">
        <f>D$44*Inputs!$D24</f>
        <v>15.641831323102204</v>
      </c>
      <c r="E61" s="23">
        <f>E$44*Inputs!$D24</f>
        <v>16.955486406797476</v>
      </c>
      <c r="F61" s="23">
        <f>F$44*Inputs!$D24</f>
        <v>15.632359745987559</v>
      </c>
      <c r="G61" s="23">
        <f>G$44*Inputs!$D24</f>
        <v>15.574539309718668</v>
      </c>
      <c r="H61" s="23">
        <f>H$44*Inputs!$D24</f>
        <v>15.935953963422</v>
      </c>
      <c r="I61" s="23">
        <f>I$44*Inputs!$D24</f>
        <v>14.08453789655834</v>
      </c>
      <c r="J61" s="23">
        <f>J$44*Inputs!$D24</f>
        <v>14.2366380977051</v>
      </c>
      <c r="K61" s="23">
        <f>K$44*Inputs!$D24</f>
        <v>22.965439860790688</v>
      </c>
      <c r="L61" s="23">
        <f>L$44*Inputs!$D24</f>
        <v>21.651766053534573</v>
      </c>
      <c r="M61" s="28">
        <f>M$44*Inputs!$D24</f>
        <v>19.833460971454947</v>
      </c>
      <c r="N61" s="28">
        <f>N$44*Inputs!$D24</f>
        <v>14.065351992832856</v>
      </c>
      <c r="O61" s="16">
        <f t="shared" si="16"/>
        <v>208.51342229402354</v>
      </c>
    </row>
    <row r="62" spans="2:33" x14ac:dyDescent="0.25">
      <c r="B62" s="1" t="s">
        <v>61</v>
      </c>
      <c r="C62" s="23">
        <f>C$44*Inputs!$D25</f>
        <v>15.511134425347835</v>
      </c>
      <c r="D62" s="23">
        <f>D$44*Inputs!$D25</f>
        <v>11.060444998741714</v>
      </c>
      <c r="E62" s="23">
        <f>E$44*Inputs!$D25</f>
        <v>11.989339416562824</v>
      </c>
      <c r="F62" s="23">
        <f>F$44*Inputs!$D25</f>
        <v>11.053747582335417</v>
      </c>
      <c r="G62" s="23">
        <f>G$44*Inputs!$D25</f>
        <v>11.01286235975852</v>
      </c>
      <c r="H62" s="23">
        <f>H$44*Inputs!$D25</f>
        <v>11.268421112212334</v>
      </c>
      <c r="I62" s="23">
        <f>I$44*Inputs!$D25</f>
        <v>9.9592722565353125</v>
      </c>
      <c r="J62" s="23">
        <f>J$44*Inputs!$D25</f>
        <v>10.066823340186026</v>
      </c>
      <c r="K62" s="23">
        <f>K$44*Inputs!$D25</f>
        <v>16.239018258496937</v>
      </c>
      <c r="L62" s="28">
        <f>L$44*Inputs!$D25</f>
        <v>15.310110601118987</v>
      </c>
      <c r="M62" s="28">
        <f>M$44*Inputs!$D25</f>
        <v>14.024374747314521</v>
      </c>
      <c r="N62" s="28">
        <f>N$44*Inputs!$D25</f>
        <v>9.9457057739078323</v>
      </c>
      <c r="O62" s="16">
        <f t="shared" si="16"/>
        <v>147.44125487251827</v>
      </c>
      <c r="Q62" t="s">
        <v>90</v>
      </c>
      <c r="R62" s="72" t="s">
        <v>91</v>
      </c>
      <c r="S62" s="73"/>
      <c r="T62" s="73"/>
      <c r="U62" s="73"/>
      <c r="V62" s="72" t="s">
        <v>97</v>
      </c>
      <c r="W62" s="73"/>
      <c r="X62" s="73"/>
      <c r="Y62" s="74"/>
      <c r="Z62" s="72" t="s">
        <v>98</v>
      </c>
      <c r="AA62" s="73"/>
      <c r="AB62" s="73"/>
      <c r="AC62" s="74"/>
      <c r="AD62" s="72" t="s">
        <v>115</v>
      </c>
      <c r="AE62" s="73"/>
      <c r="AF62" s="73"/>
      <c r="AG62" s="74"/>
    </row>
    <row r="63" spans="2:33" x14ac:dyDescent="0.25">
      <c r="B63" s="1" t="s">
        <v>62</v>
      </c>
      <c r="C63" s="23">
        <f>C$44*Inputs!$D26</f>
        <v>10.968028336059561</v>
      </c>
      <c r="D63" s="23">
        <f>D$44*Inputs!$D26</f>
        <v>7.8209156615511048</v>
      </c>
      <c r="E63" s="23">
        <f>E$44*Inputs!$D26</f>
        <v>8.4777432033987417</v>
      </c>
      <c r="F63" s="23">
        <f>F$44*Inputs!$D26</f>
        <v>7.8161798729937821</v>
      </c>
      <c r="G63" s="23">
        <f>G$44*Inputs!$D26</f>
        <v>7.7872696548593368</v>
      </c>
      <c r="H63" s="23">
        <f>H$44*Inputs!$D26</f>
        <v>7.9679769817110024</v>
      </c>
      <c r="I63" s="23">
        <f>I$44*Inputs!$D26</f>
        <v>7.0422689482791725</v>
      </c>
      <c r="J63" s="23">
        <f>J$44*Inputs!$D26</f>
        <v>7.1183190488525527</v>
      </c>
      <c r="K63" s="28">
        <f>K$44*Inputs!$D26</f>
        <v>11.482719930395348</v>
      </c>
      <c r="L63" s="28">
        <f>L$44*Inputs!$D26</f>
        <v>10.82588302676729</v>
      </c>
      <c r="M63" s="28">
        <f>M$44*Inputs!$D26</f>
        <v>9.9167304857274772</v>
      </c>
      <c r="N63" s="28">
        <f>N$44*Inputs!$D26</f>
        <v>7.0326759964164305</v>
      </c>
      <c r="O63" s="16">
        <f t="shared" si="16"/>
        <v>104.2567111470118</v>
      </c>
      <c r="Q63" t="s">
        <v>92</v>
      </c>
      <c r="R63" s="40" t="s">
        <v>93</v>
      </c>
      <c r="S63" s="41" t="s">
        <v>94</v>
      </c>
      <c r="T63" s="41" t="s">
        <v>95</v>
      </c>
      <c r="U63" s="41" t="s">
        <v>96</v>
      </c>
      <c r="V63" s="40" t="s">
        <v>94</v>
      </c>
      <c r="W63" s="41" t="s">
        <v>95</v>
      </c>
      <c r="X63" s="41" t="s">
        <v>96</v>
      </c>
      <c r="Y63" s="42" t="s">
        <v>99</v>
      </c>
      <c r="Z63" s="40" t="s">
        <v>95</v>
      </c>
      <c r="AA63" s="41" t="s">
        <v>96</v>
      </c>
      <c r="AB63" s="41" t="s">
        <v>99</v>
      </c>
      <c r="AC63" s="42" t="s">
        <v>100</v>
      </c>
      <c r="AD63" s="40" t="s">
        <v>96</v>
      </c>
      <c r="AE63" s="41" t="s">
        <v>99</v>
      </c>
      <c r="AF63" s="41" t="s">
        <v>100</v>
      </c>
      <c r="AG63" s="42" t="s">
        <v>101</v>
      </c>
    </row>
    <row r="64" spans="2:33" x14ac:dyDescent="0.25">
      <c r="B64" s="1" t="s">
        <v>63</v>
      </c>
      <c r="C64" s="23">
        <f>C$44*Inputs!$D27</f>
        <v>7.7555672126739177</v>
      </c>
      <c r="D64" s="23">
        <f>D$44*Inputs!$D27</f>
        <v>5.5302224993708569</v>
      </c>
      <c r="E64" s="23">
        <f>E$44*Inputs!$D27</f>
        <v>5.9946697082814122</v>
      </c>
      <c r="F64" s="23">
        <f>F$44*Inputs!$D27</f>
        <v>5.5268737911677084</v>
      </c>
      <c r="G64" s="23">
        <f>G$44*Inputs!$D27</f>
        <v>5.50643117987926</v>
      </c>
      <c r="H64" s="23">
        <f>H$44*Inputs!$D27</f>
        <v>5.6342105561061668</v>
      </c>
      <c r="I64" s="23">
        <f>I$44*Inputs!$D27</f>
        <v>4.9796361282676562</v>
      </c>
      <c r="J64" s="28">
        <f>J$44*Inputs!$D27</f>
        <v>5.0334116700930132</v>
      </c>
      <c r="K64" s="28">
        <f>K$44*Inputs!$D27</f>
        <v>8.1195091292484687</v>
      </c>
      <c r="L64" s="28">
        <f>L$44*Inputs!$D27</f>
        <v>7.6550553005594937</v>
      </c>
      <c r="M64" s="28">
        <f>M$44*Inputs!$D27</f>
        <v>7.0121873736572606</v>
      </c>
      <c r="N64" s="28">
        <f>N$44*Inputs!$D27</f>
        <v>4.9728528869539161</v>
      </c>
      <c r="O64" s="16">
        <f t="shared" si="16"/>
        <v>73.720627436259136</v>
      </c>
      <c r="Q64" s="26" t="s">
        <v>27</v>
      </c>
      <c r="R64" s="45">
        <f>$R47*Adherence!BB3*Inputs!$C$6</f>
        <v>1793971.9466894639</v>
      </c>
      <c r="S64" s="46">
        <f>$R47*Adherence!BC3*Inputs!$C$6</f>
        <v>1116133.3001851207</v>
      </c>
      <c r="T64" s="46">
        <f>$R47*Adherence!BD3*Inputs!$C$6</f>
        <v>857642.07817838271</v>
      </c>
      <c r="U64" s="46">
        <f>$R47*Adherence!BE3*Inputs!$C$6</f>
        <v>0</v>
      </c>
      <c r="V64" s="45">
        <f>$S47*Adherence!BB3*Inputs!$C$6</f>
        <v>3420706.538255896</v>
      </c>
      <c r="W64" s="46">
        <f>$S47*Adherence!BC3*Inputs!$C$6</f>
        <v>2128218.6070712632</v>
      </c>
      <c r="X64" s="46">
        <f>$S47*Adherence!BD3*Inputs!$C$6</f>
        <v>1635333.1888617312</v>
      </c>
      <c r="Y64" s="47">
        <f>$S47*Adherence!BE3*Inputs!$C$6</f>
        <v>0</v>
      </c>
      <c r="Z64" s="45">
        <f>$T47*Adherence!BB3*Inputs!$C$6</f>
        <v>53448.539660248454</v>
      </c>
      <c r="AA64" s="46">
        <f>$T47*Adherence!BC3*Inputs!$C$6</f>
        <v>33253.415735488532</v>
      </c>
      <c r="AB64" s="46">
        <f>$T47*Adherence!BD3*Inputs!$C$6</f>
        <v>25552.081075964583</v>
      </c>
      <c r="AC64" s="47">
        <f>$T47*Adherence!BE3*Inputs!$C$6</f>
        <v>0</v>
      </c>
      <c r="AD64" s="45">
        <f>$U47*Adherence!BB3*Inputs!$C$6</f>
        <v>835.13343219138312</v>
      </c>
      <c r="AE64" s="46">
        <f>$U47*Adherence!BC3*Inputs!$C$6</f>
        <v>519.58462086700899</v>
      </c>
      <c r="AF64" s="46">
        <f>$U47*Adherence!BD3*Inputs!$C$6</f>
        <v>399.25126681194712</v>
      </c>
      <c r="AG64" s="47">
        <f>$U47*Adherence!BE3*Inputs!$C$6</f>
        <v>0</v>
      </c>
    </row>
    <row r="65" spans="2:33" x14ac:dyDescent="0.25">
      <c r="B65" s="1" t="s">
        <v>64</v>
      </c>
      <c r="C65" s="23">
        <f>C$44*Inputs!$D28</f>
        <v>5.4840141680297823</v>
      </c>
      <c r="D65" s="23">
        <f>D$44*Inputs!$D28</f>
        <v>3.9104578307755538</v>
      </c>
      <c r="E65" s="23">
        <f>E$44*Inputs!$D28</f>
        <v>4.2388716016993726</v>
      </c>
      <c r="F65" s="23">
        <f>F$44*Inputs!$D28</f>
        <v>3.9080899364968924</v>
      </c>
      <c r="G65" s="23">
        <f>G$44*Inputs!$D28</f>
        <v>3.8936348274296697</v>
      </c>
      <c r="H65" s="23">
        <f>H$44*Inputs!$D28</f>
        <v>3.9839884908555026</v>
      </c>
      <c r="I65" s="28">
        <f>I$44*Inputs!$D28</f>
        <v>3.5211344741395876</v>
      </c>
      <c r="J65" s="28">
        <f>J$44*Inputs!$D28</f>
        <v>3.5591595244262777</v>
      </c>
      <c r="K65" s="28">
        <f>K$44*Inputs!$D28</f>
        <v>5.7413599651976766</v>
      </c>
      <c r="L65" s="28">
        <f>L$44*Inputs!$D28</f>
        <v>5.4129415133836467</v>
      </c>
      <c r="M65" s="28">
        <f>M$44*Inputs!$D28</f>
        <v>4.9583652428637404</v>
      </c>
      <c r="N65" s="28">
        <f>N$44*Inputs!$D28</f>
        <v>3.5163379982082166</v>
      </c>
      <c r="O65" s="16">
        <f t="shared" si="16"/>
        <v>52.128355573505907</v>
      </c>
      <c r="Q65" s="26" t="s">
        <v>28</v>
      </c>
      <c r="R65" s="45">
        <f>$R48*Adherence!BB4*Inputs!$C$6</f>
        <v>2401163.197490097</v>
      </c>
      <c r="S65" s="46">
        <f>$R48*Adherence!BC4*Inputs!$C$6</f>
        <v>1613791.076073684</v>
      </c>
      <c r="T65" s="46">
        <f>$R48*Adherence!BD4*Inputs!$C$6</f>
        <v>1279570.4415754485</v>
      </c>
      <c r="U65" s="46">
        <f>$R48*Adherence!BE4*Inputs!$C$6</f>
        <v>56323.211661385489</v>
      </c>
      <c r="V65" s="45">
        <f>$S48*Adherence!BB4*Inputs!$C$6</f>
        <v>2279638.6554491082</v>
      </c>
      <c r="W65" s="46">
        <f>$S48*Adherence!BC4*Inputs!$C$6</f>
        <v>1532115.9855697628</v>
      </c>
      <c r="X65" s="46">
        <f>$S48*Adherence!BD4*Inputs!$C$6</f>
        <v>1214810.4901968071</v>
      </c>
      <c r="Y65" s="47">
        <f>$S48*Adherence!BE4*Inputs!$C$6</f>
        <v>53472.654685257359</v>
      </c>
      <c r="Z65" s="45">
        <f>$T48*Adherence!BB4*Inputs!$C$6</f>
        <v>35619.35399139236</v>
      </c>
      <c r="AA65" s="46">
        <f>$T48*Adherence!BC4*Inputs!$C$6</f>
        <v>23939.31227452758</v>
      </c>
      <c r="AB65" s="46">
        <f>$T48*Adherence!BD4*Inputs!$C$6</f>
        <v>18981.413909325136</v>
      </c>
      <c r="AC65" s="47">
        <f>$T48*Adherence!BE4*Inputs!$C$6</f>
        <v>835.51022945714726</v>
      </c>
      <c r="AD65" s="45">
        <f>$U48*Adherence!BB4*Inputs!$C$6</f>
        <v>556.5524061155063</v>
      </c>
      <c r="AE65" s="46">
        <f>$U48*Adherence!BC4*Inputs!$C$6</f>
        <v>374.05175428949383</v>
      </c>
      <c r="AF65" s="46">
        <f>$U48*Adherence!BD4*Inputs!$C$6</f>
        <v>296.58459233320559</v>
      </c>
      <c r="AG65" s="47">
        <f>$U48*Adherence!BE4*Inputs!$C$6</f>
        <v>13.054847335267942</v>
      </c>
    </row>
    <row r="66" spans="2:33" x14ac:dyDescent="0.25">
      <c r="B66" s="1" t="s">
        <v>65</v>
      </c>
      <c r="C66" s="23">
        <f>C$44*Inputs!$D29</f>
        <v>3.8777836063369588</v>
      </c>
      <c r="D66" s="23">
        <f>D$44*Inputs!$D29</f>
        <v>2.7651112496854284</v>
      </c>
      <c r="E66" s="23">
        <f>E$44*Inputs!$D29</f>
        <v>2.9973348541407061</v>
      </c>
      <c r="F66" s="23">
        <f>F$44*Inputs!$D29</f>
        <v>2.7634368955838542</v>
      </c>
      <c r="G66" s="23">
        <f>G$44*Inputs!$D29</f>
        <v>2.75321558993963</v>
      </c>
      <c r="H66" s="28">
        <f>H$44*Inputs!$D29</f>
        <v>2.8171052780530834</v>
      </c>
      <c r="I66" s="28">
        <f>I$44*Inputs!$D29</f>
        <v>2.4898180641338281</v>
      </c>
      <c r="J66" s="28">
        <f>J$44*Inputs!$D29</f>
        <v>2.5167058350465066</v>
      </c>
      <c r="K66" s="28">
        <f>K$44*Inputs!$D29</f>
        <v>4.0597545646242343</v>
      </c>
      <c r="L66" s="28">
        <f>L$44*Inputs!$D29</f>
        <v>3.8275276502797468</v>
      </c>
      <c r="M66" s="28">
        <f>M$44*Inputs!$D29</f>
        <v>3.5060936868286303</v>
      </c>
      <c r="N66" s="28">
        <f>N$44*Inputs!$D29</f>
        <v>2.4864264434769581</v>
      </c>
      <c r="O66" s="16">
        <f t="shared" si="16"/>
        <v>36.860313718129568</v>
      </c>
      <c r="Q66" s="26" t="s">
        <v>29</v>
      </c>
      <c r="R66" s="45">
        <f>$R49*Adherence!BB5*Inputs!$C$6</f>
        <v>2811602.3875453626</v>
      </c>
      <c r="S66" s="46">
        <f>$R49*Adherence!BC5*Inputs!$C$6</f>
        <v>2058851.904263095</v>
      </c>
      <c r="T66" s="46">
        <f>$R49*Adherence!BD5*Inputs!$C$6</f>
        <v>1651463.2145357039</v>
      </c>
      <c r="U66" s="46">
        <f>$R49*Adherence!BE5*Inputs!$C$6</f>
        <v>173985.60112131905</v>
      </c>
      <c r="V66" s="45">
        <f>$S49*Adherence!BB5*Inputs!$C$6</f>
        <v>1508331.1064214266</v>
      </c>
      <c r="W66" s="46">
        <f>$S49*Adherence!BC5*Inputs!$C$6</f>
        <v>1104505.5248463405</v>
      </c>
      <c r="X66" s="46">
        <f>$S49*Adherence!BD5*Inputs!$C$6</f>
        <v>885955.05133626761</v>
      </c>
      <c r="Y66" s="47">
        <f>$S49*Adherence!BE5*Inputs!$C$6</f>
        <v>93337.48449041041</v>
      </c>
      <c r="Z66" s="45">
        <f>$T49*Adherence!BB5*Inputs!$C$6</f>
        <v>23567.67353783482</v>
      </c>
      <c r="AA66" s="46">
        <f>$T49*Adherence!BC5*Inputs!$C$6</f>
        <v>17257.898825724093</v>
      </c>
      <c r="AB66" s="46">
        <f>$T49*Adherence!BD5*Inputs!$C$6</f>
        <v>13843.0476771292</v>
      </c>
      <c r="AC66" s="47">
        <f>$T49*Adherence!BE5*Inputs!$C$6</f>
        <v>1458.3981951626647</v>
      </c>
      <c r="AD66" s="45">
        <f>$U49*Adherence!BB5*Inputs!$C$6</f>
        <v>368.24489902866958</v>
      </c>
      <c r="AE66" s="46">
        <f>$U49*Adherence!BC5*Inputs!$C$6</f>
        <v>269.65466915193934</v>
      </c>
      <c r="AF66" s="46">
        <f>$U49*Adherence!BD5*Inputs!$C$6</f>
        <v>216.29761995514406</v>
      </c>
      <c r="AG66" s="47">
        <f>$U49*Adherence!BE5*Inputs!$C$6</f>
        <v>22.787471799416664</v>
      </c>
    </row>
    <row r="67" spans="2:33" x14ac:dyDescent="0.25">
      <c r="B67" s="1" t="s">
        <v>66</v>
      </c>
      <c r="C67" s="23">
        <f>C$44*Inputs!$D30</f>
        <v>2.7420070840148911</v>
      </c>
      <c r="D67" s="23">
        <f>D$44*Inputs!$D30</f>
        <v>1.9552289153877769</v>
      </c>
      <c r="E67" s="23">
        <f>E$44*Inputs!$D30</f>
        <v>2.1194358008496863</v>
      </c>
      <c r="F67" s="23">
        <f>F$44*Inputs!$D30</f>
        <v>1.9540449682484462</v>
      </c>
      <c r="G67" s="28">
        <f>G$44*Inputs!$D30</f>
        <v>1.9468174137148349</v>
      </c>
      <c r="H67" s="28">
        <f>H$44*Inputs!$D30</f>
        <v>1.9919942454277513</v>
      </c>
      <c r="I67" s="28">
        <f>I$44*Inputs!$D30</f>
        <v>1.7605672370697938</v>
      </c>
      <c r="J67" s="28">
        <f>J$44*Inputs!$D30</f>
        <v>1.7795797622131388</v>
      </c>
      <c r="K67" s="28">
        <f>K$44*Inputs!$D30</f>
        <v>2.8706799825988383</v>
      </c>
      <c r="L67" s="28">
        <f>L$44*Inputs!$D30</f>
        <v>2.7064707566918234</v>
      </c>
      <c r="M67" s="28">
        <f>M$44*Inputs!$D30</f>
        <v>2.4791826214318702</v>
      </c>
      <c r="N67" s="28">
        <f>N$44*Inputs!$D30</f>
        <v>1.7581689991041083</v>
      </c>
      <c r="O67" s="16">
        <f t="shared" si="16"/>
        <v>26.064177786752953</v>
      </c>
      <c r="Q67" s="26" t="s">
        <v>30</v>
      </c>
      <c r="R67" s="45">
        <f>$R50*Adherence!BB6*Inputs!$C$6</f>
        <v>2892043.1371506802</v>
      </c>
      <c r="S67" s="46">
        <f>$R50*Adherence!BC6*Inputs!$C$6</f>
        <v>2330715.0524227573</v>
      </c>
      <c r="T67" s="46">
        <f>$R50*Adherence!BD6*Inputs!$C$6</f>
        <v>1867330.755699652</v>
      </c>
      <c r="U67" s="46">
        <f>$R50*Adherence!BE6*Inputs!$C$6</f>
        <v>329650.94913922722</v>
      </c>
      <c r="V67" s="45">
        <f>$S50*Adherence!BB6*Inputs!$C$6</f>
        <v>990040.66343653144</v>
      </c>
      <c r="W67" s="46">
        <f>$S50*Adherence!BC6*Inputs!$C$6</f>
        <v>797879.75744219054</v>
      </c>
      <c r="X67" s="46">
        <f>$S50*Adherence!BD6*Inputs!$C$6</f>
        <v>639248.20362456469</v>
      </c>
      <c r="Y67" s="47">
        <f>$S50*Adherence!BE6*Inputs!$C$6</f>
        <v>112850.26844718136</v>
      </c>
      <c r="Z67" s="45">
        <f>$T50*Adherence!BB6*Inputs!$C$6</f>
        <v>15469.38536619582</v>
      </c>
      <c r="AA67" s="46">
        <f>$T50*Adherence!BC6*Inputs!$C$6</f>
        <v>12466.871210034242</v>
      </c>
      <c r="AB67" s="46">
        <f>$T50*Adherence!BD6*Inputs!$C$6</f>
        <v>9988.253181633836</v>
      </c>
      <c r="AC67" s="47">
        <f>$T50*Adherence!BE6*Inputs!$C$6</f>
        <v>1763.2854444872107</v>
      </c>
      <c r="AD67" s="45">
        <f>$U50*Adherence!BB6*Inputs!$C$6</f>
        <v>239.7284726223406</v>
      </c>
      <c r="AE67" s="46">
        <f>$U50*Adherence!BC6*Inputs!$C$6</f>
        <v>193.19862572509578</v>
      </c>
      <c r="AF67" s="46">
        <f>$U50*Adherence!BD6*Inputs!$C$6</f>
        <v>154.78757705724885</v>
      </c>
      <c r="AG67" s="47">
        <f>$U50*Adherence!BE6*Inputs!$C$6</f>
        <v>27.32556700848906</v>
      </c>
    </row>
    <row r="68" spans="2:33" x14ac:dyDescent="0.25">
      <c r="B68" s="1" t="s">
        <v>67</v>
      </c>
      <c r="C68" s="23">
        <f>C$44*Inputs!$D31</f>
        <v>1.9388918031684805</v>
      </c>
      <c r="D68" s="23">
        <f>D$44*Inputs!$D31</f>
        <v>1.3825556248427151</v>
      </c>
      <c r="E68" s="23">
        <f>E$44*Inputs!$D31</f>
        <v>1.4986674270703537</v>
      </c>
      <c r="F68" s="28">
        <f>F$44*Inputs!$D31</f>
        <v>1.381718447791928</v>
      </c>
      <c r="G68" s="28">
        <f>G$44*Inputs!$D31</f>
        <v>1.3766077949698159</v>
      </c>
      <c r="H68" s="28">
        <f>H$44*Inputs!$D31</f>
        <v>1.4085526390265424</v>
      </c>
      <c r="I68" s="28">
        <f>I$44*Inputs!$D31</f>
        <v>1.2449090320669147</v>
      </c>
      <c r="J68" s="28">
        <f>J$44*Inputs!$D31</f>
        <v>1.258352917523254</v>
      </c>
      <c r="K68" s="28">
        <f>K$44*Inputs!$D31</f>
        <v>2.0298772823121181</v>
      </c>
      <c r="L68" s="28">
        <f>L$44*Inputs!$D31</f>
        <v>1.9137638251398743</v>
      </c>
      <c r="M68" s="28">
        <f>M$44*Inputs!$D31</f>
        <v>1.7530468434143163</v>
      </c>
      <c r="N68" s="28">
        <f>N$44*Inputs!$D31</f>
        <v>1.2432132217384797</v>
      </c>
      <c r="O68" s="16">
        <f t="shared" si="16"/>
        <v>18.430156859064791</v>
      </c>
      <c r="Q68" s="26" t="s">
        <v>31</v>
      </c>
      <c r="R68" s="45">
        <f>$R51*Adherence!BB7*Inputs!$C$6</f>
        <v>2840392.6531932196</v>
      </c>
      <c r="S68" s="46">
        <f>$R51*Adherence!BC7*Inputs!$C$6</f>
        <v>2549817.7173602199</v>
      </c>
      <c r="T68" s="46">
        <f>$R51*Adherence!BD7*Inputs!$C$6</f>
        <v>2028637.9006673417</v>
      </c>
      <c r="U68" s="46">
        <f>$R51*Adherence!BE7*Inputs!$C$6</f>
        <v>502790.258612737</v>
      </c>
      <c r="V68" s="45">
        <f>$S51*Adherence!BB7*Inputs!$C$6</f>
        <v>643999.17120117403</v>
      </c>
      <c r="W68" s="46">
        <f>$S51*Adherence!BC7*Inputs!$C$6</f>
        <v>578117.42853509891</v>
      </c>
      <c r="X68" s="46">
        <f>$S51*Adherence!BD7*Inputs!$C$6</f>
        <v>459950.88926467026</v>
      </c>
      <c r="Y68" s="47">
        <f>$S51*Adherence!BE7*Inputs!$C$6</f>
        <v>113997.09454627999</v>
      </c>
      <c r="Z68" s="45">
        <f>$T51*Adherence!BB7*Inputs!$C$6</f>
        <v>10062.487050018359</v>
      </c>
      <c r="AA68" s="46">
        <f>$T51*Adherence!BC7*Inputs!$C$6</f>
        <v>9033.0848208609314</v>
      </c>
      <c r="AB68" s="46">
        <f>$T51*Adherence!BD7*Inputs!$C$6</f>
        <v>7186.7326447604837</v>
      </c>
      <c r="AC68" s="47">
        <f>$T51*Adherence!BE7*Inputs!$C$6</f>
        <v>1781.2046022856273</v>
      </c>
      <c r="AD68" s="45">
        <f>$U51*Adherence!BB7*Inputs!$C$6</f>
        <v>154.6387368616347</v>
      </c>
      <c r="AE68" s="46">
        <f>$U51*Adherence!BC7*Inputs!$C$6</f>
        <v>138.81904341525507</v>
      </c>
      <c r="AF68" s="46">
        <f>$U51*Adherence!BD7*Inputs!$C$6</f>
        <v>110.44459017177158</v>
      </c>
      <c r="AG68" s="47">
        <f>$U51*Adherence!BE7*Inputs!$C$6</f>
        <v>27.373275455701307</v>
      </c>
    </row>
    <row r="69" spans="2:33" x14ac:dyDescent="0.25">
      <c r="B69" s="1" t="s">
        <v>68</v>
      </c>
      <c r="C69" s="23">
        <f>C$44*Inputs!$D32</f>
        <v>1.3710035420074462</v>
      </c>
      <c r="D69" s="23">
        <f>D$44*Inputs!$D32</f>
        <v>0.97761445769388888</v>
      </c>
      <c r="E69" s="28">
        <f>E$44*Inputs!$D32</f>
        <v>1.0597179004248436</v>
      </c>
      <c r="F69" s="28">
        <f>F$44*Inputs!$D32</f>
        <v>0.97702248412422354</v>
      </c>
      <c r="G69" s="28">
        <f>G$44*Inputs!$D32</f>
        <v>0.97340870685741787</v>
      </c>
      <c r="H69" s="28">
        <f>H$44*Inputs!$D32</f>
        <v>0.99599712271387608</v>
      </c>
      <c r="I69" s="28">
        <f>I$44*Inputs!$D32</f>
        <v>0.88028361853489723</v>
      </c>
      <c r="J69" s="28">
        <f>J$44*Inputs!$D32</f>
        <v>0.88978988110656976</v>
      </c>
      <c r="K69" s="28">
        <f>K$44*Inputs!$D32</f>
        <v>1.4353399912994196</v>
      </c>
      <c r="L69" s="28">
        <f>L$44*Inputs!$D32</f>
        <v>1.3532353783459121</v>
      </c>
      <c r="M69" s="28">
        <f>M$44*Inputs!$D32</f>
        <v>1.2395913107159355</v>
      </c>
      <c r="N69" s="28">
        <f>N$44*Inputs!$D32</f>
        <v>0.87908449955205448</v>
      </c>
      <c r="O69" s="16">
        <f t="shared" si="16"/>
        <v>13.032088893376486</v>
      </c>
      <c r="Q69" s="26" t="s">
        <v>32</v>
      </c>
      <c r="R69" s="45">
        <f>$R52*Adherence!BB8*Inputs!$C$6</f>
        <v>2715415.1370277414</v>
      </c>
      <c r="S69" s="46">
        <f>$R52*Adherence!BC8*Inputs!$C$6</f>
        <v>2755959.2025230606</v>
      </c>
      <c r="T69" s="46">
        <f>$R52*Adherence!BD8*Inputs!$C$6</f>
        <v>2176409.2652368513</v>
      </c>
      <c r="U69" s="46">
        <f>$R52*Adherence!BE8*Inputs!$C$6</f>
        <v>690827.60310555133</v>
      </c>
      <c r="V69" s="45">
        <f>$S52*Adherence!BB8*Inputs!$C$6</f>
        <v>413570.41228432354</v>
      </c>
      <c r="W69" s="46">
        <f>$S52*Adherence!BC8*Inputs!$C$6</f>
        <v>419745.46288853261</v>
      </c>
      <c r="X69" s="46">
        <f>$S52*Adherence!BD8*Inputs!$C$6</f>
        <v>331477.29967678624</v>
      </c>
      <c r="Y69" s="47">
        <f>$S52*Adherence!BE8*Inputs!$C$6</f>
        <v>105216.2716255916</v>
      </c>
      <c r="Z69" s="45">
        <f>$T52*Adherence!BB8*Inputs!$C$6</f>
        <v>6462.0376919425635</v>
      </c>
      <c r="AA69" s="46">
        <f>$T52*Adherence!BC8*Inputs!$C$6</f>
        <v>6558.522857633332</v>
      </c>
      <c r="AB69" s="46">
        <f>$T52*Adherence!BD8*Inputs!$C$6</f>
        <v>5179.3328074497922</v>
      </c>
      <c r="AC69" s="47">
        <f>$T52*Adherence!BE8*Inputs!$C$6</f>
        <v>1644.0042441498708</v>
      </c>
      <c r="AD69" s="45">
        <f>$U52*Adherence!BB8*Inputs!$C$6</f>
        <v>98.028530370780729</v>
      </c>
      <c r="AE69" s="46">
        <f>$U52*Adherence!BC8*Inputs!$C$6</f>
        <v>99.492201653144292</v>
      </c>
      <c r="AF69" s="46">
        <f>$U52*Adherence!BD8*Inputs!$C$6</f>
        <v>78.57001268323549</v>
      </c>
      <c r="AG69" s="47">
        <f>$U52*Adherence!BE8*Inputs!$C$6</f>
        <v>24.939396465960829</v>
      </c>
    </row>
    <row r="70" spans="2:33" x14ac:dyDescent="0.25">
      <c r="B70" s="1" t="s">
        <v>69</v>
      </c>
      <c r="C70" s="23">
        <f>C$44*Inputs!$D33</f>
        <v>0.96944590158424027</v>
      </c>
      <c r="D70" s="28">
        <f>D$44*Inputs!$D33</f>
        <v>0.69127781242135755</v>
      </c>
      <c r="E70" s="28">
        <f>E$44*Inputs!$D33</f>
        <v>0.74933371353517686</v>
      </c>
      <c r="F70" s="28">
        <f>F$44*Inputs!$D33</f>
        <v>0.69085922389596399</v>
      </c>
      <c r="G70" s="28">
        <f>G$44*Inputs!$D33</f>
        <v>0.68830389748490794</v>
      </c>
      <c r="H70" s="28">
        <f>H$44*Inputs!$D33</f>
        <v>0.70427631951327119</v>
      </c>
      <c r="I70" s="28">
        <f>I$44*Inputs!$D33</f>
        <v>0.62245451603345736</v>
      </c>
      <c r="J70" s="28">
        <f>J$44*Inputs!$D33</f>
        <v>0.62917645876162698</v>
      </c>
      <c r="K70" s="28">
        <f>K$44*Inputs!$D33</f>
        <v>1.014938641156059</v>
      </c>
      <c r="L70" s="28">
        <f>L$44*Inputs!$D33</f>
        <v>0.95688191256993715</v>
      </c>
      <c r="M70" s="28">
        <f>M$44*Inputs!$D33</f>
        <v>0.87652342170715813</v>
      </c>
      <c r="N70" s="28">
        <f>N$44*Inputs!$D33</f>
        <v>0.62160661086923985</v>
      </c>
      <c r="O70" s="16">
        <f t="shared" si="16"/>
        <v>9.2150784295323955</v>
      </c>
      <c r="Q70" s="26" t="s">
        <v>33</v>
      </c>
      <c r="R70" s="45">
        <f>$R53*Adherence!BB9*Inputs!$C$6</f>
        <v>2431055.3274247027</v>
      </c>
      <c r="S70" s="46">
        <f>$R53*Adherence!BC9*Inputs!$C$6</f>
        <v>2820768.9209618699</v>
      </c>
      <c r="T70" s="46">
        <f>$R53*Adherence!BD9*Inputs!$C$6</f>
        <v>2211950.4397348859</v>
      </c>
      <c r="U70" s="46">
        <f>$R53*Adherence!BE9*Inputs!$C$6</f>
        <v>851680.64084615547</v>
      </c>
      <c r="V70" s="45">
        <f>$S53*Adherence!BB9*Inputs!$C$6</f>
        <v>262543.19225435605</v>
      </c>
      <c r="W70" s="46">
        <f>$S53*Adherence!BC9*Inputs!$C$6</f>
        <v>304630.53175581933</v>
      </c>
      <c r="X70" s="46">
        <f>$S53*Adherence!BD9*Inputs!$C$6</f>
        <v>238880.8362381504</v>
      </c>
      <c r="Y70" s="47">
        <f>$S53*Adherence!BE9*Inputs!$C$6</f>
        <v>91977.731525285912</v>
      </c>
      <c r="Z70" s="45">
        <f>$T53*Adherence!BB9*Inputs!$C$6</f>
        <v>4102.2373789743187</v>
      </c>
      <c r="AA70" s="46">
        <f>$T53*Adherence!BC9*Inputs!$C$6</f>
        <v>4759.8520586846835</v>
      </c>
      <c r="AB70" s="46">
        <f>$T53*Adherence!BD9*Inputs!$C$6</f>
        <v>3732.5130662211054</v>
      </c>
      <c r="AC70" s="47">
        <f>$T53*Adherence!BE9*Inputs!$C$6</f>
        <v>1437.1520550825944</v>
      </c>
      <c r="AD70" s="45">
        <f>$U53*Adherence!BB9*Inputs!$C$6</f>
        <v>61.171875037178189</v>
      </c>
      <c r="AE70" s="46">
        <f>$U53*Adherence!BC9*Inputs!$C$6</f>
        <v>70.978114728727789</v>
      </c>
      <c r="AF70" s="46">
        <f>$U53*Adherence!BD9*Inputs!$C$6</f>
        <v>55.658608161432191</v>
      </c>
      <c r="AG70" s="47">
        <f>$U53*Adherence!BE9*Inputs!$C$6</f>
        <v>21.430570150213299</v>
      </c>
    </row>
    <row r="71" spans="2:33" x14ac:dyDescent="0.25">
      <c r="B71" s="1" t="s">
        <v>70</v>
      </c>
      <c r="C71" s="28">
        <f>C$44*Inputs!$D34</f>
        <v>0.68550177100372311</v>
      </c>
      <c r="D71" s="28">
        <f>D$44*Inputs!$D34</f>
        <v>0.48880722884694444</v>
      </c>
      <c r="E71" s="28">
        <f>E$44*Inputs!$D34</f>
        <v>0.5298589502124218</v>
      </c>
      <c r="F71" s="28">
        <f>F$44*Inputs!$D34</f>
        <v>0.48851124206211177</v>
      </c>
      <c r="G71" s="28">
        <f>G$44*Inputs!$D34</f>
        <v>0.48670435342870894</v>
      </c>
      <c r="H71" s="28">
        <f>H$44*Inputs!$D34</f>
        <v>0.49799856135693804</v>
      </c>
      <c r="I71" s="28">
        <f>I$44*Inputs!$D34</f>
        <v>0.44014180926744861</v>
      </c>
      <c r="J71" s="28">
        <f>J$44*Inputs!$D34</f>
        <v>0.44489494055328488</v>
      </c>
      <c r="K71" s="28">
        <f>K$44*Inputs!$D34</f>
        <v>0.71766999564970979</v>
      </c>
      <c r="L71" s="28">
        <f>L$44*Inputs!$D34</f>
        <v>0.67661768917295606</v>
      </c>
      <c r="M71" s="28">
        <f>M$44*Inputs!$D34</f>
        <v>0.61979565535796777</v>
      </c>
      <c r="N71" s="28">
        <f>N$44*Inputs!$D34</f>
        <v>0.43954224977602724</v>
      </c>
      <c r="O71" s="16">
        <f t="shared" si="16"/>
        <v>6.5160444466882428</v>
      </c>
      <c r="Q71" s="26" t="s">
        <v>34</v>
      </c>
      <c r="R71" s="45">
        <f>$R54*Adherence!BB10*Inputs!$C$6</f>
        <v>2142616.170930448</v>
      </c>
      <c r="S71" s="46">
        <f>$R54*Adherence!BC10*Inputs!$C$6</f>
        <v>2905430.8775880612</v>
      </c>
      <c r="T71" s="46">
        <f>$R54*Adherence!BD10*Inputs!$C$6</f>
        <v>2257147.7973200353</v>
      </c>
      <c r="U71" s="46">
        <f>$R54*Adherence!BE10*Inputs!$C$6</f>
        <v>1020011.6056054538</v>
      </c>
      <c r="V71" s="45">
        <f>$S54*Adherence!BB10*Inputs!$C$6</f>
        <v>163427.94578867685</v>
      </c>
      <c r="W71" s="46">
        <f>$S54*Adherence!BC10*Inputs!$C$6</f>
        <v>221611.60099385012</v>
      </c>
      <c r="X71" s="46">
        <f>$S54*Adherence!BD10*Inputs!$C$6</f>
        <v>172163.84010453004</v>
      </c>
      <c r="Y71" s="47">
        <f>$S54*Adherence!BE10*Inputs!$C$6</f>
        <v>77801.336350560276</v>
      </c>
      <c r="Z71" s="45">
        <f>$T54*Adherence!BB10*Inputs!$C$6</f>
        <v>2553.561652948079</v>
      </c>
      <c r="AA71" s="46">
        <f>$T54*Adherence!BC10*Inputs!$C$6</f>
        <v>3462.6812655289123</v>
      </c>
      <c r="AB71" s="46">
        <f>$T54*Adherence!BD10*Inputs!$C$6</f>
        <v>2690.0600016332855</v>
      </c>
      <c r="AC71" s="47">
        <f>$T54*Adherence!BE10*Inputs!$C$6</f>
        <v>1215.6458804775059</v>
      </c>
      <c r="AD71" s="45">
        <f>$U54*Adherence!BB10*Inputs!$C$6</f>
        <v>37.149737812284862</v>
      </c>
      <c r="AE71" s="46">
        <f>$U54*Adherence!BC10*Inputs!$C$6</f>
        <v>50.37579609381978</v>
      </c>
      <c r="AF71" s="46">
        <f>$U54*Adherence!BD10*Inputs!$C$6</f>
        <v>39.135543739316596</v>
      </c>
      <c r="AG71" s="47">
        <f>$U54*Adherence!BE10*Inputs!$C$6</f>
        <v>17.685465193364479</v>
      </c>
    </row>
    <row r="72" spans="2:33" x14ac:dyDescent="0.25">
      <c r="B72" s="1" t="s">
        <v>71</v>
      </c>
      <c r="C72" s="28">
        <f>C$44*Inputs!$D35</f>
        <v>0.48472295079212036</v>
      </c>
      <c r="D72" s="28">
        <f>D$44*Inputs!$D35</f>
        <v>0.34563890621067894</v>
      </c>
      <c r="E72" s="28">
        <f>E$44*Inputs!$D35</f>
        <v>0.37466685676758865</v>
      </c>
      <c r="F72" s="28">
        <f>F$44*Inputs!$D35</f>
        <v>0.34542961194798216</v>
      </c>
      <c r="G72" s="28">
        <f>G$44*Inputs!$D35</f>
        <v>0.34415194874245414</v>
      </c>
      <c r="H72" s="28">
        <f>H$44*Inputs!$D35</f>
        <v>0.35213815975663582</v>
      </c>
      <c r="I72" s="28">
        <f>I$44*Inputs!$D35</f>
        <v>0.31122725801672885</v>
      </c>
      <c r="J72" s="28">
        <f>J$44*Inputs!$D35</f>
        <v>0.31458822938081366</v>
      </c>
      <c r="K72" s="28">
        <f>K$44*Inputs!$D35</f>
        <v>0.50746932057802985</v>
      </c>
      <c r="L72" s="28">
        <f>L$44*Inputs!$D35</f>
        <v>0.47844095628496885</v>
      </c>
      <c r="M72" s="28">
        <f>M$44*Inputs!$D35</f>
        <v>0.43826171085357929</v>
      </c>
      <c r="N72" s="27">
        <f>N$44*Inputs!$D35</f>
        <v>0.31080330543462009</v>
      </c>
      <c r="O72" s="16">
        <f t="shared" si="16"/>
        <v>4.6075392147662004</v>
      </c>
      <c r="Q72" s="26" t="s">
        <v>35</v>
      </c>
      <c r="R72" s="45">
        <f>$R55*Adherence!BB11*Inputs!$C$6</f>
        <v>2165416.7032430256</v>
      </c>
      <c r="S72" s="46">
        <f>$R55*Adherence!BC11*Inputs!$C$6</f>
        <v>3544642.7203565161</v>
      </c>
      <c r="T72" s="46">
        <f>$R55*Adherence!BD11*Inputs!$C$6</f>
        <v>2718856.3366543055</v>
      </c>
      <c r="U72" s="46">
        <f>$R55*Adherence!BE11*Inputs!$C$6</f>
        <v>1402448.8379871391</v>
      </c>
      <c r="V72" s="45">
        <f>$S55*Adherence!BB11*Inputs!$C$6</f>
        <v>98898.484804750376</v>
      </c>
      <c r="W72" s="46">
        <f>$S55*Adherence!BC11*Inputs!$C$6</f>
        <v>161890.22357333524</v>
      </c>
      <c r="X72" s="46">
        <f>$S55*Adherence!BD11*Inputs!$C$6</f>
        <v>124175.07064307861</v>
      </c>
      <c r="Y72" s="47">
        <f>$S55*Adherence!BE11*Inputs!$C$6</f>
        <v>64052.366865641816</v>
      </c>
      <c r="Z72" s="45">
        <f>$T55*Adherence!BB11*Inputs!$C$6</f>
        <v>1545.2888250742269</v>
      </c>
      <c r="AA72" s="46">
        <f>$T55*Adherence!BC11*Inputs!$C$6</f>
        <v>2529.5347433333668</v>
      </c>
      <c r="AB72" s="46">
        <f>$T55*Adherence!BD11*Inputs!$C$6</f>
        <v>1940.235478798106</v>
      </c>
      <c r="AC72" s="47">
        <f>$T55*Adherence!BE11*Inputs!$C$6</f>
        <v>1000.8182322756546</v>
      </c>
      <c r="AD72" s="45">
        <f>$U55*Adherence!BB11*Inputs!$C$6</f>
        <v>21.668078100032989</v>
      </c>
      <c r="AE72" s="46">
        <f>$U55*Adherence!BC11*Inputs!$C$6</f>
        <v>35.469198693429703</v>
      </c>
      <c r="AF72" s="46">
        <f>$U55*Adherence!BD11*Inputs!$C$6</f>
        <v>27.206029840429888</v>
      </c>
      <c r="AG72" s="47">
        <f>$U55*Adherence!BE11*Inputs!$C$6</f>
        <v>14.033497990153512</v>
      </c>
    </row>
    <row r="73" spans="2:33" x14ac:dyDescent="0.25">
      <c r="B73" s="1" t="s">
        <v>72</v>
      </c>
      <c r="C73" s="28">
        <f>C$44*Inputs!$D36</f>
        <v>0.34275088550186167</v>
      </c>
      <c r="D73" s="28">
        <f>D$44*Inputs!$D36</f>
        <v>0.2444036144234723</v>
      </c>
      <c r="E73" s="28">
        <f>E$44*Inputs!$D36</f>
        <v>0.26492947510621095</v>
      </c>
      <c r="F73" s="28">
        <f>F$44*Inputs!$D36</f>
        <v>0.24425562103105597</v>
      </c>
      <c r="G73" s="28">
        <f>G$44*Inputs!$D36</f>
        <v>0.24335217671435455</v>
      </c>
      <c r="H73" s="28">
        <f>H$44*Inputs!$D36</f>
        <v>0.2489992806784691</v>
      </c>
      <c r="I73" s="28">
        <f>I$44*Inputs!$D36</f>
        <v>0.22007090463372439</v>
      </c>
      <c r="J73" s="28">
        <f>J$44*Inputs!$D36</f>
        <v>0.22244747027664252</v>
      </c>
      <c r="K73" s="28">
        <f>K$44*Inputs!$D36</f>
        <v>0.35883499782485506</v>
      </c>
      <c r="L73" s="28">
        <f>L$44*Inputs!$D36</f>
        <v>0.3383088445864782</v>
      </c>
      <c r="M73" s="27">
        <f>M$44*Inputs!$D36</f>
        <v>0.30989782767898399</v>
      </c>
      <c r="N73" s="27">
        <f>N$44*Inputs!$D36</f>
        <v>0.2197711248880137</v>
      </c>
      <c r="O73" s="16">
        <f t="shared" si="16"/>
        <v>3.2580222233441223</v>
      </c>
      <c r="Q73" s="26" t="s">
        <v>36</v>
      </c>
      <c r="R73" s="45">
        <f>$R56*Adherence!BB12*Inputs!$C$6</f>
        <v>1881096.9100599964</v>
      </c>
      <c r="S73" s="46">
        <f>$R56*Adherence!BC12*Inputs!$C$6</f>
        <v>4044487.7807316529</v>
      </c>
      <c r="T73" s="46">
        <f>$R56*Adherence!BD12*Inputs!$C$6</f>
        <v>3002151.1470472231</v>
      </c>
      <c r="U73" s="46">
        <f>$R56*Adherence!BE12*Inputs!$C$6</f>
        <v>1743006.1737054819</v>
      </c>
      <c r="V73" s="45">
        <f>$S56*Adherence!BB12*Inputs!$C$6</f>
        <v>55971.057189063598</v>
      </c>
      <c r="W73" s="46">
        <f>$S56*Adherence!BC12*Inputs!$C$6</f>
        <v>120341.62390314072</v>
      </c>
      <c r="X73" s="46">
        <f>$S56*Adherence!BD12*Inputs!$C$6</f>
        <v>89327.441155721041</v>
      </c>
      <c r="Y73" s="47">
        <f>$S56*Adherence!BE12*Inputs!$C$6</f>
        <v>51862.23937088329</v>
      </c>
      <c r="Z73" s="45">
        <f>$T56*Adherence!BB12*Inputs!$C$6</f>
        <v>874.54776857911997</v>
      </c>
      <c r="AA73" s="46">
        <f>$T56*Adherence!BC12*Inputs!$C$6</f>
        <v>1880.3378734865764</v>
      </c>
      <c r="AB73" s="46">
        <f>$T56*Adherence!BD12*Inputs!$C$6</f>
        <v>1395.7412680581429</v>
      </c>
      <c r="AC73" s="47">
        <f>$T56*Adherence!BE12*Inputs!$C$6</f>
        <v>810.34749017005254</v>
      </c>
      <c r="AD73" s="45">
        <f>$U56*Adherence!BB12*Inputs!$C$6</f>
        <v>11.687758808583041</v>
      </c>
      <c r="AE73" s="46">
        <f>$U56*Adherence!BC12*Inputs!$C$6</f>
        <v>25.129485585059605</v>
      </c>
      <c r="AF73" s="46">
        <f>$U56*Adherence!BD12*Inputs!$C$6</f>
        <v>18.653168970693663</v>
      </c>
      <c r="AG73" s="47">
        <f>$U56*Adherence!BE12*Inputs!$C$6</f>
        <v>10.829764086684465</v>
      </c>
    </row>
    <row r="74" spans="2:33" x14ac:dyDescent="0.25">
      <c r="B74" s="1" t="s">
        <v>73</v>
      </c>
      <c r="C74" s="28">
        <f>C$44*Inputs!$D37</f>
        <v>0.24236147539606018</v>
      </c>
      <c r="D74" s="28">
        <f>D$44*Inputs!$D37</f>
        <v>0.17281945310533947</v>
      </c>
      <c r="E74" s="28">
        <f>E$44*Inputs!$D37</f>
        <v>0.18733342838379433</v>
      </c>
      <c r="F74" s="28">
        <f>F$44*Inputs!$D37</f>
        <v>0.17271480597399108</v>
      </c>
      <c r="G74" s="28">
        <f>G$44*Inputs!$D37</f>
        <v>0.17207597437122707</v>
      </c>
      <c r="H74" s="28">
        <f>H$44*Inputs!$D37</f>
        <v>0.17606907987831791</v>
      </c>
      <c r="I74" s="28">
        <f>I$44*Inputs!$D37</f>
        <v>0.15561362900836442</v>
      </c>
      <c r="J74" s="28">
        <f>J$44*Inputs!$D37</f>
        <v>0.15729411469040683</v>
      </c>
      <c r="K74" s="28">
        <f>K$44*Inputs!$D37</f>
        <v>0.25373466028901492</v>
      </c>
      <c r="L74" s="27">
        <f>L$44*Inputs!$D37</f>
        <v>0.23922047814248443</v>
      </c>
      <c r="M74" s="27">
        <f>M$44*Inputs!$D37</f>
        <v>0.21913085542678964</v>
      </c>
      <c r="N74" s="27">
        <f>N$44*Inputs!$D37</f>
        <v>0.15540165271731005</v>
      </c>
      <c r="O74" s="16">
        <f t="shared" si="16"/>
        <v>2.3037696073831002</v>
      </c>
      <c r="Q74" s="26" t="s">
        <v>37</v>
      </c>
      <c r="R74" s="45">
        <f>$R57*Adherence!BB13*Inputs!$C$6</f>
        <v>1431456.7819237451</v>
      </c>
      <c r="S74" s="46">
        <f>$R57*Adherence!BC13*Inputs!$C$6</f>
        <v>4364343.1646732045</v>
      </c>
      <c r="T74" s="46">
        <f>$R57*Adherence!BD13*Inputs!$C$6</f>
        <v>3138745.9408010496</v>
      </c>
      <c r="U74" s="46">
        <f>$R57*Adherence!BE13*Inputs!$C$6</f>
        <v>2017412.656106458</v>
      </c>
      <c r="V74" s="45">
        <f>$S57*Adherence!BB13*Inputs!$C$6</f>
        <v>29343.939016466597</v>
      </c>
      <c r="W74" s="46">
        <f>$S57*Adherence!BC13*Inputs!$C$6</f>
        <v>89466.214620180937</v>
      </c>
      <c r="X74" s="46">
        <f>$S57*Adherence!BD13*Inputs!$C$6</f>
        <v>64342.263516520536</v>
      </c>
      <c r="Y74" s="47">
        <f>$S57*Adherence!BE13*Inputs!$C$6</f>
        <v>41355.655790234938</v>
      </c>
      <c r="Z74" s="45">
        <f>$T57*Adherence!BB13*Inputs!$C$6</f>
        <v>458.49904713229114</v>
      </c>
      <c r="AA74" s="46">
        <f>$T57*Adherence!BC13*Inputs!$C$6</f>
        <v>1397.9096034403292</v>
      </c>
      <c r="AB74" s="46">
        <f>$T57*Adherence!BD13*Inputs!$C$6</f>
        <v>1005.3478674456347</v>
      </c>
      <c r="AC74" s="47">
        <f>$T57*Adherence!BE13*Inputs!$C$6</f>
        <v>646.18212172242181</v>
      </c>
      <c r="AD74" s="45">
        <f>$U57*Adherence!BB13*Inputs!$C$6</f>
        <v>5.6964853140030653</v>
      </c>
      <c r="AE74" s="46">
        <f>$U57*Adherence!BC13*Inputs!$C$6</f>
        <v>17.36791292393692</v>
      </c>
      <c r="AF74" s="46">
        <f>$U57*Adherence!BD13*Inputs!$C$6</f>
        <v>12.490646159872947</v>
      </c>
      <c r="AG74" s="47">
        <f>$U57*Adherence!BE13*Inputs!$C$6</f>
        <v>8.0282979639454819</v>
      </c>
    </row>
    <row r="75" spans="2:33" x14ac:dyDescent="0.25">
      <c r="B75" s="1" t="s">
        <v>74</v>
      </c>
      <c r="C75" s="28">
        <f>C$44*Inputs!$D38</f>
        <v>0.17137544275093083</v>
      </c>
      <c r="D75" s="28">
        <f>D$44*Inputs!$D38</f>
        <v>0.12220180721173615</v>
      </c>
      <c r="E75" s="28">
        <f>E$44*Inputs!$D38</f>
        <v>0.13246473755310548</v>
      </c>
      <c r="F75" s="28">
        <f>F$44*Inputs!$D38</f>
        <v>0.12212781051552798</v>
      </c>
      <c r="G75" s="28">
        <f>G$44*Inputs!$D38</f>
        <v>0.12167608835717728</v>
      </c>
      <c r="H75" s="28">
        <f>H$44*Inputs!$D38</f>
        <v>0.12449964033923455</v>
      </c>
      <c r="I75" s="28">
        <f>I$44*Inputs!$D38</f>
        <v>0.1100354523168622</v>
      </c>
      <c r="J75" s="28">
        <f>J$44*Inputs!$D38</f>
        <v>0.11122373513832126</v>
      </c>
      <c r="K75" s="27">
        <f>K$44*Inputs!$D38</f>
        <v>0.17941749891242753</v>
      </c>
      <c r="L75" s="27">
        <f>L$44*Inputs!$D38</f>
        <v>0.1691544222932391</v>
      </c>
      <c r="M75" s="27">
        <f>M$44*Inputs!$D38</f>
        <v>0.154948913839492</v>
      </c>
      <c r="N75" s="27">
        <f>N$44*Inputs!$D38</f>
        <v>0.10988556244400685</v>
      </c>
      <c r="O75" s="16">
        <f t="shared" si="16"/>
        <v>1.6290111116720611</v>
      </c>
      <c r="Q75" s="26" t="s">
        <v>38</v>
      </c>
      <c r="R75" s="48">
        <f>$R58*Adherence!BB14*Inputs!$C$6</f>
        <v>696684.9810464764</v>
      </c>
      <c r="S75" s="49">
        <f>$R58*Adherence!BC14*Inputs!$C$6</f>
        <v>4413280.6679282347</v>
      </c>
      <c r="T75" s="49">
        <f>$R58*Adherence!BD14*Inputs!$C$6</f>
        <v>2962770.6444061445</v>
      </c>
      <c r="U75" s="49">
        <f>$R58*Adherence!BE14*Inputs!$C$6</f>
        <v>2087339.2784210106</v>
      </c>
      <c r="V75" s="48">
        <f>$S58*Adherence!BB14*Inputs!$C$6</f>
        <v>10885.70282885121</v>
      </c>
      <c r="W75" s="49">
        <f>$S58*Adherence!BC14*Inputs!$C$6</f>
        <v>68957.510436378769</v>
      </c>
      <c r="X75" s="49">
        <f>$S58*Adherence!BD14*Inputs!$C$6</f>
        <v>46293.291318846073</v>
      </c>
      <c r="Y75" s="50">
        <f>$S58*Adherence!BE14*Inputs!$C$6</f>
        <v>32614.676225328338</v>
      </c>
      <c r="Z75" s="48">
        <f>$T58*Adherence!BB14*Inputs!$C$6</f>
        <v>170.08910670080039</v>
      </c>
      <c r="AA75" s="49">
        <f>$T58*Adherence!BC14*Inputs!$C$6</f>
        <v>1077.4611005684196</v>
      </c>
      <c r="AB75" s="49">
        <f>$T58*Adherence!BD14*Inputs!$C$6</f>
        <v>723.33267685697081</v>
      </c>
      <c r="AC75" s="50">
        <f>$T58*Adherence!BE14*Inputs!$C$6</f>
        <v>509.60431602075596</v>
      </c>
      <c r="AD75" s="48">
        <f>$U58*Adherence!BB14*Inputs!$C$6</f>
        <v>1.7484235137638804</v>
      </c>
      <c r="AE75" s="49">
        <f>$U58*Adherence!BC14*Inputs!$C$6</f>
        <v>11.075714135612362</v>
      </c>
      <c r="AF75" s="49">
        <f>$U58*Adherence!BD14*Inputs!$C$6</f>
        <v>7.4354665329343357</v>
      </c>
      <c r="AG75" s="50">
        <f>$U58*Adherence!BE14*Inputs!$C$6</f>
        <v>5.2384552199077206</v>
      </c>
    </row>
    <row r="76" spans="2:33" x14ac:dyDescent="0.25">
      <c r="B76" s="1" t="s">
        <v>75</v>
      </c>
      <c r="C76" s="28">
        <f>C$44*Inputs!$D39</f>
        <v>0.12118073769803016</v>
      </c>
      <c r="D76" s="28">
        <f>D$44*Inputs!$D39</f>
        <v>8.6409726552669777E-2</v>
      </c>
      <c r="E76" s="28">
        <f>E$44*Inputs!$D39</f>
        <v>9.3666714191897205E-2</v>
      </c>
      <c r="F76" s="28">
        <f>F$44*Inputs!$D39</f>
        <v>8.6357402986995582E-2</v>
      </c>
      <c r="G76" s="28">
        <f>G$44*Inputs!$D39</f>
        <v>8.6037987185613576E-2</v>
      </c>
      <c r="H76" s="28">
        <f>H$44*Inputs!$D39</f>
        <v>8.8034539939158996E-2</v>
      </c>
      <c r="I76" s="28">
        <f>I$44*Inputs!$D39</f>
        <v>7.7806814504182253E-2</v>
      </c>
      <c r="J76" s="27">
        <f>J$44*Inputs!$D39</f>
        <v>7.8647057345203455E-2</v>
      </c>
      <c r="K76" s="27">
        <f>K$44*Inputs!$D39</f>
        <v>0.12686733014450752</v>
      </c>
      <c r="L76" s="27">
        <f>L$44*Inputs!$D39</f>
        <v>0.11961023907124228</v>
      </c>
      <c r="M76" s="27">
        <f>M$44*Inputs!$D39</f>
        <v>0.10956542771339488</v>
      </c>
      <c r="N76" s="27">
        <f>N$44*Inputs!$D39</f>
        <v>7.7700826358655065E-2</v>
      </c>
      <c r="O76" s="16">
        <f t="shared" si="16"/>
        <v>1.151884803691551</v>
      </c>
    </row>
    <row r="77" spans="2:33" x14ac:dyDescent="0.25">
      <c r="B77" s="1" t="s">
        <v>76</v>
      </c>
      <c r="C77" s="28">
        <f>C$44*Inputs!$D40</f>
        <v>8.5687721375465445E-2</v>
      </c>
      <c r="D77" s="28">
        <f>D$44*Inputs!$D40</f>
        <v>6.1100903605868097E-2</v>
      </c>
      <c r="E77" s="28">
        <f>E$44*Inputs!$D40</f>
        <v>6.6232368776552766E-2</v>
      </c>
      <c r="F77" s="28">
        <f>F$44*Inputs!$D40</f>
        <v>6.1063905257764013E-2</v>
      </c>
      <c r="G77" s="28">
        <f>G$44*Inputs!$D40</f>
        <v>6.0838044178588659E-2</v>
      </c>
      <c r="H77" s="28">
        <f>H$44*Inputs!$D40</f>
        <v>6.2249820169617304E-2</v>
      </c>
      <c r="I77" s="27">
        <f>I$44*Inputs!$D40</f>
        <v>5.5017726158431118E-2</v>
      </c>
      <c r="J77" s="27">
        <f>J$44*Inputs!$D40</f>
        <v>5.5611867569160651E-2</v>
      </c>
      <c r="K77" s="27">
        <f>K$44*Inputs!$D40</f>
        <v>8.9708749456213793E-2</v>
      </c>
      <c r="L77" s="27">
        <f>L$44*Inputs!$D40</f>
        <v>8.4577211146619577E-2</v>
      </c>
      <c r="M77" s="27">
        <f>M$44*Inputs!$D40</f>
        <v>7.7474456919746026E-2</v>
      </c>
      <c r="N77" s="27">
        <f>N$44*Inputs!$D40</f>
        <v>5.4942781222003446E-2</v>
      </c>
      <c r="O77" s="16">
        <f t="shared" si="16"/>
        <v>0.8145055558360309</v>
      </c>
      <c r="Q77" s="41" t="s">
        <v>102</v>
      </c>
      <c r="R77" s="44" t="s">
        <v>103</v>
      </c>
    </row>
    <row r="78" spans="2:33" x14ac:dyDescent="0.25">
      <c r="B78" s="1" t="s">
        <v>77</v>
      </c>
      <c r="C78" s="28">
        <f>C$44*Inputs!$D41</f>
        <v>6.0590368849015079E-2</v>
      </c>
      <c r="D78" s="28">
        <f>D$44*Inputs!$D41</f>
        <v>4.3204863276334889E-2</v>
      </c>
      <c r="E78" s="28">
        <f>E$44*Inputs!$D41</f>
        <v>4.6833357095948602E-2</v>
      </c>
      <c r="F78" s="28">
        <f>F$44*Inputs!$D41</f>
        <v>4.3178701493497791E-2</v>
      </c>
      <c r="G78" s="28">
        <f>G$44*Inputs!$D41</f>
        <v>4.3018993592806788E-2</v>
      </c>
      <c r="H78" s="27">
        <f>H$44*Inputs!$D41</f>
        <v>4.4017269969579498E-2</v>
      </c>
      <c r="I78" s="27">
        <f>I$44*Inputs!$D41</f>
        <v>3.8903407252091127E-2</v>
      </c>
      <c r="J78" s="27">
        <f>J$44*Inputs!$D41</f>
        <v>3.9323528672601728E-2</v>
      </c>
      <c r="K78" s="27">
        <f>K$44*Inputs!$D41</f>
        <v>6.3433665072253759E-2</v>
      </c>
      <c r="L78" s="27">
        <f>L$44*Inputs!$D41</f>
        <v>5.9805119535621142E-2</v>
      </c>
      <c r="M78" s="27">
        <f>M$44*Inputs!$D41</f>
        <v>5.4782713856697439E-2</v>
      </c>
      <c r="N78" s="27">
        <f>N$44*Inputs!$D41</f>
        <v>3.8850413179327532E-2</v>
      </c>
      <c r="O78" s="16">
        <f t="shared" si="16"/>
        <v>0.5759424018457755</v>
      </c>
      <c r="Q78" s="1">
        <v>2014</v>
      </c>
      <c r="R78" s="11">
        <f>SUM(R64:R75)</f>
        <v>26202915.333724957</v>
      </c>
    </row>
    <row r="79" spans="2:33" x14ac:dyDescent="0.25">
      <c r="B79" s="1" t="s">
        <v>78</v>
      </c>
      <c r="C79" s="28">
        <f>C$44*Inputs!$D42</f>
        <v>4.2843860687732722E-2</v>
      </c>
      <c r="D79" s="28">
        <f>D$44*Inputs!$D42</f>
        <v>3.0550451802934048E-2</v>
      </c>
      <c r="E79" s="28">
        <f>E$44*Inputs!$D42</f>
        <v>3.3116184388276383E-2</v>
      </c>
      <c r="F79" s="28">
        <f>F$44*Inputs!$D42</f>
        <v>3.0531952628882007E-2</v>
      </c>
      <c r="G79" s="27">
        <f>G$44*Inputs!$D42</f>
        <v>3.0419022089294329E-2</v>
      </c>
      <c r="H79" s="27">
        <f>H$44*Inputs!$D42</f>
        <v>3.1124910084808652E-2</v>
      </c>
      <c r="I79" s="27">
        <f>I$44*Inputs!$D42</f>
        <v>2.7508863079215559E-2</v>
      </c>
      <c r="J79" s="27">
        <f>J$44*Inputs!$D42</f>
        <v>2.7805933784580326E-2</v>
      </c>
      <c r="K79" s="27">
        <f>K$44*Inputs!$D42</f>
        <v>4.4854374728106897E-2</v>
      </c>
      <c r="L79" s="27">
        <f>L$44*Inputs!$D42</f>
        <v>4.2288605573309788E-2</v>
      </c>
      <c r="M79" s="27">
        <f>M$44*Inputs!$D42</f>
        <v>3.8737228459873013E-2</v>
      </c>
      <c r="N79" s="27">
        <f>N$44*Inputs!$D42</f>
        <v>2.7471390611001723E-2</v>
      </c>
      <c r="O79" s="16">
        <f t="shared" si="16"/>
        <v>0.40725277791801545</v>
      </c>
      <c r="Q79" s="1">
        <v>2015</v>
      </c>
      <c r="R79" s="11">
        <f>SUM(S64:S75,V64:V75)</f>
        <v>44395579.253998101</v>
      </c>
    </row>
    <row r="80" spans="2:33" x14ac:dyDescent="0.25">
      <c r="B80" s="1" t="s">
        <v>79</v>
      </c>
      <c r="C80" s="28">
        <f>C$44*Inputs!$D43</f>
        <v>3.0295184424507557E-2</v>
      </c>
      <c r="D80" s="28">
        <f>D$44*Inputs!$D43</f>
        <v>2.1602431638167458E-2</v>
      </c>
      <c r="E80" s="28">
        <f>E$44*Inputs!$D43</f>
        <v>2.3416678547974315E-2</v>
      </c>
      <c r="F80" s="27">
        <f>F$44*Inputs!$D43</f>
        <v>2.1589350746748909E-2</v>
      </c>
      <c r="G80" s="27">
        <f>G$44*Inputs!$D43</f>
        <v>2.1509496796403408E-2</v>
      </c>
      <c r="H80" s="27">
        <f>H$44*Inputs!$D43</f>
        <v>2.2008634984789759E-2</v>
      </c>
      <c r="I80" s="27">
        <f>I$44*Inputs!$D43</f>
        <v>1.9451703626045574E-2</v>
      </c>
      <c r="J80" s="27">
        <f>J$44*Inputs!$D43</f>
        <v>1.9661764336300874E-2</v>
      </c>
      <c r="K80" s="27">
        <f>K$44*Inputs!$D43</f>
        <v>3.17168325361269E-2</v>
      </c>
      <c r="L80" s="27">
        <f>L$44*Inputs!$D43</f>
        <v>2.9902559767810585E-2</v>
      </c>
      <c r="M80" s="27">
        <f>M$44*Inputs!$D43</f>
        <v>2.7391356928348733E-2</v>
      </c>
      <c r="N80" s="27">
        <f>N$44*Inputs!$D43</f>
        <v>1.9425206589663777E-2</v>
      </c>
      <c r="O80" s="16">
        <f t="shared" si="16"/>
        <v>0.2879712009228878</v>
      </c>
      <c r="Q80" s="1">
        <v>2016</v>
      </c>
      <c r="R80" s="11">
        <f>SUM(T64:T75,W64:W75,Z64:Z75)</f>
        <v>33834490.13456995</v>
      </c>
    </row>
    <row r="81" spans="2:18" x14ac:dyDescent="0.25">
      <c r="B81" s="1" t="s">
        <v>80</v>
      </c>
      <c r="C81" s="28">
        <f>C$44*Inputs!$D44</f>
        <v>2.1421930343866372E-2</v>
      </c>
      <c r="D81" s="28">
        <f>D$44*Inputs!$D44</f>
        <v>1.5275225901467031E-2</v>
      </c>
      <c r="E81" s="27">
        <f>E$44*Inputs!$D44</f>
        <v>1.6558092194138199E-2</v>
      </c>
      <c r="F81" s="27">
        <f>F$44*Inputs!$D44</f>
        <v>1.526597631444101E-2</v>
      </c>
      <c r="G81" s="27">
        <f>G$44*Inputs!$D44</f>
        <v>1.5209511044647172E-2</v>
      </c>
      <c r="H81" s="27">
        <f>H$44*Inputs!$D44</f>
        <v>1.5562455042404331E-2</v>
      </c>
      <c r="I81" s="27">
        <f>I$44*Inputs!$D44</f>
        <v>1.3754431539607785E-2</v>
      </c>
      <c r="J81" s="27">
        <f>J$44*Inputs!$D44</f>
        <v>1.3902966892290168E-2</v>
      </c>
      <c r="K81" s="27">
        <f>K$44*Inputs!$D44</f>
        <v>2.2427187364053459E-2</v>
      </c>
      <c r="L81" s="27">
        <f>L$44*Inputs!$D44</f>
        <v>2.1144302786654901E-2</v>
      </c>
      <c r="M81" s="27">
        <f>M$44*Inputs!$D44</f>
        <v>1.9368614229936514E-2</v>
      </c>
      <c r="N81" s="27">
        <f>N$44*Inputs!$D44</f>
        <v>1.3735695305500867E-2</v>
      </c>
      <c r="O81" s="16">
        <f t="shared" si="16"/>
        <v>0.20362638895900784</v>
      </c>
      <c r="Q81" s="1" t="s">
        <v>111</v>
      </c>
      <c r="R81" s="11">
        <f>SUM(U64:U75,X64:Y75,AA64:AC75,AD64:AG75)</f>
        <v>17844715.476712242</v>
      </c>
    </row>
    <row r="82" spans="2:18" x14ac:dyDescent="0.25">
      <c r="B82" s="1" t="s">
        <v>81</v>
      </c>
      <c r="C82" s="28">
        <f>C$44*Inputs!$D45</f>
        <v>1.5147592212253778E-2</v>
      </c>
      <c r="D82" s="27">
        <f>D$44*Inputs!$D45</f>
        <v>1.0801215819083729E-2</v>
      </c>
      <c r="E82" s="27">
        <f>E$44*Inputs!$D45</f>
        <v>1.1708339273987158E-2</v>
      </c>
      <c r="F82" s="27">
        <f>F$44*Inputs!$D45</f>
        <v>1.0794675373374455E-2</v>
      </c>
      <c r="G82" s="27">
        <f>G$44*Inputs!$D45</f>
        <v>1.0754748398201704E-2</v>
      </c>
      <c r="H82" s="27">
        <f>H$44*Inputs!$D45</f>
        <v>1.100431749239488E-2</v>
      </c>
      <c r="I82" s="27">
        <f>I$44*Inputs!$D45</f>
        <v>9.7258518130227869E-3</v>
      </c>
      <c r="J82" s="27">
        <f>J$44*Inputs!$D45</f>
        <v>9.8308821681504371E-3</v>
      </c>
      <c r="K82" s="27">
        <f>K$44*Inputs!$D45</f>
        <v>1.585841626806345E-2</v>
      </c>
      <c r="L82" s="27">
        <f>L$44*Inputs!$D45</f>
        <v>1.4951279883905292E-2</v>
      </c>
      <c r="M82" s="27">
        <f>M$44*Inputs!$D45</f>
        <v>1.3695678464174367E-2</v>
      </c>
      <c r="N82" s="27">
        <f>N$44*Inputs!$D45</f>
        <v>9.7126032948318883E-3</v>
      </c>
      <c r="O82" s="16">
        <f t="shared" si="16"/>
        <v>0.1439856004614439</v>
      </c>
      <c r="Q82" s="51" t="s">
        <v>104</v>
      </c>
      <c r="R82" s="53">
        <f>SUM(R78:R81)</f>
        <v>122277700.19900526</v>
      </c>
    </row>
    <row r="83" spans="2:18" x14ac:dyDescent="0.25">
      <c r="B83" s="1" t="s">
        <v>82</v>
      </c>
      <c r="C83" s="27">
        <f>C$44*Inputs!$D46</f>
        <v>1.0710965171933186E-2</v>
      </c>
      <c r="D83" s="27">
        <f>D$44*Inputs!$D46</f>
        <v>7.6376129507335156E-3</v>
      </c>
      <c r="E83" s="27">
        <f>E$44*Inputs!$D46</f>
        <v>8.2790460970690993E-3</v>
      </c>
      <c r="F83" s="27">
        <f>F$44*Inputs!$D46</f>
        <v>7.6329881572205051E-3</v>
      </c>
      <c r="G83" s="27">
        <f>G$44*Inputs!$D46</f>
        <v>7.6047555223235858E-3</v>
      </c>
      <c r="H83" s="27">
        <f>H$44*Inputs!$D46</f>
        <v>7.7812275212021656E-3</v>
      </c>
      <c r="I83" s="27">
        <f>I$44*Inputs!$D46</f>
        <v>6.8772157698038924E-3</v>
      </c>
      <c r="J83" s="27">
        <f>J$44*Inputs!$D46</f>
        <v>6.951483446145084E-3</v>
      </c>
      <c r="K83" s="27">
        <f>K$44*Inputs!$D46</f>
        <v>1.1213593682026729E-2</v>
      </c>
      <c r="L83" s="27">
        <f>L$44*Inputs!$D46</f>
        <v>1.0572151393327451E-2</v>
      </c>
      <c r="M83" s="27">
        <f>M$44*Inputs!$D46</f>
        <v>9.6843071149682568E-3</v>
      </c>
      <c r="N83" s="27">
        <f>N$44*Inputs!$D46</f>
        <v>6.8678476527504334E-3</v>
      </c>
      <c r="O83" s="16">
        <f t="shared" si="16"/>
        <v>0.10181319447950392</v>
      </c>
    </row>
    <row r="84" spans="2:18" x14ac:dyDescent="0.25">
      <c r="B84" s="1" t="s">
        <v>83</v>
      </c>
      <c r="C84" s="27">
        <f>C$44*Inputs!$D47</f>
        <v>7.5737961061268927E-3</v>
      </c>
      <c r="D84" s="27">
        <f>D$44*Inputs!$D47</f>
        <v>5.4006079095418671E-3</v>
      </c>
      <c r="E84" s="27">
        <f>E$44*Inputs!$D47</f>
        <v>5.8541696369935822E-3</v>
      </c>
      <c r="F84" s="27">
        <f>F$44*Inputs!$D47</f>
        <v>5.39733768668723E-3</v>
      </c>
      <c r="G84" s="27">
        <f>G$44*Inputs!$D47</f>
        <v>5.3773741991008546E-3</v>
      </c>
      <c r="H84" s="27">
        <f>H$44*Inputs!$D47</f>
        <v>5.5021587461974433E-3</v>
      </c>
      <c r="I84" s="27">
        <f>I$44*Inputs!$D47</f>
        <v>4.862925906511396E-3</v>
      </c>
      <c r="J84" s="27">
        <f>J$44*Inputs!$D47</f>
        <v>4.9154410840752212E-3</v>
      </c>
      <c r="K84" s="27">
        <f>K$44*Inputs!$D47</f>
        <v>7.9292081340317285E-3</v>
      </c>
      <c r="L84" s="27">
        <f>L$44*Inputs!$D47</f>
        <v>7.4756399419526505E-3</v>
      </c>
      <c r="M84" s="27">
        <f>M$44*Inputs!$D47</f>
        <v>6.8478392320871868E-3</v>
      </c>
      <c r="N84" s="27">
        <f>N$44*Inputs!$D47</f>
        <v>4.8563016474159467E-3</v>
      </c>
      <c r="O84" s="16">
        <f t="shared" si="16"/>
        <v>7.1992800230722007E-2</v>
      </c>
    </row>
    <row r="85" spans="2:18" x14ac:dyDescent="0.25">
      <c r="B85" s="1" t="s">
        <v>84</v>
      </c>
      <c r="C85" s="27">
        <f>C$44*Inputs!$D48</f>
        <v>5.3554825859665946E-3</v>
      </c>
      <c r="D85" s="27">
        <f>D$44*Inputs!$D48</f>
        <v>3.8188064753667591E-3</v>
      </c>
      <c r="E85" s="27">
        <f>E$44*Inputs!$D48</f>
        <v>4.1395230485345514E-3</v>
      </c>
      <c r="F85" s="27">
        <f>F$44*Inputs!$D48</f>
        <v>3.8164940786102539E-3</v>
      </c>
      <c r="G85" s="27">
        <f>G$44*Inputs!$D48</f>
        <v>3.8023777611617942E-3</v>
      </c>
      <c r="H85" s="27">
        <f>H$44*Inputs!$D48</f>
        <v>3.8906137606010841E-3</v>
      </c>
      <c r="I85" s="27">
        <f>I$44*Inputs!$D48</f>
        <v>3.4386078849019475E-3</v>
      </c>
      <c r="J85" s="27">
        <f>J$44*Inputs!$D48</f>
        <v>3.4757417230725438E-3</v>
      </c>
      <c r="K85" s="27">
        <f>K$44*Inputs!$D48</f>
        <v>5.6067968410133664E-3</v>
      </c>
      <c r="L85" s="27">
        <f>L$44*Inputs!$D48</f>
        <v>5.2860756966637279E-3</v>
      </c>
      <c r="M85" s="27">
        <f>M$44*Inputs!$D48</f>
        <v>4.8421535574841301E-3</v>
      </c>
      <c r="N85" s="27">
        <f>N$44*Inputs!$D48</f>
        <v>3.433923826375218E-3</v>
      </c>
      <c r="O85" s="16">
        <f t="shared" si="16"/>
        <v>5.0906597239751966E-2</v>
      </c>
    </row>
    <row r="86" spans="2:18" x14ac:dyDescent="0.25">
      <c r="B86" s="19" t="s">
        <v>39</v>
      </c>
      <c r="C86" s="15">
        <f>SUM(C47:C85)</f>
        <v>9586.4679916728346</v>
      </c>
      <c r="D86" s="15">
        <f t="shared" ref="D86:O86" si="18">SUM(D47:D85)</f>
        <v>6835.7735189776495</v>
      </c>
      <c r="E86" s="15">
        <f t="shared" si="18"/>
        <v>7409.8654170875416</v>
      </c>
      <c r="F86" s="15">
        <f t="shared" si="18"/>
        <v>6831.6342622189086</v>
      </c>
      <c r="G86" s="15">
        <f t="shared" si="18"/>
        <v>6806.3656476341903</v>
      </c>
      <c r="H86" s="15">
        <f t="shared" si="18"/>
        <v>6964.3106265898723</v>
      </c>
      <c r="I86" s="15">
        <f t="shared" si="18"/>
        <v>6155.2070976581754</v>
      </c>
      <c r="J86" s="15">
        <f t="shared" si="18"/>
        <v>6221.6777369173124</v>
      </c>
      <c r="K86" s="15">
        <f t="shared" si="18"/>
        <v>10036.327742532643</v>
      </c>
      <c r="L86" s="15">
        <f t="shared" si="18"/>
        <v>9462.2276618756605</v>
      </c>
      <c r="M86" s="15">
        <f t="shared" si="18"/>
        <v>8667.5942540121832</v>
      </c>
      <c r="N86" s="15">
        <f t="shared" si="18"/>
        <v>6146.8224980601335</v>
      </c>
      <c r="O86" s="16">
        <f t="shared" si="18"/>
        <v>91124.2744552371</v>
      </c>
    </row>
  </sheetData>
  <mergeCells count="4">
    <mergeCell ref="R62:U62"/>
    <mergeCell ref="V62:Y62"/>
    <mergeCell ref="Z62:AC62"/>
    <mergeCell ref="AD62:AG6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Inputs</vt:lpstr>
      <vt:lpstr>Adherence</vt:lpstr>
      <vt:lpstr>S1 - $24MM Calculation</vt:lpstr>
      <vt:lpstr>S2 - $30MM Calculation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2013-10-16T16:06:38Z</dcterms:created>
  <dcterms:modified xsi:type="dcterms:W3CDTF">2013-10-17T22:39:14Z</dcterms:modified>
</cp:coreProperties>
</file>