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8960" windowHeight="9045" activeTab="1"/>
  </bookViews>
  <sheets>
    <sheet name="ReadMe" sheetId="5" r:id="rId1"/>
    <sheet name="Inputs" sheetId="1" r:id="rId2"/>
    <sheet name="Adherence" sheetId="2" r:id="rId3"/>
    <sheet name="$5MM Scenario" sheetId="3" r:id="rId4"/>
  </sheets>
  <externalReferences>
    <externalReference r:id="rId5"/>
    <externalReference r:id="rId6"/>
    <externalReference r:id="rId7"/>
    <externalReference r:id="rId8"/>
  </externalReferences>
  <calcPr calcId="145621"/>
</workbook>
</file>

<file path=xl/calcChain.xml><?xml version="1.0" encoding="utf-8"?>
<calcChain xmlns="http://schemas.openxmlformats.org/spreadsheetml/2006/main">
  <c r="H35" i="1" l="1"/>
  <c r="H34" i="1"/>
  <c r="H33" i="1"/>
  <c r="H32" i="1"/>
  <c r="H36" i="1"/>
  <c r="H31" i="1"/>
  <c r="H28" i="1"/>
  <c r="N4" i="1" l="1"/>
  <c r="N3" i="1"/>
  <c r="N2" i="1"/>
  <c r="M3" i="1"/>
  <c r="M2" i="1"/>
  <c r="H18" i="1" l="1"/>
  <c r="N4" i="3" l="1"/>
  <c r="M4" i="3"/>
  <c r="L4" i="3"/>
  <c r="K4" i="3"/>
  <c r="J4" i="3"/>
  <c r="I4" i="3"/>
  <c r="H4" i="3"/>
  <c r="G4" i="3"/>
  <c r="F4" i="3"/>
  <c r="E4" i="3"/>
  <c r="D4" i="3"/>
  <c r="C4" i="3"/>
  <c r="N3" i="3"/>
  <c r="M3" i="3"/>
  <c r="L3" i="3"/>
  <c r="K3" i="3"/>
  <c r="J3" i="3"/>
  <c r="I3" i="3"/>
  <c r="H3" i="3"/>
  <c r="G3" i="3"/>
  <c r="F3" i="3"/>
  <c r="E3" i="3"/>
  <c r="D3" i="3"/>
  <c r="C3" i="3"/>
  <c r="H3" i="1"/>
  <c r="J3" i="1" s="1"/>
  <c r="K3" i="1" s="1"/>
  <c r="L3" i="1" s="1"/>
  <c r="H2" i="1"/>
  <c r="J2" i="1" s="1"/>
  <c r="K2" i="1" s="1"/>
  <c r="G2" i="1"/>
  <c r="G3" i="1" s="1"/>
  <c r="L2" i="1" l="1"/>
  <c r="L4" i="1" s="1"/>
  <c r="K4" i="1"/>
  <c r="O3" i="3"/>
  <c r="B9" i="3"/>
  <c r="B14" i="3" s="1"/>
  <c r="B19" i="3" s="1"/>
  <c r="B8" i="3"/>
  <c r="B13" i="3" s="1"/>
  <c r="B18" i="3" s="1"/>
  <c r="BA3" i="2" l="1"/>
  <c r="AW4" i="2"/>
  <c r="AV4" i="2"/>
  <c r="AW5" i="2" s="1"/>
  <c r="AU4" i="2"/>
  <c r="AV5" i="2" s="1"/>
  <c r="AW6" i="2" s="1"/>
  <c r="AT4" i="2"/>
  <c r="AU5" i="2" s="1"/>
  <c r="AV6" i="2" s="1"/>
  <c r="AW7" i="2" s="1"/>
  <c r="AS4" i="2"/>
  <c r="AT5" i="2" s="1"/>
  <c r="AU6" i="2" s="1"/>
  <c r="AV7" i="2" s="1"/>
  <c r="AW8" i="2" s="1"/>
  <c r="AR4" i="2"/>
  <c r="AS5" i="2" s="1"/>
  <c r="AT6" i="2" s="1"/>
  <c r="AU7" i="2" s="1"/>
  <c r="AV8" i="2" s="1"/>
  <c r="AW9" i="2" s="1"/>
  <c r="AQ4" i="2"/>
  <c r="AR5" i="2" s="1"/>
  <c r="AS6" i="2" s="1"/>
  <c r="AT7" i="2" s="1"/>
  <c r="AU8" i="2" s="1"/>
  <c r="AV9" i="2" s="1"/>
  <c r="AW10" i="2" s="1"/>
  <c r="AP4" i="2"/>
  <c r="AQ5" i="2" s="1"/>
  <c r="AR6" i="2" s="1"/>
  <c r="AS7" i="2" s="1"/>
  <c r="AT8" i="2" s="1"/>
  <c r="AU9" i="2" s="1"/>
  <c r="AV10" i="2" s="1"/>
  <c r="AW11" i="2" s="1"/>
  <c r="AO4" i="2"/>
  <c r="AP5" i="2" s="1"/>
  <c r="AQ6" i="2" s="1"/>
  <c r="AR7" i="2" s="1"/>
  <c r="AS8" i="2" s="1"/>
  <c r="AT9" i="2" s="1"/>
  <c r="AU10" i="2" s="1"/>
  <c r="AV11" i="2" s="1"/>
  <c r="AW12" i="2" s="1"/>
  <c r="AN4" i="2"/>
  <c r="AO5" i="2" s="1"/>
  <c r="AP6" i="2" s="1"/>
  <c r="AQ7" i="2" s="1"/>
  <c r="AR8" i="2" s="1"/>
  <c r="AS9" i="2" s="1"/>
  <c r="AT10" i="2" s="1"/>
  <c r="AU11" i="2" s="1"/>
  <c r="AV12" i="2" s="1"/>
  <c r="AW13" i="2" s="1"/>
  <c r="AM4" i="2"/>
  <c r="AN5" i="2" s="1"/>
  <c r="AO6" i="2" s="1"/>
  <c r="AP7" i="2" s="1"/>
  <c r="AQ8" i="2" s="1"/>
  <c r="AR9" i="2" s="1"/>
  <c r="AS10" i="2" s="1"/>
  <c r="AT11" i="2" s="1"/>
  <c r="AU12" i="2" s="1"/>
  <c r="AV13" i="2" s="1"/>
  <c r="AW14" i="2" s="1"/>
  <c r="D5" i="3" l="1"/>
  <c r="E5" i="3"/>
  <c r="F5" i="3"/>
  <c r="G5" i="3"/>
  <c r="H5" i="3"/>
  <c r="I5" i="3"/>
  <c r="J5" i="3"/>
  <c r="K5" i="3"/>
  <c r="L5" i="3"/>
  <c r="M5" i="3"/>
  <c r="N5" i="3"/>
  <c r="C5" i="3"/>
  <c r="O4" i="3"/>
  <c r="C3" i="2"/>
  <c r="D4" i="2" s="1"/>
  <c r="E5" i="2" s="1"/>
  <c r="F6" i="2" s="1"/>
  <c r="G7" i="2" s="1"/>
  <c r="H8" i="2" s="1"/>
  <c r="I9" i="2" s="1"/>
  <c r="J10" i="2" s="1"/>
  <c r="K11" i="2" s="1"/>
  <c r="L12" i="2" s="1"/>
  <c r="M13" i="2" s="1"/>
  <c r="N14" i="2" s="1"/>
  <c r="D3" i="2"/>
  <c r="E4" i="2" s="1"/>
  <c r="F5" i="2" s="1"/>
  <c r="G6" i="2" s="1"/>
  <c r="H7" i="2" s="1"/>
  <c r="I8" i="2" s="1"/>
  <c r="J9" i="2" s="1"/>
  <c r="K10" i="2" s="1"/>
  <c r="L11" i="2" s="1"/>
  <c r="M12" i="2" s="1"/>
  <c r="N13" i="2" s="1"/>
  <c r="E3" i="2"/>
  <c r="F4" i="2" s="1"/>
  <c r="G5" i="2" s="1"/>
  <c r="H6" i="2" s="1"/>
  <c r="I7" i="2" s="1"/>
  <c r="J8" i="2" s="1"/>
  <c r="K9" i="2" s="1"/>
  <c r="L10" i="2" s="1"/>
  <c r="M11" i="2" s="1"/>
  <c r="N12" i="2" s="1"/>
  <c r="F3" i="2"/>
  <c r="G4" i="2" s="1"/>
  <c r="H5" i="2" s="1"/>
  <c r="I6" i="2" s="1"/>
  <c r="J7" i="2" s="1"/>
  <c r="K8" i="2" s="1"/>
  <c r="L9" i="2" s="1"/>
  <c r="M10" i="2" s="1"/>
  <c r="N11" i="2" s="1"/>
  <c r="G3" i="2"/>
  <c r="H4" i="2" s="1"/>
  <c r="I5" i="2" s="1"/>
  <c r="J6" i="2" s="1"/>
  <c r="K7" i="2" s="1"/>
  <c r="L8" i="2" s="1"/>
  <c r="M9" i="2" s="1"/>
  <c r="N10" i="2" s="1"/>
  <c r="H3" i="2"/>
  <c r="I4" i="2" s="1"/>
  <c r="J5" i="2" s="1"/>
  <c r="K6" i="2" s="1"/>
  <c r="L7" i="2" s="1"/>
  <c r="M8" i="2" s="1"/>
  <c r="N9" i="2" s="1"/>
  <c r="I3" i="2"/>
  <c r="J4" i="2" s="1"/>
  <c r="K5" i="2" s="1"/>
  <c r="L6" i="2" s="1"/>
  <c r="M7" i="2" s="1"/>
  <c r="N8" i="2" s="1"/>
  <c r="J3" i="2"/>
  <c r="K4" i="2" s="1"/>
  <c r="L5" i="2" s="1"/>
  <c r="M6" i="2" s="1"/>
  <c r="N7" i="2" s="1"/>
  <c r="K3" i="2"/>
  <c r="L4" i="2" s="1"/>
  <c r="M5" i="2" s="1"/>
  <c r="N6" i="2" s="1"/>
  <c r="L3" i="2"/>
  <c r="M4" i="2" s="1"/>
  <c r="N5" i="2" s="1"/>
  <c r="M3" i="2"/>
  <c r="N4" i="2" s="1"/>
  <c r="N3" i="2"/>
  <c r="O3" i="2"/>
  <c r="P4" i="2" s="1"/>
  <c r="Q5" i="2" s="1"/>
  <c r="R6" i="2" s="1"/>
  <c r="S7" i="2" s="1"/>
  <c r="T8" i="2" s="1"/>
  <c r="U9" i="2" s="1"/>
  <c r="V10" i="2" s="1"/>
  <c r="W11" i="2" s="1"/>
  <c r="X12" i="2" s="1"/>
  <c r="Y13" i="2" s="1"/>
  <c r="Z14" i="2" s="1"/>
  <c r="P3" i="2"/>
  <c r="Q4" i="2" s="1"/>
  <c r="R5" i="2" s="1"/>
  <c r="S6" i="2" s="1"/>
  <c r="T7" i="2" s="1"/>
  <c r="U8" i="2" s="1"/>
  <c r="V9" i="2" s="1"/>
  <c r="W10" i="2" s="1"/>
  <c r="X11" i="2" s="1"/>
  <c r="Y12" i="2" s="1"/>
  <c r="Z13" i="2" s="1"/>
  <c r="Q3" i="2"/>
  <c r="R4" i="2" s="1"/>
  <c r="S5" i="2" s="1"/>
  <c r="T6" i="2" s="1"/>
  <c r="U7" i="2" s="1"/>
  <c r="V8" i="2" s="1"/>
  <c r="W9" i="2" s="1"/>
  <c r="X10" i="2" s="1"/>
  <c r="Y11" i="2" s="1"/>
  <c r="Z12" i="2" s="1"/>
  <c r="R3" i="2"/>
  <c r="S4" i="2" s="1"/>
  <c r="T5" i="2" s="1"/>
  <c r="U6" i="2" s="1"/>
  <c r="V7" i="2" s="1"/>
  <c r="W8" i="2" s="1"/>
  <c r="X9" i="2" s="1"/>
  <c r="Y10" i="2" s="1"/>
  <c r="Z11" i="2" s="1"/>
  <c r="S3" i="2"/>
  <c r="T4" i="2" s="1"/>
  <c r="U5" i="2" s="1"/>
  <c r="V6" i="2" s="1"/>
  <c r="W7" i="2" s="1"/>
  <c r="X8" i="2" s="1"/>
  <c r="Y9" i="2" s="1"/>
  <c r="Z10" i="2" s="1"/>
  <c r="T3" i="2"/>
  <c r="U4" i="2" s="1"/>
  <c r="V5" i="2" s="1"/>
  <c r="W6" i="2" s="1"/>
  <c r="X7" i="2" s="1"/>
  <c r="Y8" i="2" s="1"/>
  <c r="Z9" i="2" s="1"/>
  <c r="U3" i="2"/>
  <c r="V4" i="2" s="1"/>
  <c r="W5" i="2" s="1"/>
  <c r="X6" i="2" s="1"/>
  <c r="Y7" i="2" s="1"/>
  <c r="Z8" i="2" s="1"/>
  <c r="V3" i="2"/>
  <c r="W4" i="2" s="1"/>
  <c r="X5" i="2" s="1"/>
  <c r="Y6" i="2" s="1"/>
  <c r="Z7" i="2" s="1"/>
  <c r="W3" i="2"/>
  <c r="X4" i="2" s="1"/>
  <c r="Y5" i="2" s="1"/>
  <c r="Z6" i="2" s="1"/>
  <c r="X3" i="2"/>
  <c r="Y4" i="2" s="1"/>
  <c r="Z5" i="2" s="1"/>
  <c r="Y3" i="2"/>
  <c r="Z4" i="2" s="1"/>
  <c r="Z3" i="2"/>
  <c r="AA4" i="2" s="1"/>
  <c r="AB5" i="2" s="1"/>
  <c r="AC6" i="2" s="1"/>
  <c r="AD7" i="2" s="1"/>
  <c r="AE8" i="2" s="1"/>
  <c r="AF9" i="2" s="1"/>
  <c r="AG10" i="2" s="1"/>
  <c r="AH11" i="2" s="1"/>
  <c r="AI12" i="2" s="1"/>
  <c r="AJ13" i="2" s="1"/>
  <c r="AK14" i="2" s="1"/>
  <c r="AA3" i="2"/>
  <c r="AB4" i="2" s="1"/>
  <c r="AC5" i="2" s="1"/>
  <c r="AD6" i="2" s="1"/>
  <c r="AE7" i="2" s="1"/>
  <c r="AF8" i="2" s="1"/>
  <c r="AG9" i="2" s="1"/>
  <c r="AH10" i="2" s="1"/>
  <c r="AI11" i="2" s="1"/>
  <c r="AJ12" i="2" s="1"/>
  <c r="AK13" i="2" s="1"/>
  <c r="AL14" i="2" s="1"/>
  <c r="AB3" i="2"/>
  <c r="AC4" i="2" s="1"/>
  <c r="AD5" i="2" s="1"/>
  <c r="AE6" i="2" s="1"/>
  <c r="AF7" i="2" s="1"/>
  <c r="AG8" i="2" s="1"/>
  <c r="AH9" i="2" s="1"/>
  <c r="AI10" i="2" s="1"/>
  <c r="AJ11" i="2" s="1"/>
  <c r="AK12" i="2" s="1"/>
  <c r="AL13" i="2" s="1"/>
  <c r="AC3" i="2"/>
  <c r="AD4" i="2" s="1"/>
  <c r="AE5" i="2" s="1"/>
  <c r="AF6" i="2" s="1"/>
  <c r="AG7" i="2" s="1"/>
  <c r="AH8" i="2" s="1"/>
  <c r="AI9" i="2" s="1"/>
  <c r="AJ10" i="2" s="1"/>
  <c r="AK11" i="2" s="1"/>
  <c r="AL12" i="2" s="1"/>
  <c r="AD3" i="2"/>
  <c r="AE4" i="2" s="1"/>
  <c r="AF5" i="2" s="1"/>
  <c r="AG6" i="2" s="1"/>
  <c r="AH7" i="2" s="1"/>
  <c r="AI8" i="2" s="1"/>
  <c r="AJ9" i="2" s="1"/>
  <c r="AK10" i="2" s="1"/>
  <c r="AL11" i="2" s="1"/>
  <c r="AE3" i="2"/>
  <c r="AF4" i="2" s="1"/>
  <c r="AG5" i="2" s="1"/>
  <c r="AH6" i="2" s="1"/>
  <c r="AI7" i="2" s="1"/>
  <c r="AJ8" i="2" s="1"/>
  <c r="AK9" i="2" s="1"/>
  <c r="AL10" i="2" s="1"/>
  <c r="AF3" i="2"/>
  <c r="AG4" i="2" s="1"/>
  <c r="AH5" i="2" s="1"/>
  <c r="AI6" i="2" s="1"/>
  <c r="AJ7" i="2" s="1"/>
  <c r="AK8" i="2" s="1"/>
  <c r="AL9" i="2" s="1"/>
  <c r="AG3" i="2"/>
  <c r="AH4" i="2" s="1"/>
  <c r="AI5" i="2" s="1"/>
  <c r="AJ6" i="2" s="1"/>
  <c r="AK7" i="2" s="1"/>
  <c r="AL8" i="2" s="1"/>
  <c r="AH3" i="2"/>
  <c r="AI4" i="2" s="1"/>
  <c r="AJ5" i="2" s="1"/>
  <c r="AK6" i="2" s="1"/>
  <c r="AL7" i="2" s="1"/>
  <c r="AI3" i="2"/>
  <c r="AJ4" i="2" s="1"/>
  <c r="AK5" i="2" s="1"/>
  <c r="AL6" i="2" s="1"/>
  <c r="AJ3" i="2"/>
  <c r="AK4" i="2" s="1"/>
  <c r="AL5" i="2" s="1"/>
  <c r="AK3" i="2"/>
  <c r="AL4" i="2" s="1"/>
  <c r="B3" i="2"/>
  <c r="O5" i="3" l="1"/>
  <c r="AM7" i="2"/>
  <c r="AN8" i="2" s="1"/>
  <c r="AO9" i="2" s="1"/>
  <c r="AP10" i="2" s="1"/>
  <c r="AQ11" i="2" s="1"/>
  <c r="AR12" i="2" s="1"/>
  <c r="AS13" i="2" s="1"/>
  <c r="AT14" i="2" s="1"/>
  <c r="AM6" i="2"/>
  <c r="AN7" i="2" s="1"/>
  <c r="AO8" i="2" s="1"/>
  <c r="AP9" i="2" s="1"/>
  <c r="AQ10" i="2" s="1"/>
  <c r="AR11" i="2" s="1"/>
  <c r="AS12" i="2" s="1"/>
  <c r="AT13" i="2" s="1"/>
  <c r="AU14" i="2" s="1"/>
  <c r="AM8" i="2"/>
  <c r="AN9" i="2" s="1"/>
  <c r="AO10" i="2" s="1"/>
  <c r="AP11" i="2" s="1"/>
  <c r="AQ12" i="2" s="1"/>
  <c r="AR13" i="2" s="1"/>
  <c r="AS14" i="2" s="1"/>
  <c r="AM10" i="2"/>
  <c r="AN11" i="2" s="1"/>
  <c r="AO12" i="2" s="1"/>
  <c r="AP13" i="2" s="1"/>
  <c r="AQ14" i="2" s="1"/>
  <c r="AM12" i="2"/>
  <c r="AN13" i="2" s="1"/>
  <c r="AO14" i="2" s="1"/>
  <c r="AM14" i="2"/>
  <c r="AM5" i="2"/>
  <c r="AN6" i="2" s="1"/>
  <c r="AO7" i="2" s="1"/>
  <c r="AP8" i="2" s="1"/>
  <c r="AQ9" i="2" s="1"/>
  <c r="AR10" i="2" s="1"/>
  <c r="AS11" i="2" s="1"/>
  <c r="AT12" i="2" s="1"/>
  <c r="AU13" i="2" s="1"/>
  <c r="AV14" i="2" s="1"/>
  <c r="BA4" i="2"/>
  <c r="AM9" i="2"/>
  <c r="AN10" i="2" s="1"/>
  <c r="AO11" i="2" s="1"/>
  <c r="AP12" i="2" s="1"/>
  <c r="AQ13" i="2" s="1"/>
  <c r="AR14" i="2" s="1"/>
  <c r="AM11" i="2"/>
  <c r="AN12" i="2" s="1"/>
  <c r="AO13" i="2" s="1"/>
  <c r="AP14" i="2" s="1"/>
  <c r="AM13" i="2"/>
  <c r="AN14" i="2" s="1"/>
  <c r="AX3" i="2"/>
  <c r="AA6" i="2"/>
  <c r="AB7" i="2" s="1"/>
  <c r="AC8" i="2" s="1"/>
  <c r="AD9" i="2" s="1"/>
  <c r="AE10" i="2" s="1"/>
  <c r="AF11" i="2" s="1"/>
  <c r="AG12" i="2" s="1"/>
  <c r="AH13" i="2" s="1"/>
  <c r="AI14" i="2" s="1"/>
  <c r="AA8" i="2"/>
  <c r="AB9" i="2" s="1"/>
  <c r="AC10" i="2" s="1"/>
  <c r="AD11" i="2" s="1"/>
  <c r="AE12" i="2" s="1"/>
  <c r="AF13" i="2" s="1"/>
  <c r="AG14" i="2" s="1"/>
  <c r="AA14" i="2"/>
  <c r="O6" i="2"/>
  <c r="P7" i="2" s="1"/>
  <c r="Q8" i="2" s="1"/>
  <c r="R9" i="2" s="1"/>
  <c r="S10" i="2" s="1"/>
  <c r="T11" i="2" s="1"/>
  <c r="U12" i="2" s="1"/>
  <c r="V13" i="2" s="1"/>
  <c r="W14" i="2" s="1"/>
  <c r="O8" i="2"/>
  <c r="P9" i="2" s="1"/>
  <c r="Q10" i="2" s="1"/>
  <c r="R11" i="2" s="1"/>
  <c r="S12" i="2" s="1"/>
  <c r="T13" i="2" s="1"/>
  <c r="U14" i="2" s="1"/>
  <c r="O10" i="2"/>
  <c r="P11" i="2" s="1"/>
  <c r="Q12" i="2" s="1"/>
  <c r="R13" i="2" s="1"/>
  <c r="S14" i="2" s="1"/>
  <c r="O14" i="2"/>
  <c r="AA10" i="2"/>
  <c r="AB11" i="2" s="1"/>
  <c r="AC12" i="2" s="1"/>
  <c r="AD13" i="2" s="1"/>
  <c r="AE14" i="2" s="1"/>
  <c r="AA12" i="2"/>
  <c r="AB13" i="2" s="1"/>
  <c r="AC14" i="2" s="1"/>
  <c r="O12" i="2"/>
  <c r="P13" i="2" s="1"/>
  <c r="Q14" i="2" s="1"/>
  <c r="AY3" i="2"/>
  <c r="AA7" i="2"/>
  <c r="AB8" i="2" s="1"/>
  <c r="AC9" i="2" s="1"/>
  <c r="AD10" i="2" s="1"/>
  <c r="AE11" i="2" s="1"/>
  <c r="AF12" i="2" s="1"/>
  <c r="AG13" i="2" s="1"/>
  <c r="AH14" i="2" s="1"/>
  <c r="O5" i="2"/>
  <c r="P6" i="2" s="1"/>
  <c r="Q7" i="2" s="1"/>
  <c r="R8" i="2" s="1"/>
  <c r="S9" i="2" s="1"/>
  <c r="T10" i="2" s="1"/>
  <c r="U11" i="2" s="1"/>
  <c r="V12" i="2" s="1"/>
  <c r="W13" i="2" s="1"/>
  <c r="X14" i="2" s="1"/>
  <c r="O11" i="2"/>
  <c r="P12" i="2" s="1"/>
  <c r="Q13" i="2" s="1"/>
  <c r="R14" i="2" s="1"/>
  <c r="O13" i="2"/>
  <c r="P14" i="2" s="1"/>
  <c r="O4" i="2"/>
  <c r="P5" i="2" s="1"/>
  <c r="Q6" i="2" s="1"/>
  <c r="R7" i="2" s="1"/>
  <c r="S8" i="2" s="1"/>
  <c r="T9" i="2" s="1"/>
  <c r="U10" i="2" s="1"/>
  <c r="V11" i="2" s="1"/>
  <c r="W12" i="2" s="1"/>
  <c r="X13" i="2" s="1"/>
  <c r="Y14" i="2" s="1"/>
  <c r="AZ3" i="2"/>
  <c r="C4" i="2"/>
  <c r="AA5" i="2"/>
  <c r="AB6" i="2" s="1"/>
  <c r="AC7" i="2" s="1"/>
  <c r="AD8" i="2" s="1"/>
  <c r="AE9" i="2" s="1"/>
  <c r="AF10" i="2" s="1"/>
  <c r="AG11" i="2" s="1"/>
  <c r="AH12" i="2" s="1"/>
  <c r="AI13" i="2" s="1"/>
  <c r="AJ14" i="2" s="1"/>
  <c r="AZ4" i="2"/>
  <c r="AA9" i="2"/>
  <c r="AB10" i="2" s="1"/>
  <c r="AC11" i="2" s="1"/>
  <c r="AD12" i="2" s="1"/>
  <c r="AE13" i="2" s="1"/>
  <c r="AF14" i="2" s="1"/>
  <c r="AA11" i="2"/>
  <c r="AB12" i="2" s="1"/>
  <c r="AC13" i="2" s="1"/>
  <c r="AD14" i="2" s="1"/>
  <c r="AA13" i="2"/>
  <c r="AB14" i="2" s="1"/>
  <c r="O7" i="2"/>
  <c r="P8" i="2" s="1"/>
  <c r="Q9" i="2" s="1"/>
  <c r="R10" i="2" s="1"/>
  <c r="S11" i="2" s="1"/>
  <c r="T12" i="2" s="1"/>
  <c r="U13" i="2" s="1"/>
  <c r="V14" i="2" s="1"/>
  <c r="O9" i="2"/>
  <c r="P10" i="2" s="1"/>
  <c r="Q11" i="2" s="1"/>
  <c r="R12" i="2" s="1"/>
  <c r="S13" i="2" s="1"/>
  <c r="T14" i="2" s="1"/>
  <c r="C3" i="1"/>
  <c r="C4" i="1" s="1"/>
  <c r="BD3" i="2" l="1"/>
  <c r="BA12" i="2"/>
  <c r="BA10" i="2"/>
  <c r="BA8" i="2"/>
  <c r="BA13" i="2"/>
  <c r="BA11" i="2"/>
  <c r="BA9" i="2"/>
  <c r="BA7" i="2"/>
  <c r="BA5" i="2"/>
  <c r="BE3" i="2"/>
  <c r="BB3" i="2"/>
  <c r="BA14" i="2"/>
  <c r="BC3" i="2"/>
  <c r="BA6" i="2"/>
  <c r="AY14" i="2"/>
  <c r="AY6" i="2"/>
  <c r="AZ14" i="2"/>
  <c r="AY4" i="2"/>
  <c r="BC4" i="2" s="1"/>
  <c r="AY12" i="2"/>
  <c r="AY8" i="2"/>
  <c r="AZ12" i="2"/>
  <c r="AZ10" i="2"/>
  <c r="AZ8" i="2"/>
  <c r="D5" i="2"/>
  <c r="AX4" i="2"/>
  <c r="AZ6" i="2"/>
  <c r="AY11" i="2"/>
  <c r="AZ11" i="2"/>
  <c r="AZ9" i="2"/>
  <c r="AY13" i="2"/>
  <c r="AY9" i="2"/>
  <c r="AY7" i="2"/>
  <c r="AY5" i="2"/>
  <c r="AZ13" i="2"/>
  <c r="AZ7" i="2"/>
  <c r="AZ5" i="2"/>
  <c r="AY10" i="2"/>
  <c r="C10" i="1"/>
  <c r="C55" i="1"/>
  <c r="C57" i="1"/>
  <c r="C50" i="1"/>
  <c r="C52" i="1"/>
  <c r="C46" i="1"/>
  <c r="C54" i="1"/>
  <c r="C56" i="1"/>
  <c r="C53" i="1"/>
  <c r="D53" i="1" s="1"/>
  <c r="C51" i="1"/>
  <c r="C48" i="1"/>
  <c r="C49" i="1"/>
  <c r="C47" i="1"/>
  <c r="D51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BB4" i="2" l="1"/>
  <c r="BE4" i="2"/>
  <c r="BD4" i="2"/>
  <c r="D49" i="1"/>
  <c r="D55" i="1"/>
  <c r="D10" i="1"/>
  <c r="E6" i="2"/>
  <c r="AX5" i="2"/>
  <c r="BC5" i="2" s="1"/>
  <c r="D13" i="1"/>
  <c r="D17" i="1"/>
  <c r="D21" i="1"/>
  <c r="D25" i="1"/>
  <c r="D29" i="1"/>
  <c r="D33" i="1"/>
  <c r="D37" i="1"/>
  <c r="D41" i="1"/>
  <c r="D45" i="1"/>
  <c r="D52" i="1"/>
  <c r="D57" i="1"/>
  <c r="D46" i="1"/>
  <c r="D50" i="1"/>
  <c r="D56" i="1"/>
  <c r="D47" i="1"/>
  <c r="D48" i="1"/>
  <c r="D54" i="1"/>
  <c r="D12" i="1"/>
  <c r="D16" i="1"/>
  <c r="D20" i="1"/>
  <c r="D24" i="1"/>
  <c r="D28" i="1"/>
  <c r="D32" i="1"/>
  <c r="D36" i="1"/>
  <c r="D40" i="1"/>
  <c r="D44" i="1"/>
  <c r="D11" i="1"/>
  <c r="D15" i="1"/>
  <c r="D19" i="1"/>
  <c r="D23" i="1"/>
  <c r="D27" i="1"/>
  <c r="D31" i="1"/>
  <c r="D35" i="1"/>
  <c r="D39" i="1"/>
  <c r="D43" i="1"/>
  <c r="D14" i="1"/>
  <c r="D18" i="1"/>
  <c r="D22" i="1"/>
  <c r="D26" i="1"/>
  <c r="D30" i="1"/>
  <c r="D34" i="1"/>
  <c r="D38" i="1"/>
  <c r="D42" i="1"/>
  <c r="BB5" i="2" l="1"/>
  <c r="BE5" i="2"/>
  <c r="BD5" i="2"/>
  <c r="F7" i="2"/>
  <c r="AX6" i="2"/>
  <c r="BB6" i="2" l="1"/>
  <c r="BD6" i="2"/>
  <c r="BE6" i="2"/>
  <c r="BC6" i="2"/>
  <c r="G8" i="2"/>
  <c r="AX7" i="2"/>
  <c r="BB7" i="2" l="1"/>
  <c r="BE7" i="2"/>
  <c r="BD7" i="2"/>
  <c r="BC7" i="2"/>
  <c r="H9" i="2"/>
  <c r="AX8" i="2"/>
  <c r="BB8" i="2" l="1"/>
  <c r="BE8" i="2"/>
  <c r="BD8" i="2"/>
  <c r="BC8" i="2"/>
  <c r="I10" i="2"/>
  <c r="AX9" i="2"/>
  <c r="BB9" i="2" l="1"/>
  <c r="BE9" i="2"/>
  <c r="BD9" i="2"/>
  <c r="BC9" i="2"/>
  <c r="J11" i="2"/>
  <c r="AX10" i="2"/>
  <c r="BB10" i="2" l="1"/>
  <c r="BE10" i="2"/>
  <c r="BC10" i="2"/>
  <c r="BD10" i="2"/>
  <c r="K12" i="2"/>
  <c r="AX11" i="2"/>
  <c r="BB11" i="2" l="1"/>
  <c r="BE11" i="2"/>
  <c r="BC11" i="2"/>
  <c r="BD11" i="2"/>
  <c r="L13" i="2"/>
  <c r="AX12" i="2"/>
  <c r="BB12" i="2" l="1"/>
  <c r="BE12" i="2"/>
  <c r="BD12" i="2"/>
  <c r="BC12" i="2"/>
  <c r="M14" i="2"/>
  <c r="AX14" i="2" s="1"/>
  <c r="AX13" i="2"/>
  <c r="BB13" i="2" l="1"/>
  <c r="BE13" i="2"/>
  <c r="BD13" i="2"/>
  <c r="BC13" i="2"/>
  <c r="BB14" i="2"/>
  <c r="BE14" i="2"/>
  <c r="BC14" i="2"/>
  <c r="BD14" i="2"/>
  <c r="C6" i="1" l="1"/>
  <c r="O2" i="1"/>
  <c r="P2" i="1" s="1"/>
  <c r="O3" i="1"/>
  <c r="P3" i="1" s="1"/>
  <c r="N14" i="3" l="1"/>
  <c r="N19" i="3" s="1"/>
  <c r="I14" i="3"/>
  <c r="I19" i="3" s="1"/>
  <c r="D14" i="3"/>
  <c r="D19" i="3" s="1"/>
  <c r="K14" i="3"/>
  <c r="K19" i="3" s="1"/>
  <c r="E14" i="3"/>
  <c r="E19" i="3" s="1"/>
  <c r="M14" i="3"/>
  <c r="M19" i="3" s="1"/>
  <c r="L14" i="3"/>
  <c r="L19" i="3" s="1"/>
  <c r="G14" i="3"/>
  <c r="G19" i="3" s="1"/>
  <c r="F14" i="3"/>
  <c r="F19" i="3" s="1"/>
  <c r="J14" i="3"/>
  <c r="J19" i="3" s="1"/>
  <c r="H14" i="3"/>
  <c r="H19" i="3" s="1"/>
  <c r="C14" i="3"/>
  <c r="C13" i="3"/>
  <c r="K13" i="3"/>
  <c r="G13" i="3"/>
  <c r="N13" i="3"/>
  <c r="J13" i="3"/>
  <c r="F13" i="3"/>
  <c r="M13" i="3"/>
  <c r="I13" i="3"/>
  <c r="E13" i="3"/>
  <c r="L13" i="3"/>
  <c r="H13" i="3"/>
  <c r="D13" i="3"/>
  <c r="D15" i="3" l="1"/>
  <c r="D18" i="3"/>
  <c r="D20" i="3" s="1"/>
  <c r="L18" i="3"/>
  <c r="L20" i="3" s="1"/>
  <c r="L15" i="3"/>
  <c r="I18" i="3"/>
  <c r="I20" i="3" s="1"/>
  <c r="I15" i="3"/>
  <c r="F18" i="3"/>
  <c r="F20" i="3" s="1"/>
  <c r="F15" i="3"/>
  <c r="N18" i="3"/>
  <c r="N20" i="3" s="1"/>
  <c r="N15" i="3"/>
  <c r="K18" i="3"/>
  <c r="K20" i="3" s="1"/>
  <c r="K15" i="3"/>
  <c r="O14" i="3"/>
  <c r="C19" i="3"/>
  <c r="O19" i="3" s="1"/>
  <c r="H18" i="3"/>
  <c r="H20" i="3" s="1"/>
  <c r="H15" i="3"/>
  <c r="E18" i="3"/>
  <c r="E20" i="3" s="1"/>
  <c r="E15" i="3"/>
  <c r="M18" i="3"/>
  <c r="M20" i="3" s="1"/>
  <c r="M15" i="3"/>
  <c r="J18" i="3"/>
  <c r="J20" i="3" s="1"/>
  <c r="J15" i="3"/>
  <c r="G18" i="3"/>
  <c r="G20" i="3" s="1"/>
  <c r="G15" i="3"/>
  <c r="C18" i="3"/>
  <c r="O13" i="3"/>
  <c r="C15" i="3"/>
  <c r="G55" i="3" l="1"/>
  <c r="G45" i="3"/>
  <c r="G59" i="3"/>
  <c r="G27" i="3"/>
  <c r="G47" i="3"/>
  <c r="G32" i="3"/>
  <c r="G53" i="3"/>
  <c r="G56" i="3"/>
  <c r="G30" i="3"/>
  <c r="G58" i="3"/>
  <c r="G33" i="3"/>
  <c r="G34" i="3"/>
  <c r="G40" i="3"/>
  <c r="G50" i="3"/>
  <c r="G24" i="3"/>
  <c r="G25" i="3"/>
  <c r="G35" i="3"/>
  <c r="G48" i="3"/>
  <c r="G61" i="3"/>
  <c r="G28" i="3"/>
  <c r="G51" i="3"/>
  <c r="G26" i="3"/>
  <c r="G43" i="3"/>
  <c r="G54" i="3"/>
  <c r="G57" i="3"/>
  <c r="G60" i="3"/>
  <c r="G41" i="3"/>
  <c r="G31" i="3"/>
  <c r="G44" i="3"/>
  <c r="G23" i="3"/>
  <c r="G39" i="3"/>
  <c r="G29" i="3"/>
  <c r="G38" i="3"/>
  <c r="G36" i="3"/>
  <c r="G37" i="3"/>
  <c r="G46" i="3"/>
  <c r="G49" i="3"/>
  <c r="G52" i="3"/>
  <c r="G42" i="3"/>
  <c r="K24" i="3"/>
  <c r="K33" i="3"/>
  <c r="K36" i="3"/>
  <c r="K23" i="3"/>
  <c r="K26" i="3"/>
  <c r="K35" i="3"/>
  <c r="K34" i="3"/>
  <c r="K25" i="3"/>
  <c r="K29" i="3"/>
  <c r="K32" i="3"/>
  <c r="K40" i="3"/>
  <c r="K27" i="3"/>
  <c r="K31" i="3"/>
  <c r="K30" i="3"/>
  <c r="K38" i="3"/>
  <c r="K41" i="3"/>
  <c r="K51" i="3"/>
  <c r="K59" i="3"/>
  <c r="K44" i="3"/>
  <c r="K52" i="3"/>
  <c r="K60" i="3"/>
  <c r="K37" i="3"/>
  <c r="K53" i="3"/>
  <c r="K46" i="3"/>
  <c r="K49" i="3"/>
  <c r="K43" i="3"/>
  <c r="K58" i="3"/>
  <c r="K42" i="3"/>
  <c r="K55" i="3"/>
  <c r="K48" i="3"/>
  <c r="K28" i="3"/>
  <c r="K61" i="3"/>
  <c r="K57" i="3"/>
  <c r="K47" i="3"/>
  <c r="K39" i="3"/>
  <c r="K56" i="3"/>
  <c r="K45" i="3"/>
  <c r="K54" i="3"/>
  <c r="K50" i="3"/>
  <c r="O15" i="3"/>
  <c r="O18" i="3"/>
  <c r="C20" i="3"/>
  <c r="E46" i="3"/>
  <c r="E29" i="3"/>
  <c r="E30" i="3"/>
  <c r="E31" i="3"/>
  <c r="E44" i="3"/>
  <c r="E34" i="3"/>
  <c r="E35" i="3"/>
  <c r="E39" i="3"/>
  <c r="E48" i="3"/>
  <c r="E52" i="3"/>
  <c r="E23" i="3"/>
  <c r="E40" i="3"/>
  <c r="E25" i="3"/>
  <c r="E32" i="3"/>
  <c r="E45" i="3"/>
  <c r="E36" i="3"/>
  <c r="E38" i="3"/>
  <c r="E61" i="3"/>
  <c r="E57" i="3"/>
  <c r="E42" i="3"/>
  <c r="E49" i="3"/>
  <c r="E56" i="3"/>
  <c r="E50" i="3"/>
  <c r="E24" i="3"/>
  <c r="E54" i="3"/>
  <c r="E51" i="3"/>
  <c r="E43" i="3"/>
  <c r="E55" i="3"/>
  <c r="E33" i="3"/>
  <c r="E53" i="3"/>
  <c r="E26" i="3"/>
  <c r="E37" i="3"/>
  <c r="E60" i="3"/>
  <c r="E28" i="3"/>
  <c r="E58" i="3"/>
  <c r="E47" i="3"/>
  <c r="E41" i="3"/>
  <c r="E27" i="3"/>
  <c r="E59" i="3"/>
  <c r="D23" i="3"/>
  <c r="D35" i="3"/>
  <c r="D52" i="3"/>
  <c r="D36" i="3"/>
  <c r="D40" i="3"/>
  <c r="D33" i="3"/>
  <c r="D25" i="3"/>
  <c r="D30" i="3"/>
  <c r="D58" i="3"/>
  <c r="D29" i="3"/>
  <c r="D31" i="3"/>
  <c r="D27" i="3"/>
  <c r="D24" i="3"/>
  <c r="D60" i="3"/>
  <c r="D43" i="3"/>
  <c r="D45" i="3"/>
  <c r="D44" i="3"/>
  <c r="D42" i="3"/>
  <c r="D53" i="3"/>
  <c r="D54" i="3"/>
  <c r="D41" i="3"/>
  <c r="D34" i="3"/>
  <c r="D49" i="3"/>
  <c r="D37" i="3"/>
  <c r="D55" i="3"/>
  <c r="D39" i="3"/>
  <c r="D57" i="3"/>
  <c r="D38" i="3"/>
  <c r="D28" i="3"/>
  <c r="D48" i="3"/>
  <c r="D59" i="3"/>
  <c r="D32" i="3"/>
  <c r="D51" i="3"/>
  <c r="D61" i="3"/>
  <c r="D46" i="3"/>
  <c r="D50" i="3"/>
  <c r="D56" i="3"/>
  <c r="D26" i="3"/>
  <c r="D47" i="3"/>
  <c r="H23" i="3"/>
  <c r="H61" i="3"/>
  <c r="H35" i="3"/>
  <c r="H48" i="3"/>
  <c r="H44" i="3"/>
  <c r="H28" i="3"/>
  <c r="H38" i="3"/>
  <c r="H30" i="3"/>
  <c r="H53" i="3"/>
  <c r="H57" i="3"/>
  <c r="H40" i="3"/>
  <c r="H42" i="3"/>
  <c r="H47" i="3"/>
  <c r="H27" i="3"/>
  <c r="H37" i="3"/>
  <c r="H59" i="3"/>
  <c r="H34" i="3"/>
  <c r="H26" i="3"/>
  <c r="H25" i="3"/>
  <c r="H54" i="3"/>
  <c r="H33" i="3"/>
  <c r="H58" i="3"/>
  <c r="H29" i="3"/>
  <c r="H32" i="3"/>
  <c r="H31" i="3"/>
  <c r="H36" i="3"/>
  <c r="H24" i="3"/>
  <c r="H51" i="3"/>
  <c r="H49" i="3"/>
  <c r="H46" i="3"/>
  <c r="H39" i="3"/>
  <c r="H50" i="3"/>
  <c r="H55" i="3"/>
  <c r="H52" i="3"/>
  <c r="H43" i="3"/>
  <c r="H41" i="3"/>
  <c r="H56" i="3"/>
  <c r="H45" i="3"/>
  <c r="H60" i="3"/>
  <c r="I23" i="3"/>
  <c r="I48" i="3"/>
  <c r="I58" i="3"/>
  <c r="I35" i="3"/>
  <c r="I36" i="3"/>
  <c r="I25" i="3"/>
  <c r="I38" i="3"/>
  <c r="I55" i="3"/>
  <c r="I37" i="3"/>
  <c r="I34" i="3"/>
  <c r="I52" i="3"/>
  <c r="I28" i="3"/>
  <c r="I49" i="3"/>
  <c r="I61" i="3"/>
  <c r="I46" i="3"/>
  <c r="I39" i="3"/>
  <c r="I40" i="3"/>
  <c r="I24" i="3"/>
  <c r="I29" i="3"/>
  <c r="I50" i="3"/>
  <c r="I31" i="3"/>
  <c r="I32" i="3"/>
  <c r="I43" i="3"/>
  <c r="I41" i="3"/>
  <c r="I30" i="3"/>
  <c r="I42" i="3"/>
  <c r="I44" i="3"/>
  <c r="I33" i="3"/>
  <c r="I47" i="3"/>
  <c r="I26" i="3"/>
  <c r="I60" i="3"/>
  <c r="I27" i="3"/>
  <c r="I54" i="3"/>
  <c r="I53" i="3"/>
  <c r="I51" i="3"/>
  <c r="I57" i="3"/>
  <c r="I59" i="3"/>
  <c r="I56" i="3"/>
  <c r="I45" i="3"/>
  <c r="M31" i="3"/>
  <c r="M32" i="3"/>
  <c r="M58" i="3"/>
  <c r="M36" i="3"/>
  <c r="M38" i="3"/>
  <c r="M53" i="3"/>
  <c r="M34" i="3"/>
  <c r="M43" i="3"/>
  <c r="M44" i="3"/>
  <c r="M57" i="3"/>
  <c r="M41" i="3"/>
  <c r="M25" i="3"/>
  <c r="M59" i="3"/>
  <c r="M47" i="3"/>
  <c r="M40" i="3"/>
  <c r="M27" i="3"/>
  <c r="M39" i="3"/>
  <c r="M45" i="3"/>
  <c r="M60" i="3"/>
  <c r="M23" i="3"/>
  <c r="M48" i="3"/>
  <c r="M37" i="3"/>
  <c r="M35" i="3"/>
  <c r="M54" i="3"/>
  <c r="M55" i="3"/>
  <c r="M42" i="3"/>
  <c r="M51" i="3"/>
  <c r="M52" i="3"/>
  <c r="M28" i="3"/>
  <c r="M49" i="3"/>
  <c r="M33" i="3"/>
  <c r="M61" i="3"/>
  <c r="M46" i="3"/>
  <c r="M56" i="3"/>
  <c r="M26" i="3"/>
  <c r="M30" i="3"/>
  <c r="M24" i="3"/>
  <c r="M29" i="3"/>
  <c r="M50" i="3"/>
  <c r="J28" i="3"/>
  <c r="J30" i="3"/>
  <c r="J31" i="3"/>
  <c r="J39" i="3"/>
  <c r="J40" i="3"/>
  <c r="J50" i="3"/>
  <c r="J58" i="3"/>
  <c r="J45" i="3"/>
  <c r="J53" i="3"/>
  <c r="J61" i="3"/>
  <c r="J27" i="3"/>
  <c r="J37" i="3"/>
  <c r="J48" i="3"/>
  <c r="J42" i="3"/>
  <c r="J59" i="3"/>
  <c r="J32" i="3"/>
  <c r="J41" i="3"/>
  <c r="J52" i="3"/>
  <c r="J47" i="3"/>
  <c r="J25" i="3"/>
  <c r="J35" i="3"/>
  <c r="J46" i="3"/>
  <c r="J38" i="3"/>
  <c r="J57" i="3"/>
  <c r="J29" i="3"/>
  <c r="J56" i="3"/>
  <c r="J23" i="3"/>
  <c r="J44" i="3"/>
  <c r="J55" i="3"/>
  <c r="J24" i="3"/>
  <c r="J34" i="3"/>
  <c r="J43" i="3"/>
  <c r="J54" i="3"/>
  <c r="J49" i="3"/>
  <c r="J26" i="3"/>
  <c r="J36" i="3"/>
  <c r="J51" i="3"/>
  <c r="J33" i="3"/>
  <c r="J60" i="3"/>
  <c r="N28" i="3"/>
  <c r="N30" i="3"/>
  <c r="N24" i="3"/>
  <c r="N34" i="3"/>
  <c r="N35" i="3"/>
  <c r="N43" i="3"/>
  <c r="N46" i="3"/>
  <c r="N54" i="3"/>
  <c r="N38" i="3"/>
  <c r="N49" i="3"/>
  <c r="N57" i="3"/>
  <c r="N26" i="3"/>
  <c r="N27" i="3"/>
  <c r="N29" i="3"/>
  <c r="N37" i="3"/>
  <c r="N36" i="3"/>
  <c r="N48" i="3"/>
  <c r="N56" i="3"/>
  <c r="N42" i="3"/>
  <c r="N51" i="3"/>
  <c r="N59" i="3"/>
  <c r="N25" i="3"/>
  <c r="N31" i="3"/>
  <c r="N39" i="3"/>
  <c r="N40" i="3"/>
  <c r="N50" i="3"/>
  <c r="N58" i="3"/>
  <c r="N45" i="3"/>
  <c r="N53" i="3"/>
  <c r="N61" i="3"/>
  <c r="N23" i="3"/>
  <c r="N32" i="3"/>
  <c r="N33" i="3"/>
  <c r="N41" i="3"/>
  <c r="N44" i="3"/>
  <c r="N52" i="3"/>
  <c r="N60" i="3"/>
  <c r="N47" i="3"/>
  <c r="N55" i="3"/>
  <c r="F32" i="3"/>
  <c r="F31" i="3"/>
  <c r="F44" i="3"/>
  <c r="F60" i="3"/>
  <c r="F55" i="3"/>
  <c r="F25" i="3"/>
  <c r="F33" i="3"/>
  <c r="F46" i="3"/>
  <c r="F38" i="3"/>
  <c r="F57" i="3"/>
  <c r="F26" i="3"/>
  <c r="F27" i="3"/>
  <c r="F36" i="3"/>
  <c r="F35" i="3"/>
  <c r="F43" i="3"/>
  <c r="F48" i="3"/>
  <c r="F56" i="3"/>
  <c r="F42" i="3"/>
  <c r="F51" i="3"/>
  <c r="F59" i="3"/>
  <c r="F28" i="3"/>
  <c r="F30" i="3"/>
  <c r="F29" i="3"/>
  <c r="F37" i="3"/>
  <c r="F40" i="3"/>
  <c r="F50" i="3"/>
  <c r="F58" i="3"/>
  <c r="F45" i="3"/>
  <c r="F53" i="3"/>
  <c r="F61" i="3"/>
  <c r="F23" i="3"/>
  <c r="F39" i="3"/>
  <c r="F52" i="3"/>
  <c r="F47" i="3"/>
  <c r="F24" i="3"/>
  <c r="F34" i="3"/>
  <c r="F41" i="3"/>
  <c r="F54" i="3"/>
  <c r="F49" i="3"/>
  <c r="L23" i="3"/>
  <c r="L32" i="3"/>
  <c r="L33" i="3"/>
  <c r="L41" i="3"/>
  <c r="L44" i="3"/>
  <c r="L52" i="3"/>
  <c r="L60" i="3"/>
  <c r="L47" i="3"/>
  <c r="L55" i="3"/>
  <c r="L24" i="3"/>
  <c r="L34" i="3"/>
  <c r="L43" i="3"/>
  <c r="L54" i="3"/>
  <c r="L49" i="3"/>
  <c r="L28" i="3"/>
  <c r="L31" i="3"/>
  <c r="L42" i="3"/>
  <c r="L58" i="3"/>
  <c r="L53" i="3"/>
  <c r="L26" i="3"/>
  <c r="L27" i="3"/>
  <c r="L29" i="3"/>
  <c r="L37" i="3"/>
  <c r="L38" i="3"/>
  <c r="L48" i="3"/>
  <c r="L56" i="3"/>
  <c r="L40" i="3"/>
  <c r="L51" i="3"/>
  <c r="L59" i="3"/>
  <c r="L25" i="3"/>
  <c r="L35" i="3"/>
  <c r="L46" i="3"/>
  <c r="L36" i="3"/>
  <c r="L57" i="3"/>
  <c r="L30" i="3"/>
  <c r="L39" i="3"/>
  <c r="L50" i="3"/>
  <c r="L45" i="3"/>
  <c r="L61" i="3"/>
  <c r="U34" i="3" s="1"/>
  <c r="AE51" i="3" l="1"/>
  <c r="AG51" i="3"/>
  <c r="AD51" i="3"/>
  <c r="AF51" i="3"/>
  <c r="L62" i="3"/>
  <c r="U28" i="3"/>
  <c r="N62" i="3"/>
  <c r="U32" i="3"/>
  <c r="U31" i="3"/>
  <c r="H62" i="3"/>
  <c r="U26" i="3"/>
  <c r="E62" i="3"/>
  <c r="G62" i="3"/>
  <c r="F62" i="3"/>
  <c r="J62" i="3"/>
  <c r="M62" i="3"/>
  <c r="I62" i="3"/>
  <c r="U30" i="3"/>
  <c r="D62" i="3"/>
  <c r="U27" i="3"/>
  <c r="C46" i="3"/>
  <c r="C47" i="3"/>
  <c r="C48" i="3"/>
  <c r="C28" i="3"/>
  <c r="C56" i="3"/>
  <c r="C34" i="3"/>
  <c r="O34" i="3" s="1"/>
  <c r="C23" i="3"/>
  <c r="C27" i="3"/>
  <c r="C43" i="3"/>
  <c r="C24" i="3"/>
  <c r="C55" i="3"/>
  <c r="C49" i="3"/>
  <c r="C36" i="3"/>
  <c r="C29" i="3"/>
  <c r="O29" i="3" s="1"/>
  <c r="C52" i="3"/>
  <c r="C38" i="3"/>
  <c r="C61" i="3"/>
  <c r="C54" i="3"/>
  <c r="C50" i="3"/>
  <c r="C37" i="3"/>
  <c r="C60" i="3"/>
  <c r="C31" i="3"/>
  <c r="O31" i="3" s="1"/>
  <c r="C32" i="3"/>
  <c r="O32" i="3" s="1"/>
  <c r="C41" i="3"/>
  <c r="C59" i="3"/>
  <c r="C26" i="3"/>
  <c r="C42" i="3"/>
  <c r="C57" i="3"/>
  <c r="C35" i="3"/>
  <c r="O20" i="3"/>
  <c r="C40" i="3"/>
  <c r="C33" i="3"/>
  <c r="O33" i="3" s="1"/>
  <c r="C58" i="3"/>
  <c r="C51" i="3"/>
  <c r="C45" i="3"/>
  <c r="C30" i="3"/>
  <c r="O30" i="3" s="1"/>
  <c r="C53" i="3"/>
  <c r="C39" i="3"/>
  <c r="C25" i="3"/>
  <c r="C44" i="3"/>
  <c r="U33" i="3"/>
  <c r="K62" i="3"/>
  <c r="U29" i="3"/>
  <c r="R29" i="3" l="1"/>
  <c r="R46" i="3" s="1"/>
  <c r="S32" i="3"/>
  <c r="O44" i="3"/>
  <c r="O39" i="3"/>
  <c r="S27" i="3"/>
  <c r="O51" i="3"/>
  <c r="T27" i="3"/>
  <c r="T33" i="3"/>
  <c r="O57" i="3"/>
  <c r="R26" i="3"/>
  <c r="O26" i="3"/>
  <c r="S29" i="3"/>
  <c r="O41" i="3"/>
  <c r="S25" i="3"/>
  <c r="O37" i="3"/>
  <c r="T30" i="3"/>
  <c r="O54" i="3"/>
  <c r="O38" i="3"/>
  <c r="S26" i="3"/>
  <c r="O49" i="3"/>
  <c r="T25" i="3"/>
  <c r="O24" i="3"/>
  <c r="R24" i="3"/>
  <c r="R27" i="3"/>
  <c r="O27" i="3"/>
  <c r="O28" i="3"/>
  <c r="R28" i="3"/>
  <c r="O47" i="3"/>
  <c r="T23" i="3"/>
  <c r="AG44" i="3"/>
  <c r="AD44" i="3"/>
  <c r="AF44" i="3"/>
  <c r="AE44" i="3"/>
  <c r="AE47" i="3"/>
  <c r="AD47" i="3"/>
  <c r="AG47" i="3"/>
  <c r="AF47" i="3"/>
  <c r="AF43" i="3"/>
  <c r="AD43" i="3"/>
  <c r="AG43" i="3"/>
  <c r="AE43" i="3"/>
  <c r="R31" i="3"/>
  <c r="AF48" i="3"/>
  <c r="AG48" i="3"/>
  <c r="AD48" i="3"/>
  <c r="AE48" i="3"/>
  <c r="R32" i="3"/>
  <c r="AF49" i="3"/>
  <c r="AG49" i="3"/>
  <c r="AE49" i="3"/>
  <c r="AD49" i="3"/>
  <c r="AE45" i="3"/>
  <c r="AD45" i="3"/>
  <c r="AG45" i="3"/>
  <c r="AF45" i="3"/>
  <c r="AE46" i="3"/>
  <c r="AF46" i="3"/>
  <c r="AD46" i="3"/>
  <c r="AG46" i="3"/>
  <c r="AG50" i="3"/>
  <c r="AE50" i="3"/>
  <c r="AD50" i="3"/>
  <c r="AF50" i="3"/>
  <c r="O25" i="3"/>
  <c r="R25" i="3"/>
  <c r="T29" i="3"/>
  <c r="O53" i="3"/>
  <c r="O45" i="3"/>
  <c r="S33" i="3"/>
  <c r="O58" i="3"/>
  <c r="T34" i="3"/>
  <c r="O40" i="3"/>
  <c r="S28" i="3"/>
  <c r="S23" i="3"/>
  <c r="O35" i="3"/>
  <c r="S30" i="3"/>
  <c r="O42" i="3"/>
  <c r="U23" i="3"/>
  <c r="O59" i="3"/>
  <c r="U24" i="3"/>
  <c r="O60" i="3"/>
  <c r="T26" i="3"/>
  <c r="O50" i="3"/>
  <c r="O61" i="3"/>
  <c r="U25" i="3"/>
  <c r="T28" i="3"/>
  <c r="O52" i="3"/>
  <c r="O36" i="3"/>
  <c r="S24" i="3"/>
  <c r="T31" i="3"/>
  <c r="O55" i="3"/>
  <c r="S31" i="3"/>
  <c r="O43" i="3"/>
  <c r="C62" i="3"/>
  <c r="O23" i="3"/>
  <c r="R23" i="3"/>
  <c r="O56" i="3"/>
  <c r="T32" i="3"/>
  <c r="T24" i="3"/>
  <c r="O48" i="3"/>
  <c r="O46" i="3"/>
  <c r="S34" i="3"/>
  <c r="U46" i="3"/>
  <c r="R34" i="3"/>
  <c r="R30" i="3"/>
  <c r="R33" i="3"/>
  <c r="S46" i="3" l="1"/>
  <c r="T46" i="3"/>
  <c r="R50" i="3"/>
  <c r="T50" i="3"/>
  <c r="U50" i="3"/>
  <c r="S50" i="3"/>
  <c r="U51" i="3"/>
  <c r="S51" i="3"/>
  <c r="R51" i="3"/>
  <c r="T51" i="3"/>
  <c r="AA41" i="3"/>
  <c r="AC41" i="3"/>
  <c r="AB41" i="3"/>
  <c r="Z41" i="3"/>
  <c r="O62" i="3"/>
  <c r="W41" i="3"/>
  <c r="V41" i="3"/>
  <c r="Y41" i="3"/>
  <c r="X41" i="3"/>
  <c r="AE42" i="3"/>
  <c r="AG42" i="3"/>
  <c r="AF42" i="3"/>
  <c r="AD42" i="3"/>
  <c r="V45" i="3"/>
  <c r="X45" i="3"/>
  <c r="W45" i="3"/>
  <c r="Y45" i="3"/>
  <c r="Z51" i="3"/>
  <c r="AB51" i="3"/>
  <c r="AC51" i="3"/>
  <c r="AA51" i="3"/>
  <c r="X50" i="3"/>
  <c r="W50" i="3"/>
  <c r="Y50" i="3"/>
  <c r="V50" i="3"/>
  <c r="U42" i="3"/>
  <c r="T42" i="3"/>
  <c r="S42" i="3"/>
  <c r="R42" i="3"/>
  <c r="R49" i="3"/>
  <c r="T49" i="3"/>
  <c r="U49" i="3"/>
  <c r="S49" i="3"/>
  <c r="AC40" i="3"/>
  <c r="Z40" i="3"/>
  <c r="AA40" i="3"/>
  <c r="T35" i="3"/>
  <c r="AB40" i="3"/>
  <c r="U45" i="3"/>
  <c r="S45" i="3"/>
  <c r="R45" i="3"/>
  <c r="T45" i="3"/>
  <c r="U41" i="3"/>
  <c r="S41" i="3"/>
  <c r="R41" i="3"/>
  <c r="T41" i="3"/>
  <c r="Z42" i="3"/>
  <c r="AA42" i="3"/>
  <c r="AB42" i="3"/>
  <c r="AC42" i="3"/>
  <c r="X43" i="3"/>
  <c r="W43" i="3"/>
  <c r="V43" i="3"/>
  <c r="Y43" i="3"/>
  <c r="AB44" i="3"/>
  <c r="AC44" i="3"/>
  <c r="AA44" i="3"/>
  <c r="Z44" i="3"/>
  <c r="W44" i="3"/>
  <c r="V44" i="3"/>
  <c r="Y44" i="3"/>
  <c r="X44" i="3"/>
  <c r="S47" i="3"/>
  <c r="T47" i="3"/>
  <c r="U47" i="3"/>
  <c r="R47" i="3"/>
  <c r="W51" i="3"/>
  <c r="Y51" i="3"/>
  <c r="X51" i="3"/>
  <c r="V51" i="3"/>
  <c r="Z49" i="3"/>
  <c r="AA49" i="3"/>
  <c r="AB49" i="3"/>
  <c r="AC49" i="3"/>
  <c r="R40" i="3"/>
  <c r="R35" i="3"/>
  <c r="S40" i="3"/>
  <c r="T40" i="3"/>
  <c r="U40" i="3"/>
  <c r="V48" i="3"/>
  <c r="W48" i="3"/>
  <c r="Y48" i="3"/>
  <c r="X48" i="3"/>
  <c r="AC48" i="3"/>
  <c r="Z48" i="3"/>
  <c r="AB48" i="3"/>
  <c r="AA48" i="3"/>
  <c r="AA45" i="3"/>
  <c r="AC45" i="3"/>
  <c r="AB45" i="3"/>
  <c r="Z45" i="3"/>
  <c r="AB43" i="3"/>
  <c r="Z43" i="3"/>
  <c r="AA43" i="3"/>
  <c r="AC43" i="3"/>
  <c r="AD41" i="3"/>
  <c r="AG41" i="3"/>
  <c r="AF41" i="3"/>
  <c r="AE41" i="3"/>
  <c r="AG40" i="3"/>
  <c r="AD40" i="3"/>
  <c r="AE40" i="3"/>
  <c r="U35" i="3"/>
  <c r="AF40" i="3"/>
  <c r="V47" i="3"/>
  <c r="W47" i="3"/>
  <c r="Y47" i="3"/>
  <c r="X47" i="3"/>
  <c r="S35" i="3"/>
  <c r="W40" i="3"/>
  <c r="X40" i="3"/>
  <c r="V40" i="3"/>
  <c r="Y40" i="3"/>
  <c r="AB46" i="3"/>
  <c r="AC46" i="3"/>
  <c r="Z46" i="3"/>
  <c r="AA46" i="3"/>
  <c r="R48" i="3"/>
  <c r="S48" i="3"/>
  <c r="U48" i="3"/>
  <c r="T48" i="3"/>
  <c r="S44" i="3"/>
  <c r="R44" i="3"/>
  <c r="U44" i="3"/>
  <c r="T44" i="3"/>
  <c r="Z47" i="3"/>
  <c r="AC47" i="3"/>
  <c r="AB47" i="3"/>
  <c r="AA47" i="3"/>
  <c r="X42" i="3"/>
  <c r="Y42" i="3"/>
  <c r="V42" i="3"/>
  <c r="W42" i="3"/>
  <c r="W46" i="3"/>
  <c r="X46" i="3"/>
  <c r="V46" i="3"/>
  <c r="Y46" i="3"/>
  <c r="T43" i="3"/>
  <c r="S43" i="3"/>
  <c r="R43" i="3"/>
  <c r="U43" i="3"/>
  <c r="AC50" i="3"/>
  <c r="AA50" i="3"/>
  <c r="Z50" i="3"/>
  <c r="AB50" i="3"/>
  <c r="Y49" i="3"/>
  <c r="W49" i="3"/>
  <c r="V49" i="3"/>
  <c r="X49" i="3"/>
  <c r="R56" i="3" l="1"/>
  <c r="H10" i="1" s="1"/>
  <c r="H24" i="1" s="1"/>
  <c r="R57" i="3"/>
  <c r="H11" i="1" s="1"/>
  <c r="H25" i="1" s="1"/>
  <c r="R55" i="3"/>
  <c r="H9" i="1" s="1"/>
  <c r="H23" i="1" s="1"/>
  <c r="R54" i="3"/>
  <c r="H8" i="1" l="1"/>
  <c r="R58" i="3"/>
  <c r="H22" i="1" l="1"/>
  <c r="H26" i="1" s="1"/>
  <c r="H12" i="1"/>
</calcChain>
</file>

<file path=xl/sharedStrings.xml><?xml version="1.0" encoding="utf-8"?>
<sst xmlns="http://schemas.openxmlformats.org/spreadsheetml/2006/main" count="243" uniqueCount="141">
  <si>
    <t>Month</t>
  </si>
  <si>
    <t>Half-life: (Weeks)</t>
  </si>
  <si>
    <t>Half-life: (Months)</t>
  </si>
  <si>
    <t>Decay rate: (lamda)</t>
  </si>
  <si>
    <t>Decay factor</t>
  </si>
  <si>
    <t>Tax-rate:</t>
  </si>
  <si>
    <t>3-Yr NPV (2014-16)</t>
  </si>
  <si>
    <t># New Patients:</t>
  </si>
  <si>
    <t>Month: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</si>
  <si>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</si>
  <si>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</si>
  <si>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</si>
  <si>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</si>
  <si>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</si>
  <si>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</si>
  <si>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</si>
  <si>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</si>
  <si>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</si>
  <si>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</si>
  <si>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</si>
  <si>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</si>
  <si>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1</t>
  </si>
  <si>
    <t>Year 2</t>
  </si>
  <si>
    <t>Year 3</t>
  </si>
  <si>
    <t>Year1</t>
  </si>
  <si>
    <t>Year2</t>
  </si>
  <si>
    <t>Year3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</si>
  <si>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</si>
  <si>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</si>
  <si>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</si>
  <si>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</si>
  <si>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</si>
  <si>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</si>
  <si>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</si>
  <si>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</si>
  <si>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</si>
  <si>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</si>
  <si>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</si>
  <si>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</si>
  <si>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</si>
  <si>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ROI</t>
  </si>
  <si>
    <t>After-tax Revenue:</t>
  </si>
  <si>
    <t># Incremental New Patients:</t>
  </si>
  <si>
    <t>Media Type:</t>
  </si>
  <si>
    <t>New Patients by Months:</t>
  </si>
  <si>
    <t>L.Month + 0</t>
  </si>
  <si>
    <t>L.Month + 1</t>
  </si>
  <si>
    <t>L.Month + 2</t>
  </si>
  <si>
    <t>L.Month + 3</t>
  </si>
  <si>
    <t>L.Month + 4</t>
  </si>
  <si>
    <t>L.Month + 5</t>
  </si>
  <si>
    <t>L.Month + 6</t>
  </si>
  <si>
    <t>L.Month + 7</t>
  </si>
  <si>
    <t>L.Month + 8</t>
  </si>
  <si>
    <t>L.Month + 9</t>
  </si>
  <si>
    <t>L.Month + 10</t>
  </si>
  <si>
    <t>L.Month + 11</t>
  </si>
  <si>
    <t>L.Month + 12</t>
  </si>
  <si>
    <t>L.Month + 13</t>
  </si>
  <si>
    <t>L.Month + 14</t>
  </si>
  <si>
    <t>L.Month + 15</t>
  </si>
  <si>
    <t>L.Month + 16</t>
  </si>
  <si>
    <t>L.Month + 17</t>
  </si>
  <si>
    <t>L.Month + 18</t>
  </si>
  <si>
    <t>L.Month + 19</t>
  </si>
  <si>
    <t>L.Month + 20</t>
  </si>
  <si>
    <t>L.Month + 21</t>
  </si>
  <si>
    <t>L.Month + 22</t>
  </si>
  <si>
    <t>L.Month + 23</t>
  </si>
  <si>
    <t>L.Month + 24</t>
  </si>
  <si>
    <t>L.Month + 25</t>
  </si>
  <si>
    <t>L.Month + 26</t>
  </si>
  <si>
    <t>L.Month + 27</t>
  </si>
  <si>
    <t>L.Month + 28</t>
  </si>
  <si>
    <t>L.Month + 29</t>
  </si>
  <si>
    <t>L.Month + 30</t>
  </si>
  <si>
    <t>L.Month + 31</t>
  </si>
  <si>
    <t>L.Month + 32</t>
  </si>
  <si>
    <t>L.Month + 33</t>
  </si>
  <si>
    <t>L.Month + 34</t>
  </si>
  <si>
    <t>L.Month + 35</t>
  </si>
  <si>
    <t>L.Month + 36</t>
  </si>
  <si>
    <t>L.Month + 37</t>
  </si>
  <si>
    <t>L.Month + 38</t>
  </si>
  <si>
    <t>%Year1</t>
  </si>
  <si>
    <t>%Year2</t>
  </si>
  <si>
    <t>%Year3</t>
  </si>
  <si>
    <t>Year4</t>
  </si>
  <si>
    <t>%Year4</t>
  </si>
  <si>
    <t>Total In-year Revenue:</t>
  </si>
  <si>
    <t>2014 Activation:</t>
  </si>
  <si>
    <t>Revenue realized :</t>
  </si>
  <si>
    <t>in 2014</t>
  </si>
  <si>
    <t>in 2015</t>
  </si>
  <si>
    <t>in 2016</t>
  </si>
  <si>
    <t>in 2017</t>
  </si>
  <si>
    <t>2015 Activation:</t>
  </si>
  <si>
    <t>2016 Activation:</t>
  </si>
  <si>
    <t>in 2018</t>
  </si>
  <si>
    <t>in 2019</t>
  </si>
  <si>
    <t>in 2020</t>
  </si>
  <si>
    <t>Year:</t>
  </si>
  <si>
    <t>Revenue:</t>
  </si>
  <si>
    <t>Total:</t>
  </si>
  <si>
    <t>% Activated</t>
  </si>
  <si>
    <t>2017 &amp; Beyond</t>
  </si>
  <si>
    <t>2017 &amp; Beyond:</t>
  </si>
  <si>
    <t>After-tax Revenue by Year:</t>
  </si>
  <si>
    <t>Steps for Revenue per Year Calculation:</t>
  </si>
  <si>
    <t>Choose appropriate half-life period</t>
  </si>
  <si>
    <t>Obtain Monthly decay rate</t>
  </si>
  <si>
    <t>Calculate 1- decay rate to obtain % influenced at time t</t>
  </si>
  <si>
    <t>Calculate after-tax cost</t>
  </si>
  <si>
    <t>Use Janie's ROI to get after-tax total revenue.</t>
  </si>
  <si>
    <t>Obtain equivalent total NPS from AT revenue &amp; after-tax 3-yr NPV.</t>
  </si>
  <si>
    <t>Once total NPS is obtained, split NPS by 1-decay rate % to assume NPS obtained over time due to adstocking effect of HCC.</t>
  </si>
  <si>
    <t>Calculate total NPS across all media types.</t>
  </si>
  <si>
    <t>Calculate 2014, 2015, 2016, 2017 &amp; beyond NPS.</t>
  </si>
  <si>
    <t>Calculate Monthly % revenue proportion using adherence curves</t>
  </si>
  <si>
    <t>Apply NPS*Monthly contribution*NPV to get AT revenue for each Year-Month combination</t>
  </si>
  <si>
    <t>Sum revenue for 2014, 15, 16 , 17 &amp; beyond.</t>
  </si>
  <si>
    <t>Cost:</t>
  </si>
  <si>
    <t>2013 Cost per DOT:</t>
  </si>
  <si>
    <t>2013 Cost per Unit:</t>
  </si>
  <si>
    <t>Incr. Sample Budget:</t>
  </si>
  <si>
    <t>Januvia</t>
  </si>
  <si>
    <t>Janumet XR</t>
  </si>
  <si>
    <t># DOT in an Unit:</t>
  </si>
  <si>
    <t># DOT for Incr.budget:</t>
  </si>
  <si>
    <t>Januvia Samples</t>
  </si>
  <si>
    <t>Janumet XR samples</t>
  </si>
  <si>
    <t>NRx per DOT for given DOT on curve</t>
  </si>
  <si>
    <t>3-Yr NPV:</t>
  </si>
  <si>
    <t>3-Yr After-tax revenue</t>
  </si>
  <si>
    <t>Gross Sales to PV:</t>
  </si>
  <si>
    <t>Gross Sales by Year:</t>
  </si>
  <si>
    <t>NRx scaled for NPA to Grail NRx</t>
  </si>
  <si>
    <t>Scaled Total NRx:</t>
  </si>
  <si>
    <t>Net Only of Discounts: Discount Rate:</t>
  </si>
  <si>
    <t>Incremental Sample Scenario ($5MM)</t>
  </si>
  <si>
    <t>Net Revenue by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</si>
</sst>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7" formatCode="&quot;$&quot;#,##0.00_);\(&quot;$&quot;#,##0.00\)"/>
    <numFmt numFmtId="164" formatCode="0.000"/>
    <numFmt numFmtId="165" formatCode="&quot;$&quot;#,##0"/>
    <numFmt numFmtId="166" formatCode="0.0%"/>
    <numFmt numFmtId="167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Book Antiqua"/>
      <family val="1"/>
    </font>
    <font>
      <sz val="6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5" fontId="0" fillId="0" borderId="0" xfId="0" applyNumberFormat="1"/>
    <xf numFmtId="7" fontId="0" fillId="0" borderId="0" xfId="0" applyNumberFormat="1"/>
    <xf numFmtId="3" fontId="0" fillId="0" borderId="0" xfId="0" applyNumberFormat="1"/>
    <xf numFmtId="5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165" fontId="4" fillId="0" borderId="0" xfId="0" applyNumberFormat="1" applyFont="1" applyAlignment="1">
      <alignment horizontal="center"/>
    </xf>
    <xf numFmtId="165" fontId="4" fillId="4" borderId="0" xfId="0" applyNumberFormat="1" applyFont="1" applyFill="1" applyAlignment="1">
      <alignment horizontal="center"/>
    </xf>
    <xf numFmtId="0" fontId="0" fillId="4" borderId="0" xfId="0" applyFill="1"/>
    <xf numFmtId="0" fontId="6" fillId="6" borderId="0" xfId="0" applyFont="1" applyFill="1"/>
    <xf numFmtId="3" fontId="4" fillId="4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3" fontId="4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9" fontId="0" fillId="0" borderId="0" xfId="0" applyNumberFormat="1"/>
    <xf numFmtId="3" fontId="4" fillId="2" borderId="0" xfId="0" applyNumberFormat="1" applyFont="1" applyFill="1" applyAlignment="1">
      <alignment horizontal="center"/>
    </xf>
    <xf numFmtId="3" fontId="4" fillId="9" borderId="0" xfId="0" applyNumberFormat="1" applyFont="1" applyFill="1" applyAlignment="1">
      <alignment horizontal="center"/>
    </xf>
    <xf numFmtId="0" fontId="2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3" fontId="4" fillId="10" borderId="0" xfId="0" applyNumberFormat="1" applyFont="1" applyFill="1" applyAlignment="1">
      <alignment horizontal="center"/>
    </xf>
    <xf numFmtId="3" fontId="4" fillId="12" borderId="0" xfId="0" applyNumberFormat="1" applyFont="1" applyFill="1" applyAlignment="1">
      <alignment horizontal="center"/>
    </xf>
    <xf numFmtId="9" fontId="5" fillId="7" borderId="1" xfId="0" applyNumberFormat="1" applyFont="1" applyFill="1" applyBorder="1"/>
    <xf numFmtId="9" fontId="5" fillId="6" borderId="1" xfId="0" applyNumberFormat="1" applyFont="1" applyFill="1" applyBorder="1"/>
    <xf numFmtId="9" fontId="5" fillId="3" borderId="1" xfId="0" applyNumberFormat="1" applyFont="1" applyFill="1" applyBorder="1"/>
    <xf numFmtId="2" fontId="0" fillId="2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/>
    </xf>
    <xf numFmtId="166" fontId="0" fillId="0" borderId="0" xfId="0" applyNumberFormat="1"/>
    <xf numFmtId="166" fontId="7" fillId="14" borderId="2" xfId="1" applyNumberFormat="1" applyFont="1" applyFill="1" applyBorder="1"/>
    <xf numFmtId="166" fontId="7" fillId="14" borderId="0" xfId="1" applyNumberFormat="1" applyFont="1" applyFill="1" applyBorder="1"/>
    <xf numFmtId="9" fontId="8" fillId="13" borderId="0" xfId="0" applyNumberFormat="1" applyFont="1" applyFill="1" applyBorder="1"/>
    <xf numFmtId="0" fontId="0" fillId="8" borderId="6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0" xfId="0" applyFill="1"/>
    <xf numFmtId="165" fontId="4" fillId="0" borderId="6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2" fillId="15" borderId="0" xfId="0" applyFont="1" applyFill="1" applyAlignment="1">
      <alignment horizontal="center"/>
    </xf>
    <xf numFmtId="165" fontId="9" fillId="15" borderId="0" xfId="0" applyNumberFormat="1" applyFont="1" applyFill="1"/>
    <xf numFmtId="0" fontId="0" fillId="6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2" fillId="5" borderId="13" xfId="0" applyNumberFormat="1" applyFont="1" applyFill="1" applyBorder="1" applyAlignment="1">
      <alignment horizontal="center"/>
    </xf>
    <xf numFmtId="0" fontId="0" fillId="11" borderId="0" xfId="0" applyFill="1"/>
    <xf numFmtId="0" fontId="0" fillId="10" borderId="0" xfId="0" applyFill="1"/>
    <xf numFmtId="0" fontId="0" fillId="5" borderId="0" xfId="0" applyFill="1" applyAlignment="1">
      <alignment horizontal="center"/>
    </xf>
    <xf numFmtId="3" fontId="0" fillId="5" borderId="0" xfId="0" applyNumberFormat="1" applyFill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7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0" fontId="0" fillId="0" borderId="0" xfId="0" applyNumberFormat="1"/>
    <xf numFmtId="0" fontId="0" fillId="6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165" fontId="2" fillId="5" borderId="13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pModel/Data/est/FNL_SAMPLE_Resp_Curv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%20Mix%20PI/InvOpt/P2%202014%20AB/Promo/Diabetes%20Deep%20Dive/RespModel/Data/est/FNL_SAMPLE_Resp_Cur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A/Finance%20NPV%20Models/AB2014%20(yrs%202014-2016)/Product%20NPV%20AB2014%20received%207-9-13%20VERSION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A/Finance%20NPV%20Models/AB2014%20(yrs%202014-2016)/Monthly%20Adherence%20Curves%20Raw%20&amp;%20Adjus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Sample Curve - TRx"/>
      <sheetName val="JMT Sample Curve - TRx"/>
      <sheetName val="TOT Sample Curve - TRx"/>
      <sheetName val="JAN Sample Curve"/>
      <sheetName val="JMT Sample Curve"/>
      <sheetName val="TOT Sample Curve"/>
      <sheetName val="Sheet2"/>
      <sheetName val="Sheet3"/>
    </sheetNames>
    <sheetDataSet>
      <sheetData sheetId="0"/>
      <sheetData sheetId="1"/>
      <sheetData sheetId="2"/>
      <sheetData sheetId="3">
        <row r="22">
          <cell r="L22">
            <v>3.1054398462492148</v>
          </cell>
        </row>
        <row r="57">
          <cell r="F57">
            <v>32004260.39784351</v>
          </cell>
          <cell r="H57">
            <v>82876.015096020987</v>
          </cell>
        </row>
      </sheetData>
      <sheetData sheetId="4">
        <row r="21">
          <cell r="J21">
            <v>1134900</v>
          </cell>
          <cell r="L21">
            <v>11822529</v>
          </cell>
        </row>
        <row r="51">
          <cell r="F51">
            <v>4645078.9176559718</v>
          </cell>
          <cell r="H51">
            <v>25381.569519248358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Sample Curve - TRx"/>
      <sheetName val="JMT Sample Curve - TRx"/>
      <sheetName val="TOT Sample Curve - TRx"/>
      <sheetName val="JAN Sample Curve"/>
      <sheetName val="JMT Sample Curve"/>
      <sheetName val="TOT Sample Curve"/>
      <sheetName val="Sheet2"/>
      <sheetName val="Sheet3"/>
    </sheetNames>
    <sheetDataSet>
      <sheetData sheetId="0"/>
      <sheetData sheetId="1"/>
      <sheetData sheetId="2"/>
      <sheetData sheetId="3">
        <row r="57">
          <cell r="H57">
            <v>82876.015096020987</v>
          </cell>
          <cell r="I57">
            <v>119374.05517247644</v>
          </cell>
        </row>
      </sheetData>
      <sheetData sheetId="4">
        <row r="51">
          <cell r="H51">
            <v>25381.569519248358</v>
          </cell>
          <cell r="I51">
            <v>35566.746018673424</v>
          </cell>
        </row>
      </sheetData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 Summary"/>
      <sheetName val="NPV SHARING POLICIES"/>
      <sheetName val="NPV2014"/>
      <sheetName val="NPV 2"/>
      <sheetName val="NPV2012"/>
      <sheetName val="PharmaData"/>
      <sheetName val="ROA&amp;Tax"/>
      <sheetName val="Adherence"/>
      <sheetName val="Inflation"/>
      <sheetName val="Discs.ProductCost.Royalty"/>
      <sheetName val="Notes"/>
      <sheetName val="Sheet1"/>
      <sheetName val="Fosamax"/>
      <sheetName val="Fosamax Plus D"/>
      <sheetName val="Fosamax Total"/>
    </sheetNames>
    <sheetDataSet>
      <sheetData sheetId="0"/>
      <sheetData sheetId="1">
        <row r="24">
          <cell r="D24">
            <v>1222.4993693080694</v>
          </cell>
        </row>
        <row r="25">
          <cell r="D25">
            <v>1302.2947233248744</v>
          </cell>
        </row>
        <row r="26">
          <cell r="D26">
            <v>1341.8786437759854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RULES"/>
      <sheetName val="Raw Curves"/>
      <sheetName val="Adjusted Curves"/>
    </sheetNames>
    <sheetDataSet>
      <sheetData sheetId="0"/>
      <sheetData sheetId="1"/>
      <sheetData sheetId="2">
        <row r="31">
          <cell r="C31">
            <v>1</v>
          </cell>
          <cell r="D31">
            <v>0.90610552129666766</v>
          </cell>
          <cell r="E31">
            <v>0.66474626792906999</v>
          </cell>
          <cell r="F31">
            <v>0.64124164902099534</v>
          </cell>
          <cell r="G31">
            <v>0.54117698347402432</v>
          </cell>
          <cell r="H31">
            <v>0.51025933185167127</v>
          </cell>
          <cell r="I31">
            <v>0.48547932267442784</v>
          </cell>
          <cell r="J31">
            <v>0.48005362409561342</v>
          </cell>
          <cell r="K31">
            <v>0.45523186819788147</v>
          </cell>
          <cell r="L31">
            <v>0.43928313237780964</v>
          </cell>
          <cell r="M31">
            <v>0.42066745282380119</v>
          </cell>
          <cell r="N31">
            <v>0.39950949995149343</v>
          </cell>
          <cell r="O31">
            <v>0.39093144977203637</v>
          </cell>
          <cell r="P31">
            <v>0.38291069585435045</v>
          </cell>
          <cell r="Q31">
            <v>0.38076321767921684</v>
          </cell>
          <cell r="R31">
            <v>0.37171614851418178</v>
          </cell>
          <cell r="S31">
            <v>0.37270488492172443</v>
          </cell>
          <cell r="T31">
            <v>0.36774932743560501</v>
          </cell>
          <cell r="U31">
            <v>0.35839558256737353</v>
          </cell>
          <cell r="V31">
            <v>0.35426123129529563</v>
          </cell>
          <cell r="W31">
            <v>0.34211474253910101</v>
          </cell>
          <cell r="X31">
            <v>0.34238762623392033</v>
          </cell>
          <cell r="Y31">
            <v>0.33485906539725552</v>
          </cell>
          <cell r="Z31">
            <v>0.32131583307677547</v>
          </cell>
          <cell r="AA31">
            <v>0.32349067713152857</v>
          </cell>
          <cell r="AB31">
            <v>0.30974679620133722</v>
          </cell>
          <cell r="AC31">
            <v>0.30422886021404322</v>
          </cell>
          <cell r="AD31">
            <v>0.30178926030046821</v>
          </cell>
          <cell r="AE31">
            <v>0.29355912461272771</v>
          </cell>
          <cell r="AF31">
            <v>0.29311976616354662</v>
          </cell>
          <cell r="AG31">
            <v>0.28546484462963512</v>
          </cell>
          <cell r="AH31">
            <v>0.28257423318515756</v>
          </cell>
          <cell r="AI31">
            <v>0.27769204186745183</v>
          </cell>
          <cell r="AJ31">
            <v>0.26899216431934214</v>
          </cell>
          <cell r="AK31">
            <v>0.22542894965502608</v>
          </cell>
          <cell r="AL31">
            <v>0.1535059779957855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0" sqref="A20"/>
    </sheetView>
  </sheetViews>
  <sheetFormatPr defaultRowHeight="15" x14ac:dyDescent="0.25"/>
  <cols>
    <col min="1" max="1" width="9.85546875" customWidth="1"/>
  </cols>
  <sheetData>
    <row r="1" spans="1:1" x14ac:dyDescent="0.25">
      <c r="A1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2" spans="1:1" x14ac:dyDescent="0.25">
      <c r="A12" t="s">
        <v>115</v>
      </c>
    </row>
    <row r="13" spans="1:1" x14ac:dyDescent="0.25">
      <c r="A13" t="s">
        <v>116</v>
      </c>
    </row>
    <row r="15" spans="1:1" x14ac:dyDescent="0.25">
      <c r="A15" t="s">
        <v>117</v>
      </c>
    </row>
    <row r="16" spans="1:1" x14ac:dyDescent="0.25">
      <c r="A16" t="s">
        <v>118</v>
      </c>
    </row>
    <row r="17" spans="1:1" x14ac:dyDescent="0.25">
      <c r="A17" t="s">
        <v>119</v>
      </c>
    </row>
    <row r="18" spans="1:1" x14ac:dyDescent="0.25">
      <c r="A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showGridLines="0" tabSelected="1" topLeftCell="A10" workbookViewId="0">
      <selection activeCell="I21" sqref="I21"/>
    </sheetView>
  </sheetViews>
  <sheetFormatPr defaultRowHeight="15" x14ac:dyDescent="0.25"/>
  <cols>
    <col min="2" max="2" width="23.7109375" customWidth="1"/>
    <col min="3" max="3" width="13.5703125" customWidth="1"/>
    <col min="4" max="4" width="13.5703125" style="1" customWidth="1"/>
    <col min="6" max="6" width="17.7109375" customWidth="1"/>
    <col min="7" max="7" width="24.140625" customWidth="1"/>
    <col min="8" max="8" width="34.85546875" customWidth="1"/>
    <col min="9" max="9" width="21" customWidth="1"/>
    <col min="10" max="10" width="15.85546875" customWidth="1"/>
    <col min="11" max="11" width="21.85546875" customWidth="1"/>
    <col min="12" max="14" width="29.7109375" customWidth="1"/>
    <col min="15" max="16" width="19" customWidth="1"/>
  </cols>
  <sheetData>
    <row r="1" spans="2:17" x14ac:dyDescent="0.25">
      <c r="G1" t="s">
        <v>124</v>
      </c>
      <c r="H1" s="58" t="s">
        <v>123</v>
      </c>
      <c r="I1" t="s">
        <v>127</v>
      </c>
      <c r="J1" t="s">
        <v>122</v>
      </c>
      <c r="K1" t="s">
        <v>128</v>
      </c>
      <c r="L1" t="s">
        <v>131</v>
      </c>
      <c r="M1" t="s">
        <v>136</v>
      </c>
      <c r="N1" t="s">
        <v>137</v>
      </c>
      <c r="O1" s="60" t="s">
        <v>132</v>
      </c>
      <c r="P1" t="s">
        <v>133</v>
      </c>
    </row>
    <row r="2" spans="2:17" x14ac:dyDescent="0.25">
      <c r="B2" t="s">
        <v>1</v>
      </c>
      <c r="C2" s="1">
        <v>4</v>
      </c>
      <c r="F2" t="s">
        <v>125</v>
      </c>
      <c r="G2" s="61">
        <f>G4*0.7</f>
        <v>3500000</v>
      </c>
      <c r="H2" s="62">
        <f>'[1]JAN Sample Curve'!$L$22</f>
        <v>3.1054398462492148</v>
      </c>
      <c r="I2">
        <v>28</v>
      </c>
      <c r="J2" s="62">
        <f>H2/I2</f>
        <v>0.11090856593747196</v>
      </c>
      <c r="K2" s="63">
        <f>G2/J2</f>
        <v>31557526.42201893</v>
      </c>
      <c r="L2" s="63">
        <f>('[1]JAN Sample Curve'!$H$57/'[1]JAN Sample Curve'!$F$57)*K2</f>
        <v>81719.183747191011</v>
      </c>
      <c r="M2" s="65">
        <f>'[2]JAN Sample Curve'!$I$57/'[2]JAN Sample Curve'!$H$57</f>
        <v>1.4403932794568906</v>
      </c>
      <c r="N2" s="63">
        <f>L2*M2</f>
        <v>117707.7630721567</v>
      </c>
      <c r="O2" s="6">
        <f>'[3] Summary'!$D$25</f>
        <v>1302.2947233248744</v>
      </c>
      <c r="P2" s="4">
        <f>N2*O2</f>
        <v>153290198.74324417</v>
      </c>
      <c r="Q2" s="4"/>
    </row>
    <row r="3" spans="2:17" x14ac:dyDescent="0.25">
      <c r="B3" t="s">
        <v>2</v>
      </c>
      <c r="C3" s="1">
        <f>C2/4</f>
        <v>1</v>
      </c>
      <c r="F3" t="s">
        <v>126</v>
      </c>
      <c r="G3" s="61">
        <f>G4-G2</f>
        <v>1500000</v>
      </c>
      <c r="H3" s="62">
        <f>'[1]JMT Sample Curve'!$L$21/'[1]JMT Sample Curve'!$J$21</f>
        <v>10.417242928892414</v>
      </c>
      <c r="I3">
        <v>14</v>
      </c>
      <c r="J3" s="62">
        <f>H3/I3</f>
        <v>0.74408878063517236</v>
      </c>
      <c r="K3" s="63">
        <f>G3/J3</f>
        <v>2015888.4786833681</v>
      </c>
      <c r="L3" s="63">
        <f>('[1]JMT Sample Curve'!$H$51/'[1]JMT Sample Curve'!$F$51)*K3</f>
        <v>11015.187141443364</v>
      </c>
      <c r="M3" s="65">
        <f>'[2]JMT Sample Curve'!$I$51/'[2]JMT Sample Curve'!$H$51</f>
        <v>1.401282375059629</v>
      </c>
      <c r="N3" s="63">
        <f>L3*M3</f>
        <v>15435.387599288044</v>
      </c>
      <c r="O3" s="6">
        <f>'[3] Summary'!$D$24</f>
        <v>1222.4993693080694</v>
      </c>
      <c r="P3" s="4">
        <f>N3*O3</f>
        <v>18869751.60515523</v>
      </c>
    </row>
    <row r="4" spans="2:17" ht="16.5" customHeight="1" x14ac:dyDescent="0.25">
      <c r="B4" t="s">
        <v>3</v>
      </c>
      <c r="C4" s="1">
        <f>(0.5)^(1/C3)</f>
        <v>0.5</v>
      </c>
      <c r="F4" t="s">
        <v>39</v>
      </c>
      <c r="G4" s="61">
        <v>5000000</v>
      </c>
      <c r="K4" s="63">
        <f>SUM(K2:K3)</f>
        <v>33573414.900702298</v>
      </c>
      <c r="L4" s="63">
        <f>SUM(L2:L3)</f>
        <v>92734.370888634381</v>
      </c>
      <c r="M4" s="63"/>
      <c r="N4" s="63">
        <f>SUM(N2:N3)</f>
        <v>133143.15067144475</v>
      </c>
      <c r="O4" s="60"/>
    </row>
    <row r="5" spans="2:17" ht="16.5" customHeight="1" x14ac:dyDescent="0.25">
      <c r="B5" s="1" t="s">
        <v>5</v>
      </c>
      <c r="C5" s="1">
        <v>0</v>
      </c>
      <c r="K5" s="3"/>
    </row>
    <row r="6" spans="2:17" ht="16.5" customHeight="1" x14ac:dyDescent="0.25">
      <c r="B6" t="s">
        <v>6</v>
      </c>
      <c r="C6" s="6">
        <f>'[3] Summary'!$D$26</f>
        <v>1341.8786437759854</v>
      </c>
      <c r="G6" s="60"/>
      <c r="H6" s="59" t="s">
        <v>107</v>
      </c>
      <c r="K6" s="3"/>
    </row>
    <row r="7" spans="2:17" ht="16.5" customHeight="1" x14ac:dyDescent="0.25">
      <c r="G7" s="49" t="s">
        <v>101</v>
      </c>
      <c r="H7" s="49" t="s">
        <v>139</v>
      </c>
    </row>
    <row r="8" spans="2:17" ht="16.5" customHeight="1" x14ac:dyDescent="0.25">
      <c r="B8" s="1" t="s">
        <v>0</v>
      </c>
      <c r="C8" s="1" t="s">
        <v>4</v>
      </c>
      <c r="G8" s="50">
        <v>2014</v>
      </c>
      <c r="H8" s="52">
        <f>'$5MM Scenario'!R54</f>
        <v>46406383.957380459</v>
      </c>
    </row>
    <row r="9" spans="2:17" x14ac:dyDescent="0.25">
      <c r="B9" s="1">
        <v>0</v>
      </c>
      <c r="C9" s="2">
        <f>$C$4^B9</f>
        <v>1</v>
      </c>
      <c r="D9" s="1" t="s">
        <v>104</v>
      </c>
      <c r="G9" s="50">
        <v>2015</v>
      </c>
      <c r="H9" s="52">
        <f>'$5MM Scenario'!R55</f>
        <v>63686129.332658373</v>
      </c>
      <c r="L9" s="63"/>
      <c r="M9" s="63"/>
      <c r="N9" s="63"/>
    </row>
    <row r="10" spans="2:17" x14ac:dyDescent="0.25">
      <c r="B10" s="1">
        <v>1</v>
      </c>
      <c r="C10" s="2">
        <f t="shared" ref="C10:C57" si="0">$C$4^B10</f>
        <v>0.5</v>
      </c>
      <c r="D10" s="2">
        <f>C9-C10</f>
        <v>0.5</v>
      </c>
      <c r="G10" s="50">
        <v>2016</v>
      </c>
      <c r="H10" s="52">
        <f>'$5MM Scenario'!R56</f>
        <v>47959015.91776482</v>
      </c>
    </row>
    <row r="11" spans="2:17" x14ac:dyDescent="0.25">
      <c r="B11" s="1">
        <v>2</v>
      </c>
      <c r="C11" s="2">
        <f t="shared" si="0"/>
        <v>0.25</v>
      </c>
      <c r="D11" s="2">
        <f t="shared" ref="D11:D57" si="1">C10-C11</f>
        <v>0.25</v>
      </c>
      <c r="G11" s="50" t="s">
        <v>106</v>
      </c>
      <c r="H11" s="52">
        <f>'$5MM Scenario'!R57</f>
        <v>20610421.242822971</v>
      </c>
    </row>
    <row r="12" spans="2:17" x14ac:dyDescent="0.25">
      <c r="B12" s="1">
        <v>3</v>
      </c>
      <c r="C12" s="2">
        <f t="shared" si="0"/>
        <v>0.125</v>
      </c>
      <c r="D12" s="2">
        <f t="shared" si="1"/>
        <v>0.125</v>
      </c>
      <c r="G12" s="51" t="s">
        <v>103</v>
      </c>
      <c r="H12" s="53">
        <f>SUM(H8:H11)</f>
        <v>178661950.45062661</v>
      </c>
    </row>
    <row r="13" spans="2:17" x14ac:dyDescent="0.25">
      <c r="B13" s="1">
        <v>4</v>
      </c>
      <c r="C13" s="2">
        <f t="shared" si="0"/>
        <v>6.25E-2</v>
      </c>
      <c r="D13" s="2">
        <f t="shared" si="1"/>
        <v>6.25E-2</v>
      </c>
    </row>
    <row r="14" spans="2:17" x14ac:dyDescent="0.25">
      <c r="B14" s="1">
        <v>5</v>
      </c>
      <c r="C14" s="2">
        <f t="shared" si="0"/>
        <v>3.125E-2</v>
      </c>
      <c r="D14" s="2">
        <f t="shared" si="1"/>
        <v>3.125E-2</v>
      </c>
      <c r="G14" t="s">
        <v>134</v>
      </c>
    </row>
    <row r="15" spans="2:17" x14ac:dyDescent="0.25">
      <c r="B15" s="1">
        <v>6</v>
      </c>
      <c r="C15" s="2">
        <f t="shared" si="0"/>
        <v>1.5625E-2</v>
      </c>
      <c r="D15" s="2">
        <f t="shared" si="1"/>
        <v>1.5625E-2</v>
      </c>
      <c r="G15" s="64">
        <v>2014</v>
      </c>
      <c r="H15" s="64">
        <v>2.8462694130769273</v>
      </c>
    </row>
    <row r="16" spans="2:17" x14ac:dyDescent="0.25">
      <c r="B16" s="1">
        <v>7</v>
      </c>
      <c r="C16" s="2">
        <f t="shared" si="0"/>
        <v>7.8125E-3</v>
      </c>
      <c r="D16" s="2">
        <f t="shared" si="1"/>
        <v>7.8125E-3</v>
      </c>
      <c r="G16" s="64">
        <v>2015</v>
      </c>
      <c r="H16" s="64">
        <v>2.7599092849870228</v>
      </c>
    </row>
    <row r="17" spans="2:8" x14ac:dyDescent="0.25">
      <c r="B17" s="1">
        <v>8</v>
      </c>
      <c r="C17" s="2">
        <f t="shared" si="0"/>
        <v>3.90625E-3</v>
      </c>
      <c r="D17" s="2">
        <f t="shared" si="1"/>
        <v>3.90625E-3</v>
      </c>
      <c r="G17" s="64">
        <v>2016</v>
      </c>
      <c r="H17" s="64">
        <v>2.6097327281023004</v>
      </c>
    </row>
    <row r="18" spans="2:8" x14ac:dyDescent="0.25">
      <c r="B18" s="1">
        <v>9</v>
      </c>
      <c r="C18" s="2">
        <f t="shared" si="0"/>
        <v>1.953125E-3</v>
      </c>
      <c r="D18" s="2">
        <f t="shared" si="1"/>
        <v>1.953125E-3</v>
      </c>
      <c r="G18" s="64" t="s">
        <v>106</v>
      </c>
      <c r="H18" s="64">
        <f>H17</f>
        <v>2.6097327281023004</v>
      </c>
    </row>
    <row r="19" spans="2:8" x14ac:dyDescent="0.25">
      <c r="B19" s="1">
        <v>10</v>
      </c>
      <c r="C19" s="2">
        <f t="shared" si="0"/>
        <v>9.765625E-4</v>
      </c>
      <c r="D19" s="2">
        <f t="shared" si="1"/>
        <v>9.765625E-4</v>
      </c>
    </row>
    <row r="20" spans="2:8" x14ac:dyDescent="0.25">
      <c r="B20" s="1">
        <v>11</v>
      </c>
      <c r="C20" s="2">
        <f t="shared" si="0"/>
        <v>4.8828125E-4</v>
      </c>
      <c r="D20" s="2">
        <f t="shared" si="1"/>
        <v>4.8828125E-4</v>
      </c>
      <c r="G20" s="72"/>
      <c r="H20" s="73" t="s">
        <v>135</v>
      </c>
    </row>
    <row r="21" spans="2:8" ht="18.75" customHeight="1" x14ac:dyDescent="0.25">
      <c r="B21" s="1">
        <v>12</v>
      </c>
      <c r="C21" s="2">
        <f t="shared" si="0"/>
        <v>2.44140625E-4</v>
      </c>
      <c r="D21" s="2">
        <f t="shared" si="1"/>
        <v>2.44140625E-4</v>
      </c>
      <c r="G21" s="74" t="s">
        <v>101</v>
      </c>
      <c r="H21" s="74" t="s">
        <v>139</v>
      </c>
    </row>
    <row r="22" spans="2:8" ht="18" customHeight="1" x14ac:dyDescent="0.25">
      <c r="B22" s="1">
        <v>13</v>
      </c>
      <c r="C22" s="2">
        <f t="shared" si="0"/>
        <v>1.220703125E-4</v>
      </c>
      <c r="D22" s="2">
        <f t="shared" si="1"/>
        <v>1.220703125E-4</v>
      </c>
      <c r="G22" s="75">
        <v>2014</v>
      </c>
      <c r="H22" s="76">
        <f>H8*H15</f>
        <v>132085071.22939581</v>
      </c>
    </row>
    <row r="23" spans="2:8" ht="18" customHeight="1" x14ac:dyDescent="0.25">
      <c r="B23" s="1">
        <v>14</v>
      </c>
      <c r="C23" s="2">
        <f t="shared" si="0"/>
        <v>6.103515625E-5</v>
      </c>
      <c r="D23" s="2">
        <f t="shared" si="1"/>
        <v>6.103515625E-5</v>
      </c>
      <c r="G23" s="75">
        <v>2015</v>
      </c>
      <c r="H23" s="76">
        <f t="shared" ref="H23:H25" si="2">H9*H16</f>
        <v>175767939.67008823</v>
      </c>
    </row>
    <row r="24" spans="2:8" ht="18" customHeight="1" x14ac:dyDescent="0.25">
      <c r="B24" s="1">
        <v>15</v>
      </c>
      <c r="C24" s="2">
        <f t="shared" si="0"/>
        <v>3.0517578125E-5</v>
      </c>
      <c r="D24" s="2">
        <f t="shared" si="1"/>
        <v>3.0517578125E-5</v>
      </c>
      <c r="G24" s="75">
        <v>2016</v>
      </c>
      <c r="H24" s="76">
        <f t="shared" si="2"/>
        <v>125160213.44817004</v>
      </c>
    </row>
    <row r="25" spans="2:8" ht="18" customHeight="1" x14ac:dyDescent="0.25">
      <c r="B25" s="1">
        <v>16</v>
      </c>
      <c r="C25" s="2">
        <f t="shared" si="0"/>
        <v>1.52587890625E-5</v>
      </c>
      <c r="D25" s="2">
        <f t="shared" si="1"/>
        <v>1.52587890625E-5</v>
      </c>
      <c r="G25" s="75" t="s">
        <v>106</v>
      </c>
      <c r="H25" s="76">
        <f t="shared" si="2"/>
        <v>53787690.857369997</v>
      </c>
    </row>
    <row r="26" spans="2:8" ht="18" customHeight="1" x14ac:dyDescent="0.25">
      <c r="B26" s="1">
        <v>17</v>
      </c>
      <c r="C26" s="2">
        <f t="shared" si="0"/>
        <v>7.62939453125E-6</v>
      </c>
      <c r="D26" s="2">
        <f t="shared" si="1"/>
        <v>7.62939453125E-6</v>
      </c>
      <c r="G26" s="77" t="s">
        <v>103</v>
      </c>
      <c r="H26" s="78">
        <f>SUM(H22:H25)</f>
        <v>486800915.20502412</v>
      </c>
    </row>
    <row r="27" spans="2:8" x14ac:dyDescent="0.25">
      <c r="B27" s="1">
        <v>18</v>
      </c>
      <c r="C27" s="2">
        <f t="shared" si="0"/>
        <v>3.814697265625E-6</v>
      </c>
      <c r="D27" s="2">
        <f t="shared" si="1"/>
        <v>3.814697265625E-6</v>
      </c>
    </row>
    <row r="28" spans="2:8" x14ac:dyDescent="0.25">
      <c r="B28" s="1">
        <v>19</v>
      </c>
      <c r="C28" s="2">
        <f t="shared" si="0"/>
        <v>1.9073486328125E-6</v>
      </c>
      <c r="D28" s="2">
        <f t="shared" si="1"/>
        <v>1.9073486328125E-6</v>
      </c>
      <c r="G28" t="s">
        <v>138</v>
      </c>
      <c r="H28" s="70">
        <f>31.8/100</f>
        <v>0.318</v>
      </c>
    </row>
    <row r="29" spans="2:8" x14ac:dyDescent="0.25">
      <c r="B29" s="1">
        <v>20</v>
      </c>
      <c r="C29" s="2">
        <f t="shared" si="0"/>
        <v>9.5367431640625E-7</v>
      </c>
      <c r="D29" s="2">
        <f t="shared" si="1"/>
        <v>9.5367431640625E-7</v>
      </c>
    </row>
    <row r="30" spans="2:8" ht="17.25" customHeight="1" x14ac:dyDescent="0.25">
      <c r="B30" s="1">
        <v>21</v>
      </c>
      <c r="C30" s="2">
        <f t="shared" si="0"/>
        <v>4.76837158203125E-7</v>
      </c>
      <c r="D30" s="2">
        <f t="shared" si="1"/>
        <v>4.76837158203125E-7</v>
      </c>
      <c r="G30" s="72"/>
      <c r="H30" s="73" t="s">
        <v>140</v>
      </c>
    </row>
    <row r="31" spans="2:8" ht="17.25" customHeight="1" x14ac:dyDescent="0.25">
      <c r="B31" s="1">
        <v>22</v>
      </c>
      <c r="C31" s="2">
        <f t="shared" si="0"/>
        <v>2.384185791015625E-7</v>
      </c>
      <c r="D31" s="2">
        <f t="shared" si="1"/>
        <v>2.384185791015625E-7</v>
      </c>
      <c r="G31" s="71" t="s">
        <v>101</v>
      </c>
      <c r="H31" s="74" t="str">
        <f>H21</f>
        <v>Incremental Sample Scenario ($5MM)</v>
      </c>
    </row>
    <row r="32" spans="2:8" ht="17.25" customHeight="1" x14ac:dyDescent="0.25">
      <c r="B32" s="1">
        <v>23</v>
      </c>
      <c r="C32" s="2">
        <f t="shared" si="0"/>
        <v>1.1920928955078125E-7</v>
      </c>
      <c r="D32" s="2">
        <f t="shared" si="1"/>
        <v>1.1920928955078125E-7</v>
      </c>
      <c r="G32" s="75">
        <v>2014</v>
      </c>
      <c r="H32" s="76">
        <f>H22*(1-$H$28)</f>
        <v>90082018.578447938</v>
      </c>
    </row>
    <row r="33" spans="2:8" ht="17.25" customHeight="1" x14ac:dyDescent="0.25">
      <c r="B33" s="1">
        <v>24</v>
      </c>
      <c r="C33" s="2">
        <f t="shared" si="0"/>
        <v>5.9604644775390625E-8</v>
      </c>
      <c r="D33" s="2">
        <f t="shared" si="1"/>
        <v>5.9604644775390625E-8</v>
      </c>
      <c r="G33" s="75">
        <v>2015</v>
      </c>
      <c r="H33" s="76">
        <f t="shared" ref="H33:H35" si="3">H23*(1-$H$28)</f>
        <v>119873734.85500017</v>
      </c>
    </row>
    <row r="34" spans="2:8" ht="17.25" customHeight="1" x14ac:dyDescent="0.25">
      <c r="B34" s="1">
        <v>25</v>
      </c>
      <c r="C34" s="2">
        <f t="shared" si="0"/>
        <v>2.9802322387695313E-8</v>
      </c>
      <c r="D34" s="2">
        <f t="shared" si="1"/>
        <v>2.9802322387695313E-8</v>
      </c>
      <c r="G34" s="75">
        <v>2016</v>
      </c>
      <c r="H34" s="76">
        <f t="shared" si="3"/>
        <v>85359265.57165195</v>
      </c>
    </row>
    <row r="35" spans="2:8" ht="17.25" customHeight="1" x14ac:dyDescent="0.25">
      <c r="B35" s="1">
        <v>26</v>
      </c>
      <c r="C35" s="2">
        <f t="shared" si="0"/>
        <v>1.4901161193847656E-8</v>
      </c>
      <c r="D35" s="2">
        <f t="shared" si="1"/>
        <v>1.4901161193847656E-8</v>
      </c>
      <c r="G35" s="75" t="s">
        <v>106</v>
      </c>
      <c r="H35" s="76">
        <f t="shared" si="3"/>
        <v>36683205.164726332</v>
      </c>
    </row>
    <row r="36" spans="2:8" ht="17.25" customHeight="1" x14ac:dyDescent="0.25">
      <c r="B36" s="1">
        <v>27</v>
      </c>
      <c r="C36" s="2">
        <f t="shared" si="0"/>
        <v>7.4505805969238281E-9</v>
      </c>
      <c r="D36" s="2">
        <f t="shared" si="1"/>
        <v>7.4505805969238281E-9</v>
      </c>
      <c r="G36" s="77" t="s">
        <v>103</v>
      </c>
      <c r="H36" s="78">
        <f>SUM(H32:H35)</f>
        <v>331998224.16982639</v>
      </c>
    </row>
    <row r="37" spans="2:8" x14ac:dyDescent="0.25">
      <c r="B37" s="1">
        <v>28</v>
      </c>
      <c r="C37" s="2">
        <f t="shared" si="0"/>
        <v>3.7252902984619141E-9</v>
      </c>
      <c r="D37" s="2">
        <f t="shared" si="1"/>
        <v>3.7252902984619141E-9</v>
      </c>
    </row>
    <row r="38" spans="2:8" x14ac:dyDescent="0.25">
      <c r="B38" s="1">
        <v>29</v>
      </c>
      <c r="C38" s="2">
        <f t="shared" si="0"/>
        <v>1.862645149230957E-9</v>
      </c>
      <c r="D38" s="2">
        <f t="shared" si="1"/>
        <v>1.862645149230957E-9</v>
      </c>
    </row>
    <row r="39" spans="2:8" x14ac:dyDescent="0.25">
      <c r="B39" s="1">
        <v>30</v>
      </c>
      <c r="C39" s="2">
        <f t="shared" si="0"/>
        <v>9.3132257461547852E-10</v>
      </c>
      <c r="D39" s="2">
        <f t="shared" si="1"/>
        <v>9.3132257461547852E-10</v>
      </c>
    </row>
    <row r="40" spans="2:8" x14ac:dyDescent="0.25">
      <c r="B40" s="1">
        <v>31</v>
      </c>
      <c r="C40" s="2">
        <f t="shared" si="0"/>
        <v>4.6566128730773926E-10</v>
      </c>
      <c r="D40" s="2">
        <f t="shared" si="1"/>
        <v>4.6566128730773926E-10</v>
      </c>
    </row>
    <row r="41" spans="2:8" x14ac:dyDescent="0.25">
      <c r="B41" s="1">
        <v>32</v>
      </c>
      <c r="C41" s="2">
        <f t="shared" si="0"/>
        <v>2.3283064365386963E-10</v>
      </c>
      <c r="D41" s="2">
        <f t="shared" si="1"/>
        <v>2.3283064365386963E-10</v>
      </c>
    </row>
    <row r="42" spans="2:8" x14ac:dyDescent="0.25">
      <c r="B42" s="1">
        <v>33</v>
      </c>
      <c r="C42" s="2">
        <f t="shared" si="0"/>
        <v>1.1641532182693481E-10</v>
      </c>
      <c r="D42" s="2">
        <f t="shared" si="1"/>
        <v>1.1641532182693481E-10</v>
      </c>
    </row>
    <row r="43" spans="2:8" x14ac:dyDescent="0.25">
      <c r="B43" s="1">
        <v>34</v>
      </c>
      <c r="C43" s="2">
        <f t="shared" si="0"/>
        <v>5.8207660913467407E-11</v>
      </c>
      <c r="D43" s="2">
        <f t="shared" si="1"/>
        <v>5.8207660913467407E-11</v>
      </c>
    </row>
    <row r="44" spans="2:8" x14ac:dyDescent="0.25">
      <c r="B44" s="1">
        <v>35</v>
      </c>
      <c r="C44" s="2">
        <f t="shared" si="0"/>
        <v>2.9103830456733704E-11</v>
      </c>
      <c r="D44" s="2">
        <f t="shared" si="1"/>
        <v>2.9103830456733704E-11</v>
      </c>
    </row>
    <row r="45" spans="2:8" x14ac:dyDescent="0.25">
      <c r="B45" s="1">
        <v>36</v>
      </c>
      <c r="C45" s="2">
        <f t="shared" si="0"/>
        <v>1.4551915228366852E-11</v>
      </c>
      <c r="D45" s="2">
        <f t="shared" si="1"/>
        <v>1.4551915228366852E-11</v>
      </c>
    </row>
    <row r="46" spans="2:8" x14ac:dyDescent="0.25">
      <c r="B46" s="1">
        <v>37</v>
      </c>
      <c r="C46" s="2">
        <f t="shared" si="0"/>
        <v>7.2759576141834259E-12</v>
      </c>
      <c r="D46" s="2">
        <f t="shared" si="1"/>
        <v>7.2759576141834259E-12</v>
      </c>
    </row>
    <row r="47" spans="2:8" x14ac:dyDescent="0.25">
      <c r="B47" s="1">
        <v>38</v>
      </c>
      <c r="C47" s="2">
        <f t="shared" si="0"/>
        <v>3.637978807091713E-12</v>
      </c>
      <c r="D47" s="2">
        <f t="shared" si="1"/>
        <v>3.637978807091713E-12</v>
      </c>
    </row>
    <row r="48" spans="2:8" x14ac:dyDescent="0.25">
      <c r="B48" s="1">
        <v>39</v>
      </c>
      <c r="C48" s="2">
        <f t="shared" si="0"/>
        <v>1.8189894035458565E-12</v>
      </c>
      <c r="D48" s="2">
        <f t="shared" si="1"/>
        <v>1.8189894035458565E-12</v>
      </c>
    </row>
    <row r="49" spans="2:4" x14ac:dyDescent="0.25">
      <c r="B49" s="1">
        <v>40</v>
      </c>
      <c r="C49" s="2">
        <f t="shared" si="0"/>
        <v>9.0949470177292824E-13</v>
      </c>
      <c r="D49" s="2">
        <f t="shared" si="1"/>
        <v>9.0949470177292824E-13</v>
      </c>
    </row>
    <row r="50" spans="2:4" x14ac:dyDescent="0.25">
      <c r="B50" s="1">
        <v>41</v>
      </c>
      <c r="C50" s="2">
        <f t="shared" si="0"/>
        <v>4.5474735088646412E-13</v>
      </c>
      <c r="D50" s="2">
        <f t="shared" si="1"/>
        <v>4.5474735088646412E-13</v>
      </c>
    </row>
    <row r="51" spans="2:4" x14ac:dyDescent="0.25">
      <c r="B51" s="1">
        <v>42</v>
      </c>
      <c r="C51" s="2">
        <f t="shared" si="0"/>
        <v>2.2737367544323206E-13</v>
      </c>
      <c r="D51" s="2">
        <f t="shared" si="1"/>
        <v>2.2737367544323206E-13</v>
      </c>
    </row>
    <row r="52" spans="2:4" x14ac:dyDescent="0.25">
      <c r="B52" s="1">
        <v>43</v>
      </c>
      <c r="C52" s="2">
        <f t="shared" si="0"/>
        <v>1.1368683772161603E-13</v>
      </c>
      <c r="D52" s="2">
        <f t="shared" si="1"/>
        <v>1.1368683772161603E-13</v>
      </c>
    </row>
    <row r="53" spans="2:4" x14ac:dyDescent="0.25">
      <c r="B53" s="1">
        <v>44</v>
      </c>
      <c r="C53" s="2">
        <f t="shared" si="0"/>
        <v>5.6843418860808015E-14</v>
      </c>
      <c r="D53" s="2">
        <f t="shared" si="1"/>
        <v>5.6843418860808015E-14</v>
      </c>
    </row>
    <row r="54" spans="2:4" x14ac:dyDescent="0.25">
      <c r="B54" s="1">
        <v>45</v>
      </c>
      <c r="C54" s="2">
        <f t="shared" si="0"/>
        <v>2.8421709430404007E-14</v>
      </c>
      <c r="D54" s="2">
        <f t="shared" si="1"/>
        <v>2.8421709430404007E-14</v>
      </c>
    </row>
    <row r="55" spans="2:4" x14ac:dyDescent="0.25">
      <c r="B55" s="1">
        <v>46</v>
      </c>
      <c r="C55" s="2">
        <f t="shared" si="0"/>
        <v>1.4210854715202004E-14</v>
      </c>
      <c r="D55" s="2">
        <f t="shared" si="1"/>
        <v>1.4210854715202004E-14</v>
      </c>
    </row>
    <row r="56" spans="2:4" x14ac:dyDescent="0.25">
      <c r="B56" s="1">
        <v>47</v>
      </c>
      <c r="C56" s="2">
        <f t="shared" si="0"/>
        <v>7.1054273576010019E-15</v>
      </c>
      <c r="D56" s="2">
        <f t="shared" si="1"/>
        <v>7.1054273576010019E-15</v>
      </c>
    </row>
    <row r="57" spans="2:4" x14ac:dyDescent="0.25">
      <c r="B57" s="1">
        <v>48</v>
      </c>
      <c r="C57" s="2">
        <f t="shared" si="0"/>
        <v>3.5527136788005009E-15</v>
      </c>
      <c r="D57" s="2">
        <f t="shared" si="1"/>
        <v>3.5527136788005009E-15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workbookViewId="0">
      <selection activeCell="BD58" sqref="BD58"/>
    </sheetView>
  </sheetViews>
  <sheetFormatPr defaultRowHeight="15" x14ac:dyDescent="0.25"/>
  <cols>
    <col min="1" max="1" width="7.5703125" customWidth="1"/>
    <col min="2" max="49" width="3.42578125" customWidth="1"/>
    <col min="50" max="50" width="10.140625" customWidth="1"/>
    <col min="51" max="51" width="10.85546875" customWidth="1"/>
    <col min="52" max="53" width="10.7109375" customWidth="1"/>
  </cols>
  <sheetData>
    <row r="1" spans="1:57" x14ac:dyDescent="0.25">
      <c r="B1" s="66" t="s">
        <v>21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 t="s">
        <v>22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 t="s">
        <v>23</v>
      </c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7" x14ac:dyDescent="0.25">
      <c r="A2" t="s">
        <v>8</v>
      </c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G2" s="9">
        <v>31</v>
      </c>
      <c r="AH2" s="9">
        <v>32</v>
      </c>
      <c r="AI2" s="9">
        <v>33</v>
      </c>
      <c r="AJ2" s="9">
        <v>34</v>
      </c>
      <c r="AK2" s="9">
        <v>35</v>
      </c>
      <c r="AL2" s="9">
        <v>36</v>
      </c>
      <c r="AM2" s="9">
        <v>37</v>
      </c>
      <c r="AN2" s="9">
        <v>38</v>
      </c>
      <c r="AO2" s="9">
        <v>39</v>
      </c>
      <c r="AP2" s="9">
        <v>40</v>
      </c>
      <c r="AQ2" s="9">
        <v>41</v>
      </c>
      <c r="AR2" s="9">
        <v>42</v>
      </c>
      <c r="AS2" s="9">
        <v>43</v>
      </c>
      <c r="AT2" s="9">
        <v>44</v>
      </c>
      <c r="AU2" s="9">
        <v>45</v>
      </c>
      <c r="AV2" s="9">
        <v>46</v>
      </c>
      <c r="AW2" s="9">
        <v>47</v>
      </c>
      <c r="AX2" s="8" t="s">
        <v>24</v>
      </c>
      <c r="AY2" s="8" t="s">
        <v>25</v>
      </c>
      <c r="AZ2" s="8" t="s">
        <v>26</v>
      </c>
      <c r="BA2" s="8" t="s">
        <v>87</v>
      </c>
      <c r="BB2" s="32" t="s">
        <v>84</v>
      </c>
      <c r="BC2" s="32" t="s">
        <v>85</v>
      </c>
      <c r="BD2" s="32" t="s">
        <v>86</v>
      </c>
      <c r="BE2" s="32" t="s">
        <v>88</v>
      </c>
    </row>
    <row r="3" spans="1:57" x14ac:dyDescent="0.25">
      <c r="A3" t="s">
        <v>9</v>
      </c>
      <c r="B3" s="28">
        <f>'[4]Adjusted Curves'!C31</f>
        <v>1</v>
      </c>
      <c r="C3" s="28">
        <f>'[4]Adjusted Curves'!D31</f>
        <v>0.90610552129666766</v>
      </c>
      <c r="D3" s="28">
        <f>'[4]Adjusted Curves'!E31</f>
        <v>0.66474626792906999</v>
      </c>
      <c r="E3" s="28">
        <f>'[4]Adjusted Curves'!F31</f>
        <v>0.64124164902099534</v>
      </c>
      <c r="F3" s="28">
        <f>'[4]Adjusted Curves'!G31</f>
        <v>0.54117698347402432</v>
      </c>
      <c r="G3" s="28">
        <f>'[4]Adjusted Curves'!H31</f>
        <v>0.51025933185167127</v>
      </c>
      <c r="H3" s="28">
        <f>'[4]Adjusted Curves'!I31</f>
        <v>0.48547932267442784</v>
      </c>
      <c r="I3" s="28">
        <f>'[4]Adjusted Curves'!J31</f>
        <v>0.48005362409561342</v>
      </c>
      <c r="J3" s="28">
        <f>'[4]Adjusted Curves'!K31</f>
        <v>0.45523186819788147</v>
      </c>
      <c r="K3" s="28">
        <f>'[4]Adjusted Curves'!L31</f>
        <v>0.43928313237780964</v>
      </c>
      <c r="L3" s="28">
        <f>'[4]Adjusted Curves'!M31</f>
        <v>0.42066745282380119</v>
      </c>
      <c r="M3" s="28">
        <f>'[4]Adjusted Curves'!N31</f>
        <v>0.39950949995149343</v>
      </c>
      <c r="N3" s="29">
        <f>'[4]Adjusted Curves'!O31</f>
        <v>0.39093144977203637</v>
      </c>
      <c r="O3" s="29">
        <f>'[4]Adjusted Curves'!P31</f>
        <v>0.38291069585435045</v>
      </c>
      <c r="P3" s="29">
        <f>'[4]Adjusted Curves'!Q31</f>
        <v>0.38076321767921684</v>
      </c>
      <c r="Q3" s="29">
        <f>'[4]Adjusted Curves'!R31</f>
        <v>0.37171614851418178</v>
      </c>
      <c r="R3" s="29">
        <f>'[4]Adjusted Curves'!S31</f>
        <v>0.37270488492172443</v>
      </c>
      <c r="S3" s="29">
        <f>'[4]Adjusted Curves'!T31</f>
        <v>0.36774932743560501</v>
      </c>
      <c r="T3" s="29">
        <f>'[4]Adjusted Curves'!U31</f>
        <v>0.35839558256737353</v>
      </c>
      <c r="U3" s="29">
        <f>'[4]Adjusted Curves'!V31</f>
        <v>0.35426123129529563</v>
      </c>
      <c r="V3" s="29">
        <f>'[4]Adjusted Curves'!W31</f>
        <v>0.34211474253910101</v>
      </c>
      <c r="W3" s="29">
        <f>'[4]Adjusted Curves'!X31</f>
        <v>0.34238762623392033</v>
      </c>
      <c r="X3" s="29">
        <f>'[4]Adjusted Curves'!Y31</f>
        <v>0.33485906539725552</v>
      </c>
      <c r="Y3" s="29">
        <f>'[4]Adjusted Curves'!Z31</f>
        <v>0.32131583307677547</v>
      </c>
      <c r="Z3" s="30">
        <f>'[4]Adjusted Curves'!AA31</f>
        <v>0.32349067713152857</v>
      </c>
      <c r="AA3" s="30">
        <f>'[4]Adjusted Curves'!AB31</f>
        <v>0.30974679620133722</v>
      </c>
      <c r="AB3" s="30">
        <f>'[4]Adjusted Curves'!AC31</f>
        <v>0.30422886021404322</v>
      </c>
      <c r="AC3" s="30">
        <f>'[4]Adjusted Curves'!AD31</f>
        <v>0.30178926030046821</v>
      </c>
      <c r="AD3" s="30">
        <f>'[4]Adjusted Curves'!AE31</f>
        <v>0.29355912461272771</v>
      </c>
      <c r="AE3" s="30">
        <f>'[4]Adjusted Curves'!AF31</f>
        <v>0.29311976616354662</v>
      </c>
      <c r="AF3" s="30">
        <f>'[4]Adjusted Curves'!AG31</f>
        <v>0.28546484462963512</v>
      </c>
      <c r="AG3" s="30">
        <f>'[4]Adjusted Curves'!AH31</f>
        <v>0.28257423318515756</v>
      </c>
      <c r="AH3" s="30">
        <f>'[4]Adjusted Curves'!AI31</f>
        <v>0.27769204186745183</v>
      </c>
      <c r="AI3" s="30">
        <f>'[4]Adjusted Curves'!AJ31</f>
        <v>0.26899216431934214</v>
      </c>
      <c r="AJ3" s="30">
        <f>'[4]Adjusted Curves'!AK31</f>
        <v>0.22542894965502608</v>
      </c>
      <c r="AK3" s="30">
        <f>'[4]Adjusted Curves'!AL31</f>
        <v>0.1535059779957855</v>
      </c>
      <c r="AL3" s="36">
        <v>0</v>
      </c>
      <c r="AM3" s="36">
        <v>0</v>
      </c>
      <c r="AN3" s="36">
        <v>0</v>
      </c>
      <c r="AO3" s="36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  <c r="AU3" s="36">
        <v>0</v>
      </c>
      <c r="AV3" s="36">
        <v>0</v>
      </c>
      <c r="AW3" s="36">
        <v>0</v>
      </c>
      <c r="AX3" s="31">
        <f t="shared" ref="AX3:AX14" si="0">SUM(B3:M3)</f>
        <v>6.943754653693456</v>
      </c>
      <c r="AY3" s="31">
        <f t="shared" ref="AY3:AY14" si="1">SUM(N3:Y3)</f>
        <v>4.3201098052868367</v>
      </c>
      <c r="AZ3" s="31">
        <f t="shared" ref="AZ3:AZ14" si="2">SUM(Z3:AK3)</f>
        <v>3.3195926962760502</v>
      </c>
      <c r="BA3" s="31">
        <f>SUM(AL3:AW3)</f>
        <v>0</v>
      </c>
      <c r="BB3" s="33">
        <f>AX3/SUM($AX3:$BA3)</f>
        <v>0.47613913352436499</v>
      </c>
      <c r="BC3" s="33">
        <f>AY3/SUM($AX3:$BA3)</f>
        <v>0.29623358571940062</v>
      </c>
      <c r="BD3" s="33">
        <f>AZ3/SUM($AX3:$BA3)</f>
        <v>0.22762728075623434</v>
      </c>
      <c r="BE3" s="33">
        <f>BA3/SUM($AX3:$BA3)</f>
        <v>0</v>
      </c>
    </row>
    <row r="4" spans="1:57" x14ac:dyDescent="0.25">
      <c r="A4" t="s">
        <v>10</v>
      </c>
      <c r="B4" s="28"/>
      <c r="C4" s="28">
        <f>B3</f>
        <v>1</v>
      </c>
      <c r="D4" s="28">
        <f t="shared" ref="D4:AK12" si="3">C3</f>
        <v>0.90610552129666766</v>
      </c>
      <c r="E4" s="28">
        <f t="shared" si="3"/>
        <v>0.66474626792906999</v>
      </c>
      <c r="F4" s="28">
        <f t="shared" si="3"/>
        <v>0.64124164902099534</v>
      </c>
      <c r="G4" s="28">
        <f t="shared" si="3"/>
        <v>0.54117698347402432</v>
      </c>
      <c r="H4" s="28">
        <f t="shared" si="3"/>
        <v>0.51025933185167127</v>
      </c>
      <c r="I4" s="28">
        <f t="shared" si="3"/>
        <v>0.48547932267442784</v>
      </c>
      <c r="J4" s="28">
        <f t="shared" si="3"/>
        <v>0.48005362409561342</v>
      </c>
      <c r="K4" s="28">
        <f t="shared" si="3"/>
        <v>0.45523186819788147</v>
      </c>
      <c r="L4" s="28">
        <f t="shared" si="3"/>
        <v>0.43928313237780964</v>
      </c>
      <c r="M4" s="28">
        <f t="shared" si="3"/>
        <v>0.42066745282380119</v>
      </c>
      <c r="N4" s="29">
        <f t="shared" si="3"/>
        <v>0.39950949995149343</v>
      </c>
      <c r="O4" s="29">
        <f t="shared" si="3"/>
        <v>0.39093144977203637</v>
      </c>
      <c r="P4" s="29">
        <f t="shared" si="3"/>
        <v>0.38291069585435045</v>
      </c>
      <c r="Q4" s="29">
        <f t="shared" si="3"/>
        <v>0.38076321767921684</v>
      </c>
      <c r="R4" s="29">
        <f t="shared" si="3"/>
        <v>0.37171614851418178</v>
      </c>
      <c r="S4" s="29">
        <f t="shared" si="3"/>
        <v>0.37270488492172443</v>
      </c>
      <c r="T4" s="29">
        <f t="shared" si="3"/>
        <v>0.36774932743560501</v>
      </c>
      <c r="U4" s="29">
        <f t="shared" si="3"/>
        <v>0.35839558256737353</v>
      </c>
      <c r="V4" s="29">
        <f t="shared" si="3"/>
        <v>0.35426123129529563</v>
      </c>
      <c r="W4" s="29">
        <f t="shared" si="3"/>
        <v>0.34211474253910101</v>
      </c>
      <c r="X4" s="29">
        <f t="shared" si="3"/>
        <v>0.34238762623392033</v>
      </c>
      <c r="Y4" s="29">
        <f t="shared" si="3"/>
        <v>0.33485906539725552</v>
      </c>
      <c r="Z4" s="30">
        <f t="shared" si="3"/>
        <v>0.32131583307677547</v>
      </c>
      <c r="AA4" s="30">
        <f t="shared" si="3"/>
        <v>0.32349067713152857</v>
      </c>
      <c r="AB4" s="30">
        <f t="shared" si="3"/>
        <v>0.30974679620133722</v>
      </c>
      <c r="AC4" s="30">
        <f t="shared" si="3"/>
        <v>0.30422886021404322</v>
      </c>
      <c r="AD4" s="30">
        <f t="shared" si="3"/>
        <v>0.30178926030046821</v>
      </c>
      <c r="AE4" s="30">
        <f t="shared" si="3"/>
        <v>0.29355912461272771</v>
      </c>
      <c r="AF4" s="30">
        <f t="shared" si="3"/>
        <v>0.29311976616354662</v>
      </c>
      <c r="AG4" s="30">
        <f t="shared" si="3"/>
        <v>0.28546484462963512</v>
      </c>
      <c r="AH4" s="30">
        <f t="shared" si="3"/>
        <v>0.28257423318515756</v>
      </c>
      <c r="AI4" s="30">
        <f t="shared" si="3"/>
        <v>0.27769204186745183</v>
      </c>
      <c r="AJ4" s="30">
        <f t="shared" si="3"/>
        <v>0.26899216431934214</v>
      </c>
      <c r="AK4" s="30">
        <f t="shared" si="3"/>
        <v>0.22542894965502608</v>
      </c>
      <c r="AL4" s="36">
        <f t="shared" ref="AL4:AW14" si="4">AK3</f>
        <v>0.1535059779957855</v>
      </c>
      <c r="AM4" s="36">
        <f t="shared" si="4"/>
        <v>0</v>
      </c>
      <c r="AN4" s="36">
        <f t="shared" si="4"/>
        <v>0</v>
      </c>
      <c r="AO4" s="36">
        <f t="shared" si="4"/>
        <v>0</v>
      </c>
      <c r="AP4" s="36">
        <f t="shared" si="4"/>
        <v>0</v>
      </c>
      <c r="AQ4" s="36">
        <f t="shared" si="4"/>
        <v>0</v>
      </c>
      <c r="AR4" s="36">
        <f t="shared" si="4"/>
        <v>0</v>
      </c>
      <c r="AS4" s="36">
        <f t="shared" si="4"/>
        <v>0</v>
      </c>
      <c r="AT4" s="36">
        <f t="shared" si="4"/>
        <v>0</v>
      </c>
      <c r="AU4" s="36">
        <f t="shared" si="4"/>
        <v>0</v>
      </c>
      <c r="AV4" s="36">
        <f t="shared" si="4"/>
        <v>0</v>
      </c>
      <c r="AW4" s="36">
        <f t="shared" si="4"/>
        <v>0</v>
      </c>
      <c r="AX4" s="31">
        <f t="shared" si="0"/>
        <v>6.5442451537419624</v>
      </c>
      <c r="AY4" s="31">
        <f t="shared" si="1"/>
        <v>4.3983034721615546</v>
      </c>
      <c r="AZ4" s="31">
        <f t="shared" si="2"/>
        <v>3.4874025513570399</v>
      </c>
      <c r="BA4" s="31">
        <f t="shared" ref="BA4:BA14" si="5">SUM(AL4:AW4)</f>
        <v>0.1535059779957855</v>
      </c>
      <c r="BB4" s="33">
        <f t="shared" ref="BB4:BB14" si="6">AX4/SUM($AX4:$BA4)</f>
        <v>0.44874442898357669</v>
      </c>
      <c r="BC4" s="33">
        <f t="shared" ref="BC4:BC14" si="7">AY4/SUM($AX4:$BA4)</f>
        <v>0.30159539163704174</v>
      </c>
      <c r="BD4" s="33">
        <f t="shared" ref="BD4:BD14" si="8">AZ4/SUM($AX4:$BA4)</f>
        <v>0.23913414454679352</v>
      </c>
      <c r="BE4" s="33">
        <f t="shared" ref="BE4:BE14" si="9">BA4/SUM($AX4:$BA4)</f>
        <v>1.0526034832588176E-2</v>
      </c>
    </row>
    <row r="5" spans="1:57" x14ac:dyDescent="0.25">
      <c r="A5" t="s">
        <v>11</v>
      </c>
      <c r="B5" s="28"/>
      <c r="C5" s="28"/>
      <c r="D5" s="28">
        <f>C4</f>
        <v>1</v>
      </c>
      <c r="E5" s="28">
        <f t="shared" si="3"/>
        <v>0.90610552129666766</v>
      </c>
      <c r="F5" s="28">
        <f t="shared" si="3"/>
        <v>0.66474626792906999</v>
      </c>
      <c r="G5" s="28">
        <f t="shared" si="3"/>
        <v>0.64124164902099534</v>
      </c>
      <c r="H5" s="28">
        <f t="shared" si="3"/>
        <v>0.54117698347402432</v>
      </c>
      <c r="I5" s="28">
        <f t="shared" si="3"/>
        <v>0.51025933185167127</v>
      </c>
      <c r="J5" s="28">
        <f t="shared" si="3"/>
        <v>0.48547932267442784</v>
      </c>
      <c r="K5" s="28">
        <f t="shared" si="3"/>
        <v>0.48005362409561342</v>
      </c>
      <c r="L5" s="28">
        <f t="shared" si="3"/>
        <v>0.45523186819788147</v>
      </c>
      <c r="M5" s="28">
        <f t="shared" si="3"/>
        <v>0.43928313237780964</v>
      </c>
      <c r="N5" s="29">
        <f t="shared" si="3"/>
        <v>0.42066745282380119</v>
      </c>
      <c r="O5" s="29">
        <f t="shared" si="3"/>
        <v>0.39950949995149343</v>
      </c>
      <c r="P5" s="29">
        <f t="shared" si="3"/>
        <v>0.39093144977203637</v>
      </c>
      <c r="Q5" s="29">
        <f t="shared" si="3"/>
        <v>0.38291069585435045</v>
      </c>
      <c r="R5" s="29">
        <f t="shared" si="3"/>
        <v>0.38076321767921684</v>
      </c>
      <c r="S5" s="29">
        <f t="shared" si="3"/>
        <v>0.37171614851418178</v>
      </c>
      <c r="T5" s="29">
        <f t="shared" si="3"/>
        <v>0.37270488492172443</v>
      </c>
      <c r="U5" s="29">
        <f t="shared" si="3"/>
        <v>0.36774932743560501</v>
      </c>
      <c r="V5" s="29">
        <f t="shared" si="3"/>
        <v>0.35839558256737353</v>
      </c>
      <c r="W5" s="29">
        <f t="shared" si="3"/>
        <v>0.35426123129529563</v>
      </c>
      <c r="X5" s="29">
        <f t="shared" si="3"/>
        <v>0.34211474253910101</v>
      </c>
      <c r="Y5" s="29">
        <f t="shared" si="3"/>
        <v>0.34238762623392033</v>
      </c>
      <c r="Z5" s="30">
        <f t="shared" si="3"/>
        <v>0.33485906539725552</v>
      </c>
      <c r="AA5" s="30">
        <f t="shared" si="3"/>
        <v>0.32131583307677547</v>
      </c>
      <c r="AB5" s="30">
        <f t="shared" si="3"/>
        <v>0.32349067713152857</v>
      </c>
      <c r="AC5" s="30">
        <f t="shared" si="3"/>
        <v>0.30974679620133722</v>
      </c>
      <c r="AD5" s="30">
        <f t="shared" si="3"/>
        <v>0.30422886021404322</v>
      </c>
      <c r="AE5" s="30">
        <f t="shared" si="3"/>
        <v>0.30178926030046821</v>
      </c>
      <c r="AF5" s="30">
        <f t="shared" si="3"/>
        <v>0.29355912461272771</v>
      </c>
      <c r="AG5" s="30">
        <f t="shared" si="3"/>
        <v>0.29311976616354662</v>
      </c>
      <c r="AH5" s="30">
        <f t="shared" si="3"/>
        <v>0.28546484462963512</v>
      </c>
      <c r="AI5" s="30">
        <f t="shared" si="3"/>
        <v>0.28257423318515756</v>
      </c>
      <c r="AJ5" s="30">
        <f t="shared" si="3"/>
        <v>0.27769204186745183</v>
      </c>
      <c r="AK5" s="30">
        <f t="shared" si="3"/>
        <v>0.26899216431934214</v>
      </c>
      <c r="AL5" s="36">
        <f t="shared" si="4"/>
        <v>0.22542894965502608</v>
      </c>
      <c r="AM5" s="36">
        <f t="shared" si="4"/>
        <v>0.1535059779957855</v>
      </c>
      <c r="AN5" s="36">
        <f t="shared" si="4"/>
        <v>0</v>
      </c>
      <c r="AO5" s="36">
        <f t="shared" si="4"/>
        <v>0</v>
      </c>
      <c r="AP5" s="36">
        <f t="shared" si="4"/>
        <v>0</v>
      </c>
      <c r="AQ5" s="36">
        <f t="shared" si="4"/>
        <v>0</v>
      </c>
      <c r="AR5" s="36">
        <f t="shared" si="4"/>
        <v>0</v>
      </c>
      <c r="AS5" s="36">
        <f t="shared" si="4"/>
        <v>0</v>
      </c>
      <c r="AT5" s="36">
        <f t="shared" si="4"/>
        <v>0</v>
      </c>
      <c r="AU5" s="36">
        <f t="shared" si="4"/>
        <v>0</v>
      </c>
      <c r="AV5" s="36">
        <f t="shared" si="4"/>
        <v>0</v>
      </c>
      <c r="AW5" s="36">
        <f t="shared" si="4"/>
        <v>0</v>
      </c>
      <c r="AX5" s="31">
        <f t="shared" si="0"/>
        <v>6.1235777009181609</v>
      </c>
      <c r="AY5" s="31">
        <f t="shared" si="1"/>
        <v>4.4841118595881007</v>
      </c>
      <c r="AZ5" s="31">
        <f t="shared" si="2"/>
        <v>3.5968326670992696</v>
      </c>
      <c r="BA5" s="31">
        <f t="shared" si="5"/>
        <v>0.3789349276508116</v>
      </c>
      <c r="BB5" s="33">
        <f t="shared" si="6"/>
        <v>0.41989890570707561</v>
      </c>
      <c r="BC5" s="33">
        <f t="shared" si="7"/>
        <v>0.30747934538772126</v>
      </c>
      <c r="BD5" s="33">
        <f t="shared" si="8"/>
        <v>0.24663786020058051</v>
      </c>
      <c r="BE5" s="33">
        <f t="shared" si="9"/>
        <v>2.5983888704622506E-2</v>
      </c>
    </row>
    <row r="6" spans="1:57" x14ac:dyDescent="0.25">
      <c r="A6" t="s">
        <v>12</v>
      </c>
      <c r="B6" s="28"/>
      <c r="C6" s="28"/>
      <c r="D6" s="28"/>
      <c r="E6" s="28">
        <f>D5</f>
        <v>1</v>
      </c>
      <c r="F6" s="28">
        <f t="shared" si="3"/>
        <v>0.90610552129666766</v>
      </c>
      <c r="G6" s="28">
        <f t="shared" si="3"/>
        <v>0.66474626792906999</v>
      </c>
      <c r="H6" s="28">
        <f t="shared" si="3"/>
        <v>0.64124164902099534</v>
      </c>
      <c r="I6" s="28">
        <f t="shared" si="3"/>
        <v>0.54117698347402432</v>
      </c>
      <c r="J6" s="28">
        <f t="shared" si="3"/>
        <v>0.51025933185167127</v>
      </c>
      <c r="K6" s="28">
        <f t="shared" si="3"/>
        <v>0.48547932267442784</v>
      </c>
      <c r="L6" s="28">
        <f t="shared" si="3"/>
        <v>0.48005362409561342</v>
      </c>
      <c r="M6" s="28">
        <f t="shared" si="3"/>
        <v>0.45523186819788147</v>
      </c>
      <c r="N6" s="29">
        <f t="shared" si="3"/>
        <v>0.43928313237780964</v>
      </c>
      <c r="O6" s="29">
        <f t="shared" si="3"/>
        <v>0.42066745282380119</v>
      </c>
      <c r="P6" s="29">
        <f t="shared" si="3"/>
        <v>0.39950949995149343</v>
      </c>
      <c r="Q6" s="29">
        <f t="shared" si="3"/>
        <v>0.39093144977203637</v>
      </c>
      <c r="R6" s="29">
        <f t="shared" si="3"/>
        <v>0.38291069585435045</v>
      </c>
      <c r="S6" s="29">
        <f t="shared" si="3"/>
        <v>0.38076321767921684</v>
      </c>
      <c r="T6" s="29">
        <f t="shared" si="3"/>
        <v>0.37171614851418178</v>
      </c>
      <c r="U6" s="29">
        <f t="shared" si="3"/>
        <v>0.37270488492172443</v>
      </c>
      <c r="V6" s="29">
        <f t="shared" si="3"/>
        <v>0.36774932743560501</v>
      </c>
      <c r="W6" s="29">
        <f t="shared" si="3"/>
        <v>0.35839558256737353</v>
      </c>
      <c r="X6" s="29">
        <f t="shared" si="3"/>
        <v>0.35426123129529563</v>
      </c>
      <c r="Y6" s="29">
        <f t="shared" si="3"/>
        <v>0.34211474253910101</v>
      </c>
      <c r="Z6" s="30">
        <f t="shared" si="3"/>
        <v>0.34238762623392033</v>
      </c>
      <c r="AA6" s="30">
        <f t="shared" si="3"/>
        <v>0.33485906539725552</v>
      </c>
      <c r="AB6" s="30">
        <f t="shared" si="3"/>
        <v>0.32131583307677547</v>
      </c>
      <c r="AC6" s="30">
        <f t="shared" si="3"/>
        <v>0.32349067713152857</v>
      </c>
      <c r="AD6" s="30">
        <f t="shared" si="3"/>
        <v>0.30974679620133722</v>
      </c>
      <c r="AE6" s="30">
        <f t="shared" si="3"/>
        <v>0.30422886021404322</v>
      </c>
      <c r="AF6" s="30">
        <f t="shared" si="3"/>
        <v>0.30178926030046821</v>
      </c>
      <c r="AG6" s="30">
        <f t="shared" si="3"/>
        <v>0.29355912461272771</v>
      </c>
      <c r="AH6" s="30">
        <f t="shared" si="3"/>
        <v>0.29311976616354662</v>
      </c>
      <c r="AI6" s="30">
        <f t="shared" si="3"/>
        <v>0.28546484462963512</v>
      </c>
      <c r="AJ6" s="30">
        <f t="shared" si="3"/>
        <v>0.28257423318515756</v>
      </c>
      <c r="AK6" s="30">
        <f t="shared" ref="AK6:AW6" si="10">AJ5</f>
        <v>0.27769204186745183</v>
      </c>
      <c r="AL6" s="36">
        <f t="shared" si="10"/>
        <v>0.26899216431934214</v>
      </c>
      <c r="AM6" s="36">
        <f t="shared" si="10"/>
        <v>0.22542894965502608</v>
      </c>
      <c r="AN6" s="36">
        <f t="shared" si="10"/>
        <v>0.1535059779957855</v>
      </c>
      <c r="AO6" s="36">
        <f t="shared" si="10"/>
        <v>0</v>
      </c>
      <c r="AP6" s="36">
        <f t="shared" si="10"/>
        <v>0</v>
      </c>
      <c r="AQ6" s="36">
        <f t="shared" si="10"/>
        <v>0</v>
      </c>
      <c r="AR6" s="36">
        <f t="shared" si="10"/>
        <v>0</v>
      </c>
      <c r="AS6" s="36">
        <f t="shared" si="10"/>
        <v>0</v>
      </c>
      <c r="AT6" s="36">
        <f t="shared" si="10"/>
        <v>0</v>
      </c>
      <c r="AU6" s="36">
        <f t="shared" si="10"/>
        <v>0</v>
      </c>
      <c r="AV6" s="36">
        <f t="shared" si="10"/>
        <v>0</v>
      </c>
      <c r="AW6" s="36">
        <f t="shared" si="10"/>
        <v>0</v>
      </c>
      <c r="AX6" s="31">
        <f t="shared" si="0"/>
        <v>5.6842945685403512</v>
      </c>
      <c r="AY6" s="31">
        <f t="shared" si="1"/>
        <v>4.5810073657319901</v>
      </c>
      <c r="AZ6" s="31">
        <f t="shared" si="2"/>
        <v>3.6702281290138479</v>
      </c>
      <c r="BA6" s="31">
        <f t="shared" si="5"/>
        <v>0.64792709197015375</v>
      </c>
      <c r="BB6" s="33">
        <f t="shared" si="6"/>
        <v>0.38977688952797795</v>
      </c>
      <c r="BC6" s="33">
        <f t="shared" si="7"/>
        <v>0.31412355225255001</v>
      </c>
      <c r="BD6" s="33">
        <f t="shared" si="8"/>
        <v>0.25167064914309301</v>
      </c>
      <c r="BE6" s="33">
        <f t="shared" si="9"/>
        <v>4.4428909076379065E-2</v>
      </c>
    </row>
    <row r="7" spans="1:57" x14ac:dyDescent="0.25">
      <c r="A7" t="s">
        <v>13</v>
      </c>
      <c r="B7" s="28"/>
      <c r="C7" s="28"/>
      <c r="D7" s="28"/>
      <c r="E7" s="28"/>
      <c r="F7" s="28">
        <f>E6</f>
        <v>1</v>
      </c>
      <c r="G7" s="28">
        <f t="shared" si="3"/>
        <v>0.90610552129666766</v>
      </c>
      <c r="H7" s="28">
        <f t="shared" si="3"/>
        <v>0.66474626792906999</v>
      </c>
      <c r="I7" s="28">
        <f t="shared" si="3"/>
        <v>0.64124164902099534</v>
      </c>
      <c r="J7" s="28">
        <f t="shared" si="3"/>
        <v>0.54117698347402432</v>
      </c>
      <c r="K7" s="28">
        <f t="shared" si="3"/>
        <v>0.51025933185167127</v>
      </c>
      <c r="L7" s="28">
        <f t="shared" si="3"/>
        <v>0.48547932267442784</v>
      </c>
      <c r="M7" s="28">
        <f t="shared" si="3"/>
        <v>0.48005362409561342</v>
      </c>
      <c r="N7" s="29">
        <f t="shared" si="3"/>
        <v>0.45523186819788147</v>
      </c>
      <c r="O7" s="29">
        <f t="shared" si="3"/>
        <v>0.43928313237780964</v>
      </c>
      <c r="P7" s="29">
        <f t="shared" si="3"/>
        <v>0.42066745282380119</v>
      </c>
      <c r="Q7" s="29">
        <f t="shared" si="3"/>
        <v>0.39950949995149343</v>
      </c>
      <c r="R7" s="29">
        <f t="shared" si="3"/>
        <v>0.39093144977203637</v>
      </c>
      <c r="S7" s="29">
        <f t="shared" si="3"/>
        <v>0.38291069585435045</v>
      </c>
      <c r="T7" s="29">
        <f t="shared" si="3"/>
        <v>0.38076321767921684</v>
      </c>
      <c r="U7" s="29">
        <f t="shared" si="3"/>
        <v>0.37171614851418178</v>
      </c>
      <c r="V7" s="29">
        <f t="shared" si="3"/>
        <v>0.37270488492172443</v>
      </c>
      <c r="W7" s="29">
        <f t="shared" si="3"/>
        <v>0.36774932743560501</v>
      </c>
      <c r="X7" s="29">
        <f t="shared" si="3"/>
        <v>0.35839558256737353</v>
      </c>
      <c r="Y7" s="29">
        <f t="shared" si="3"/>
        <v>0.35426123129529563</v>
      </c>
      <c r="Z7" s="30">
        <f t="shared" si="3"/>
        <v>0.34211474253910101</v>
      </c>
      <c r="AA7" s="30">
        <f t="shared" si="3"/>
        <v>0.34238762623392033</v>
      </c>
      <c r="AB7" s="30">
        <f t="shared" si="3"/>
        <v>0.33485906539725552</v>
      </c>
      <c r="AC7" s="30">
        <f t="shared" si="3"/>
        <v>0.32131583307677547</v>
      </c>
      <c r="AD7" s="30">
        <f t="shared" si="3"/>
        <v>0.32349067713152857</v>
      </c>
      <c r="AE7" s="30">
        <f t="shared" si="3"/>
        <v>0.30974679620133722</v>
      </c>
      <c r="AF7" s="30">
        <f t="shared" si="3"/>
        <v>0.30422886021404322</v>
      </c>
      <c r="AG7" s="30">
        <f t="shared" si="3"/>
        <v>0.30178926030046821</v>
      </c>
      <c r="AH7" s="30">
        <f t="shared" si="3"/>
        <v>0.29355912461272771</v>
      </c>
      <c r="AI7" s="30">
        <f t="shared" si="3"/>
        <v>0.29311976616354662</v>
      </c>
      <c r="AJ7" s="30">
        <f t="shared" si="3"/>
        <v>0.28546484462963512</v>
      </c>
      <c r="AK7" s="30">
        <f t="shared" si="3"/>
        <v>0.28257423318515756</v>
      </c>
      <c r="AL7" s="36">
        <f t="shared" si="4"/>
        <v>0.27769204186745183</v>
      </c>
      <c r="AM7" s="36">
        <f t="shared" si="4"/>
        <v>0.26899216431934214</v>
      </c>
      <c r="AN7" s="36">
        <f t="shared" si="4"/>
        <v>0.22542894965502608</v>
      </c>
      <c r="AO7" s="36">
        <f t="shared" si="4"/>
        <v>0.1535059779957855</v>
      </c>
      <c r="AP7" s="36">
        <f t="shared" si="4"/>
        <v>0</v>
      </c>
      <c r="AQ7" s="36">
        <f t="shared" si="4"/>
        <v>0</v>
      </c>
      <c r="AR7" s="36">
        <f t="shared" si="4"/>
        <v>0</v>
      </c>
      <c r="AS7" s="36">
        <f t="shared" si="4"/>
        <v>0</v>
      </c>
      <c r="AT7" s="36">
        <f t="shared" si="4"/>
        <v>0</v>
      </c>
      <c r="AU7" s="36">
        <f t="shared" si="4"/>
        <v>0</v>
      </c>
      <c r="AV7" s="36">
        <f t="shared" si="4"/>
        <v>0</v>
      </c>
      <c r="AW7" s="36">
        <f t="shared" si="4"/>
        <v>0</v>
      </c>
      <c r="AX7" s="31">
        <f t="shared" si="0"/>
        <v>5.2290627003424701</v>
      </c>
      <c r="AY7" s="31">
        <f t="shared" si="1"/>
        <v>4.6941244913907703</v>
      </c>
      <c r="AZ7" s="31">
        <f t="shared" si="2"/>
        <v>3.734650829685497</v>
      </c>
      <c r="BA7" s="31">
        <f t="shared" si="5"/>
        <v>0.92561913383760563</v>
      </c>
      <c r="BB7" s="33">
        <f t="shared" si="6"/>
        <v>0.35856125503531572</v>
      </c>
      <c r="BC7" s="33">
        <f t="shared" si="7"/>
        <v>0.32188008929685497</v>
      </c>
      <c r="BD7" s="33">
        <f t="shared" si="8"/>
        <v>0.25608816825298586</v>
      </c>
      <c r="BE7" s="33">
        <f t="shared" si="9"/>
        <v>6.3470487414843402E-2</v>
      </c>
    </row>
    <row r="8" spans="1:57" x14ac:dyDescent="0.25">
      <c r="A8" t="s">
        <v>14</v>
      </c>
      <c r="B8" s="28"/>
      <c r="C8" s="28"/>
      <c r="D8" s="28"/>
      <c r="E8" s="28"/>
      <c r="F8" s="28"/>
      <c r="G8" s="28">
        <f>F7</f>
        <v>1</v>
      </c>
      <c r="H8" s="28">
        <f t="shared" si="3"/>
        <v>0.90610552129666766</v>
      </c>
      <c r="I8" s="28">
        <f t="shared" si="3"/>
        <v>0.66474626792906999</v>
      </c>
      <c r="J8" s="28">
        <f t="shared" si="3"/>
        <v>0.64124164902099534</v>
      </c>
      <c r="K8" s="28">
        <f t="shared" si="3"/>
        <v>0.54117698347402432</v>
      </c>
      <c r="L8" s="28">
        <f t="shared" si="3"/>
        <v>0.51025933185167127</v>
      </c>
      <c r="M8" s="28">
        <f t="shared" si="3"/>
        <v>0.48547932267442784</v>
      </c>
      <c r="N8" s="29">
        <f t="shared" si="3"/>
        <v>0.48005362409561342</v>
      </c>
      <c r="O8" s="29">
        <f t="shared" si="3"/>
        <v>0.45523186819788147</v>
      </c>
      <c r="P8" s="29">
        <f t="shared" si="3"/>
        <v>0.43928313237780964</v>
      </c>
      <c r="Q8" s="29">
        <f t="shared" si="3"/>
        <v>0.42066745282380119</v>
      </c>
      <c r="R8" s="29">
        <f t="shared" si="3"/>
        <v>0.39950949995149343</v>
      </c>
      <c r="S8" s="29">
        <f t="shared" si="3"/>
        <v>0.39093144977203637</v>
      </c>
      <c r="T8" s="29">
        <f t="shared" si="3"/>
        <v>0.38291069585435045</v>
      </c>
      <c r="U8" s="29">
        <f t="shared" si="3"/>
        <v>0.38076321767921684</v>
      </c>
      <c r="V8" s="29">
        <f t="shared" si="3"/>
        <v>0.37171614851418178</v>
      </c>
      <c r="W8" s="29">
        <f t="shared" si="3"/>
        <v>0.37270488492172443</v>
      </c>
      <c r="X8" s="29">
        <f t="shared" si="3"/>
        <v>0.36774932743560501</v>
      </c>
      <c r="Y8" s="29">
        <f t="shared" si="3"/>
        <v>0.35839558256737353</v>
      </c>
      <c r="Z8" s="30">
        <f t="shared" si="3"/>
        <v>0.35426123129529563</v>
      </c>
      <c r="AA8" s="30">
        <f t="shared" si="3"/>
        <v>0.34211474253910101</v>
      </c>
      <c r="AB8" s="30">
        <f t="shared" si="3"/>
        <v>0.34238762623392033</v>
      </c>
      <c r="AC8" s="30">
        <f t="shared" si="3"/>
        <v>0.33485906539725552</v>
      </c>
      <c r="AD8" s="30">
        <f t="shared" si="3"/>
        <v>0.32131583307677547</v>
      </c>
      <c r="AE8" s="30">
        <f t="shared" si="3"/>
        <v>0.32349067713152857</v>
      </c>
      <c r="AF8" s="30">
        <f t="shared" si="3"/>
        <v>0.30974679620133722</v>
      </c>
      <c r="AG8" s="30">
        <f t="shared" si="3"/>
        <v>0.30422886021404322</v>
      </c>
      <c r="AH8" s="30">
        <f t="shared" si="3"/>
        <v>0.30178926030046821</v>
      </c>
      <c r="AI8" s="30">
        <f t="shared" si="3"/>
        <v>0.29355912461272771</v>
      </c>
      <c r="AJ8" s="30">
        <f t="shared" si="3"/>
        <v>0.29311976616354662</v>
      </c>
      <c r="AK8" s="30">
        <f t="shared" si="3"/>
        <v>0.28546484462963512</v>
      </c>
      <c r="AL8" s="36">
        <f t="shared" si="4"/>
        <v>0.28257423318515756</v>
      </c>
      <c r="AM8" s="36">
        <f t="shared" si="4"/>
        <v>0.27769204186745183</v>
      </c>
      <c r="AN8" s="36">
        <f t="shared" si="4"/>
        <v>0.26899216431934214</v>
      </c>
      <c r="AO8" s="36">
        <f t="shared" si="4"/>
        <v>0.22542894965502608</v>
      </c>
      <c r="AP8" s="36">
        <f t="shared" si="4"/>
        <v>0.1535059779957855</v>
      </c>
      <c r="AQ8" s="36">
        <f t="shared" si="4"/>
        <v>0</v>
      </c>
      <c r="AR8" s="36">
        <f t="shared" si="4"/>
        <v>0</v>
      </c>
      <c r="AS8" s="36">
        <f t="shared" si="4"/>
        <v>0</v>
      </c>
      <c r="AT8" s="36">
        <f t="shared" si="4"/>
        <v>0</v>
      </c>
      <c r="AU8" s="36">
        <f t="shared" si="4"/>
        <v>0</v>
      </c>
      <c r="AV8" s="36">
        <f t="shared" si="4"/>
        <v>0</v>
      </c>
      <c r="AW8" s="36">
        <f t="shared" si="4"/>
        <v>0</v>
      </c>
      <c r="AX8" s="31">
        <f t="shared" si="0"/>
        <v>4.7490090762468569</v>
      </c>
      <c r="AY8" s="31">
        <f t="shared" si="1"/>
        <v>4.8199168841910867</v>
      </c>
      <c r="AZ8" s="31">
        <f t="shared" si="2"/>
        <v>3.8063378277956352</v>
      </c>
      <c r="BA8" s="31">
        <f t="shared" si="5"/>
        <v>1.2081933670227631</v>
      </c>
      <c r="BB8" s="33">
        <f t="shared" si="6"/>
        <v>0.32564357173258895</v>
      </c>
      <c r="BC8" s="33">
        <f t="shared" si="7"/>
        <v>0.33050578013690224</v>
      </c>
      <c r="BD8" s="33">
        <f t="shared" si="8"/>
        <v>0.26100380638645132</v>
      </c>
      <c r="BE8" s="33">
        <f t="shared" si="9"/>
        <v>8.2846841744057348E-2</v>
      </c>
    </row>
    <row r="9" spans="1:57" x14ac:dyDescent="0.25">
      <c r="A9" t="s">
        <v>15</v>
      </c>
      <c r="B9" s="28"/>
      <c r="C9" s="28"/>
      <c r="D9" s="28"/>
      <c r="E9" s="28"/>
      <c r="F9" s="28"/>
      <c r="G9" s="28"/>
      <c r="H9" s="28">
        <f>G8</f>
        <v>1</v>
      </c>
      <c r="I9" s="28">
        <f t="shared" si="3"/>
        <v>0.90610552129666766</v>
      </c>
      <c r="J9" s="28">
        <f t="shared" si="3"/>
        <v>0.66474626792906999</v>
      </c>
      <c r="K9" s="28">
        <f t="shared" si="3"/>
        <v>0.64124164902099534</v>
      </c>
      <c r="L9" s="28">
        <f t="shared" si="3"/>
        <v>0.54117698347402432</v>
      </c>
      <c r="M9" s="28">
        <f t="shared" si="3"/>
        <v>0.51025933185167127</v>
      </c>
      <c r="N9" s="29">
        <f t="shared" si="3"/>
        <v>0.48547932267442784</v>
      </c>
      <c r="O9" s="29">
        <f t="shared" si="3"/>
        <v>0.48005362409561342</v>
      </c>
      <c r="P9" s="29">
        <f t="shared" si="3"/>
        <v>0.45523186819788147</v>
      </c>
      <c r="Q9" s="29">
        <f t="shared" si="3"/>
        <v>0.43928313237780964</v>
      </c>
      <c r="R9" s="29">
        <f t="shared" si="3"/>
        <v>0.42066745282380119</v>
      </c>
      <c r="S9" s="29">
        <f t="shared" si="3"/>
        <v>0.39950949995149343</v>
      </c>
      <c r="T9" s="29">
        <f t="shared" si="3"/>
        <v>0.39093144977203637</v>
      </c>
      <c r="U9" s="29">
        <f t="shared" si="3"/>
        <v>0.38291069585435045</v>
      </c>
      <c r="V9" s="29">
        <f t="shared" si="3"/>
        <v>0.38076321767921684</v>
      </c>
      <c r="W9" s="29">
        <f t="shared" si="3"/>
        <v>0.37171614851418178</v>
      </c>
      <c r="X9" s="29">
        <f t="shared" si="3"/>
        <v>0.37270488492172443</v>
      </c>
      <c r="Y9" s="29">
        <f t="shared" si="3"/>
        <v>0.36774932743560501</v>
      </c>
      <c r="Z9" s="30">
        <f t="shared" si="3"/>
        <v>0.35839558256737353</v>
      </c>
      <c r="AA9" s="30">
        <f t="shared" si="3"/>
        <v>0.35426123129529563</v>
      </c>
      <c r="AB9" s="30">
        <f t="shared" si="3"/>
        <v>0.34211474253910101</v>
      </c>
      <c r="AC9" s="30">
        <f t="shared" si="3"/>
        <v>0.34238762623392033</v>
      </c>
      <c r="AD9" s="30">
        <f t="shared" si="3"/>
        <v>0.33485906539725552</v>
      </c>
      <c r="AE9" s="30">
        <f t="shared" si="3"/>
        <v>0.32131583307677547</v>
      </c>
      <c r="AF9" s="30">
        <f t="shared" si="3"/>
        <v>0.32349067713152857</v>
      </c>
      <c r="AG9" s="30">
        <f t="shared" si="3"/>
        <v>0.30974679620133722</v>
      </c>
      <c r="AH9" s="30">
        <f t="shared" si="3"/>
        <v>0.30422886021404322</v>
      </c>
      <c r="AI9" s="30">
        <f t="shared" si="3"/>
        <v>0.30178926030046821</v>
      </c>
      <c r="AJ9" s="30">
        <f t="shared" si="3"/>
        <v>0.29355912461272771</v>
      </c>
      <c r="AK9" s="30">
        <f t="shared" si="3"/>
        <v>0.29311976616354662</v>
      </c>
      <c r="AL9" s="36">
        <f t="shared" si="4"/>
        <v>0.28546484462963512</v>
      </c>
      <c r="AM9" s="36">
        <f t="shared" si="4"/>
        <v>0.28257423318515756</v>
      </c>
      <c r="AN9" s="36">
        <f t="shared" si="4"/>
        <v>0.27769204186745183</v>
      </c>
      <c r="AO9" s="36">
        <f t="shared" si="4"/>
        <v>0.26899216431934214</v>
      </c>
      <c r="AP9" s="36">
        <f t="shared" si="4"/>
        <v>0.22542894965502608</v>
      </c>
      <c r="AQ9" s="36">
        <f t="shared" si="4"/>
        <v>0.1535059779957855</v>
      </c>
      <c r="AR9" s="36">
        <f t="shared" si="4"/>
        <v>0</v>
      </c>
      <c r="AS9" s="36">
        <f t="shared" si="4"/>
        <v>0</v>
      </c>
      <c r="AT9" s="36">
        <f t="shared" si="4"/>
        <v>0</v>
      </c>
      <c r="AU9" s="36">
        <f t="shared" si="4"/>
        <v>0</v>
      </c>
      <c r="AV9" s="36">
        <f t="shared" si="4"/>
        <v>0</v>
      </c>
      <c r="AW9" s="36">
        <f t="shared" si="4"/>
        <v>0</v>
      </c>
      <c r="AX9" s="31">
        <f t="shared" si="0"/>
        <v>4.2635297535724286</v>
      </c>
      <c r="AY9" s="31">
        <f t="shared" si="1"/>
        <v>4.9470006242981412</v>
      </c>
      <c r="AZ9" s="31">
        <f t="shared" si="2"/>
        <v>3.8792685657333732</v>
      </c>
      <c r="BA9" s="31">
        <f t="shared" si="5"/>
        <v>1.4936582116523984</v>
      </c>
      <c r="BB9" s="33">
        <f t="shared" si="6"/>
        <v>0.2923538436862152</v>
      </c>
      <c r="BC9" s="33">
        <f t="shared" si="7"/>
        <v>0.33922001975471811</v>
      </c>
      <c r="BD9" s="33">
        <f t="shared" si="8"/>
        <v>0.26600472881254783</v>
      </c>
      <c r="BE9" s="33">
        <f t="shared" si="9"/>
        <v>0.10242140774651891</v>
      </c>
    </row>
    <row r="10" spans="1:57" x14ac:dyDescent="0.25">
      <c r="A10" t="s">
        <v>16</v>
      </c>
      <c r="B10" s="28"/>
      <c r="C10" s="28"/>
      <c r="D10" s="28"/>
      <c r="E10" s="28"/>
      <c r="F10" s="28"/>
      <c r="G10" s="28"/>
      <c r="H10" s="28"/>
      <c r="I10" s="28">
        <f>H9</f>
        <v>1</v>
      </c>
      <c r="J10" s="28">
        <f t="shared" si="3"/>
        <v>0.90610552129666766</v>
      </c>
      <c r="K10" s="28">
        <f t="shared" si="3"/>
        <v>0.66474626792906999</v>
      </c>
      <c r="L10" s="28">
        <f t="shared" si="3"/>
        <v>0.64124164902099534</v>
      </c>
      <c r="M10" s="28">
        <f t="shared" si="3"/>
        <v>0.54117698347402432</v>
      </c>
      <c r="N10" s="29">
        <f t="shared" si="3"/>
        <v>0.51025933185167127</v>
      </c>
      <c r="O10" s="29">
        <f t="shared" si="3"/>
        <v>0.48547932267442784</v>
      </c>
      <c r="P10" s="29">
        <f t="shared" si="3"/>
        <v>0.48005362409561342</v>
      </c>
      <c r="Q10" s="29">
        <f t="shared" si="3"/>
        <v>0.45523186819788147</v>
      </c>
      <c r="R10" s="29">
        <f t="shared" si="3"/>
        <v>0.43928313237780964</v>
      </c>
      <c r="S10" s="29">
        <f t="shared" si="3"/>
        <v>0.42066745282380119</v>
      </c>
      <c r="T10" s="29">
        <f t="shared" si="3"/>
        <v>0.39950949995149343</v>
      </c>
      <c r="U10" s="29">
        <f t="shared" si="3"/>
        <v>0.39093144977203637</v>
      </c>
      <c r="V10" s="29">
        <f t="shared" si="3"/>
        <v>0.38291069585435045</v>
      </c>
      <c r="W10" s="29">
        <f t="shared" si="3"/>
        <v>0.38076321767921684</v>
      </c>
      <c r="X10" s="29">
        <f t="shared" si="3"/>
        <v>0.37171614851418178</v>
      </c>
      <c r="Y10" s="29">
        <f t="shared" si="3"/>
        <v>0.37270488492172443</v>
      </c>
      <c r="Z10" s="30">
        <f t="shared" si="3"/>
        <v>0.36774932743560501</v>
      </c>
      <c r="AA10" s="30">
        <f t="shared" si="3"/>
        <v>0.35839558256737353</v>
      </c>
      <c r="AB10" s="30">
        <f t="shared" si="3"/>
        <v>0.35426123129529563</v>
      </c>
      <c r="AC10" s="30">
        <f t="shared" si="3"/>
        <v>0.34211474253910101</v>
      </c>
      <c r="AD10" s="30">
        <f t="shared" si="3"/>
        <v>0.34238762623392033</v>
      </c>
      <c r="AE10" s="30">
        <f t="shared" si="3"/>
        <v>0.33485906539725552</v>
      </c>
      <c r="AF10" s="30">
        <f t="shared" si="3"/>
        <v>0.32131583307677547</v>
      </c>
      <c r="AG10" s="30">
        <f t="shared" si="3"/>
        <v>0.32349067713152857</v>
      </c>
      <c r="AH10" s="30">
        <f t="shared" si="3"/>
        <v>0.30974679620133722</v>
      </c>
      <c r="AI10" s="30">
        <f t="shared" si="3"/>
        <v>0.30422886021404322</v>
      </c>
      <c r="AJ10" s="30">
        <f t="shared" si="3"/>
        <v>0.30178926030046821</v>
      </c>
      <c r="AK10" s="30">
        <f t="shared" si="3"/>
        <v>0.29355912461272771</v>
      </c>
      <c r="AL10" s="36">
        <f t="shared" si="4"/>
        <v>0.29311976616354662</v>
      </c>
      <c r="AM10" s="36">
        <f t="shared" si="4"/>
        <v>0.28546484462963512</v>
      </c>
      <c r="AN10" s="36">
        <f t="shared" si="4"/>
        <v>0.28257423318515756</v>
      </c>
      <c r="AO10" s="36">
        <f t="shared" si="4"/>
        <v>0.27769204186745183</v>
      </c>
      <c r="AP10" s="36">
        <f t="shared" si="4"/>
        <v>0.26899216431934214</v>
      </c>
      <c r="AQ10" s="36">
        <f t="shared" si="4"/>
        <v>0.22542894965502608</v>
      </c>
      <c r="AR10" s="36">
        <f t="shared" si="4"/>
        <v>0.1535059779957855</v>
      </c>
      <c r="AS10" s="36">
        <f t="shared" si="4"/>
        <v>0</v>
      </c>
      <c r="AT10" s="36">
        <f t="shared" si="4"/>
        <v>0</v>
      </c>
      <c r="AU10" s="36">
        <f t="shared" si="4"/>
        <v>0</v>
      </c>
      <c r="AV10" s="36">
        <f t="shared" si="4"/>
        <v>0</v>
      </c>
      <c r="AW10" s="36">
        <f t="shared" si="4"/>
        <v>0</v>
      </c>
      <c r="AX10" s="31">
        <f t="shared" si="0"/>
        <v>3.7532704217207575</v>
      </c>
      <c r="AY10" s="31">
        <f t="shared" si="1"/>
        <v>5.0895106287142076</v>
      </c>
      <c r="AZ10" s="31">
        <f t="shared" si="2"/>
        <v>3.9538981270054316</v>
      </c>
      <c r="BA10" s="31">
        <f t="shared" si="5"/>
        <v>1.7867779778159447</v>
      </c>
      <c r="BB10" s="33">
        <f t="shared" si="6"/>
        <v>0.25736492943773348</v>
      </c>
      <c r="BC10" s="33">
        <f t="shared" si="7"/>
        <v>0.34899205137238576</v>
      </c>
      <c r="BD10" s="33">
        <f t="shared" si="8"/>
        <v>0.27112214099249582</v>
      </c>
      <c r="BE10" s="33">
        <f t="shared" si="9"/>
        <v>0.122520878197385</v>
      </c>
    </row>
    <row r="11" spans="1:57" x14ac:dyDescent="0.25">
      <c r="A11" t="s">
        <v>17</v>
      </c>
      <c r="B11" s="28"/>
      <c r="C11" s="28"/>
      <c r="D11" s="28"/>
      <c r="E11" s="28"/>
      <c r="F11" s="28"/>
      <c r="G11" s="28"/>
      <c r="H11" s="28"/>
      <c r="I11" s="28"/>
      <c r="J11" s="28">
        <f>I10</f>
        <v>1</v>
      </c>
      <c r="K11" s="28">
        <f t="shared" si="3"/>
        <v>0.90610552129666766</v>
      </c>
      <c r="L11" s="28">
        <f t="shared" si="3"/>
        <v>0.66474626792906999</v>
      </c>
      <c r="M11" s="28">
        <f t="shared" si="3"/>
        <v>0.64124164902099534</v>
      </c>
      <c r="N11" s="29">
        <f t="shared" si="3"/>
        <v>0.54117698347402432</v>
      </c>
      <c r="O11" s="29">
        <f t="shared" si="3"/>
        <v>0.51025933185167127</v>
      </c>
      <c r="P11" s="29">
        <f t="shared" si="3"/>
        <v>0.48547932267442784</v>
      </c>
      <c r="Q11" s="29">
        <f t="shared" si="3"/>
        <v>0.48005362409561342</v>
      </c>
      <c r="R11" s="29">
        <f t="shared" si="3"/>
        <v>0.45523186819788147</v>
      </c>
      <c r="S11" s="29">
        <f t="shared" si="3"/>
        <v>0.43928313237780964</v>
      </c>
      <c r="T11" s="29">
        <f t="shared" si="3"/>
        <v>0.42066745282380119</v>
      </c>
      <c r="U11" s="29">
        <f t="shared" si="3"/>
        <v>0.39950949995149343</v>
      </c>
      <c r="V11" s="29">
        <f t="shared" si="3"/>
        <v>0.39093144977203637</v>
      </c>
      <c r="W11" s="29">
        <f t="shared" si="3"/>
        <v>0.38291069585435045</v>
      </c>
      <c r="X11" s="29">
        <f t="shared" si="3"/>
        <v>0.38076321767921684</v>
      </c>
      <c r="Y11" s="29">
        <f t="shared" si="3"/>
        <v>0.37171614851418178</v>
      </c>
      <c r="Z11" s="30">
        <f t="shared" si="3"/>
        <v>0.37270488492172443</v>
      </c>
      <c r="AA11" s="30">
        <f t="shared" si="3"/>
        <v>0.36774932743560501</v>
      </c>
      <c r="AB11" s="30">
        <f t="shared" si="3"/>
        <v>0.35839558256737353</v>
      </c>
      <c r="AC11" s="30">
        <f t="shared" si="3"/>
        <v>0.35426123129529563</v>
      </c>
      <c r="AD11" s="30">
        <f t="shared" si="3"/>
        <v>0.34211474253910101</v>
      </c>
      <c r="AE11" s="30">
        <f t="shared" si="3"/>
        <v>0.34238762623392033</v>
      </c>
      <c r="AF11" s="30">
        <f t="shared" si="3"/>
        <v>0.33485906539725552</v>
      </c>
      <c r="AG11" s="30">
        <f t="shared" si="3"/>
        <v>0.32131583307677547</v>
      </c>
      <c r="AH11" s="30">
        <f t="shared" si="3"/>
        <v>0.32349067713152857</v>
      </c>
      <c r="AI11" s="30">
        <f t="shared" si="3"/>
        <v>0.30974679620133722</v>
      </c>
      <c r="AJ11" s="30">
        <f t="shared" si="3"/>
        <v>0.30422886021404322</v>
      </c>
      <c r="AK11" s="30">
        <f t="shared" si="3"/>
        <v>0.30178926030046821</v>
      </c>
      <c r="AL11" s="36">
        <f t="shared" si="4"/>
        <v>0.29355912461272771</v>
      </c>
      <c r="AM11" s="36">
        <f t="shared" si="4"/>
        <v>0.29311976616354662</v>
      </c>
      <c r="AN11" s="36">
        <f t="shared" si="4"/>
        <v>0.28546484462963512</v>
      </c>
      <c r="AO11" s="36">
        <f t="shared" si="4"/>
        <v>0.28257423318515756</v>
      </c>
      <c r="AP11" s="36">
        <f t="shared" si="4"/>
        <v>0.27769204186745183</v>
      </c>
      <c r="AQ11" s="36">
        <f t="shared" si="4"/>
        <v>0.26899216431934214</v>
      </c>
      <c r="AR11" s="36">
        <f t="shared" si="4"/>
        <v>0.22542894965502608</v>
      </c>
      <c r="AS11" s="36">
        <f t="shared" si="4"/>
        <v>0.1535059779957855</v>
      </c>
      <c r="AT11" s="36">
        <f t="shared" si="4"/>
        <v>0</v>
      </c>
      <c r="AU11" s="36">
        <f t="shared" si="4"/>
        <v>0</v>
      </c>
      <c r="AV11" s="36">
        <f t="shared" si="4"/>
        <v>0</v>
      </c>
      <c r="AW11" s="36">
        <f t="shared" si="4"/>
        <v>0</v>
      </c>
      <c r="AX11" s="31">
        <f t="shared" si="0"/>
        <v>3.2120934382467334</v>
      </c>
      <c r="AY11" s="31">
        <f t="shared" si="1"/>
        <v>5.2579827272665085</v>
      </c>
      <c r="AZ11" s="31">
        <f t="shared" si="2"/>
        <v>4.0330438873144283</v>
      </c>
      <c r="BA11" s="31">
        <f t="shared" si="5"/>
        <v>2.0803371024286728</v>
      </c>
      <c r="BB11" s="33">
        <f t="shared" si="6"/>
        <v>0.22025596565002373</v>
      </c>
      <c r="BC11" s="33">
        <f t="shared" si="7"/>
        <v>0.3605443257582695</v>
      </c>
      <c r="BD11" s="33">
        <f t="shared" si="8"/>
        <v>0.27654923276273974</v>
      </c>
      <c r="BE11" s="33">
        <f t="shared" si="9"/>
        <v>0.14265047582896717</v>
      </c>
    </row>
    <row r="12" spans="1:57" x14ac:dyDescent="0.25">
      <c r="A12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>
        <f>J11</f>
        <v>1</v>
      </c>
      <c r="L12" s="28">
        <f t="shared" si="3"/>
        <v>0.90610552129666766</v>
      </c>
      <c r="M12" s="28">
        <f t="shared" si="3"/>
        <v>0.66474626792906999</v>
      </c>
      <c r="N12" s="29">
        <f t="shared" si="3"/>
        <v>0.64124164902099534</v>
      </c>
      <c r="O12" s="29">
        <f t="shared" si="3"/>
        <v>0.54117698347402432</v>
      </c>
      <c r="P12" s="29">
        <f t="shared" si="3"/>
        <v>0.51025933185167127</v>
      </c>
      <c r="Q12" s="29">
        <f t="shared" si="3"/>
        <v>0.48547932267442784</v>
      </c>
      <c r="R12" s="29">
        <f t="shared" si="3"/>
        <v>0.48005362409561342</v>
      </c>
      <c r="S12" s="29">
        <f t="shared" si="3"/>
        <v>0.45523186819788147</v>
      </c>
      <c r="T12" s="29">
        <f t="shared" si="3"/>
        <v>0.43928313237780964</v>
      </c>
      <c r="U12" s="29">
        <f t="shared" si="3"/>
        <v>0.42066745282380119</v>
      </c>
      <c r="V12" s="29">
        <f t="shared" si="3"/>
        <v>0.39950949995149343</v>
      </c>
      <c r="W12" s="29">
        <f t="shared" si="3"/>
        <v>0.39093144977203637</v>
      </c>
      <c r="X12" s="29">
        <f t="shared" ref="X12:AM14" si="11">W11</f>
        <v>0.38291069585435045</v>
      </c>
      <c r="Y12" s="29">
        <f t="shared" si="11"/>
        <v>0.38076321767921684</v>
      </c>
      <c r="Z12" s="30">
        <f t="shared" si="11"/>
        <v>0.37171614851418178</v>
      </c>
      <c r="AA12" s="30">
        <f t="shared" si="11"/>
        <v>0.37270488492172443</v>
      </c>
      <c r="AB12" s="30">
        <f t="shared" si="11"/>
        <v>0.36774932743560501</v>
      </c>
      <c r="AC12" s="30">
        <f t="shared" si="11"/>
        <v>0.35839558256737353</v>
      </c>
      <c r="AD12" s="30">
        <f t="shared" si="11"/>
        <v>0.35426123129529563</v>
      </c>
      <c r="AE12" s="30">
        <f t="shared" si="11"/>
        <v>0.34211474253910101</v>
      </c>
      <c r="AF12" s="30">
        <f t="shared" si="11"/>
        <v>0.34238762623392033</v>
      </c>
      <c r="AG12" s="30">
        <f t="shared" si="11"/>
        <v>0.33485906539725552</v>
      </c>
      <c r="AH12" s="30">
        <f t="shared" si="11"/>
        <v>0.32131583307677547</v>
      </c>
      <c r="AI12" s="30">
        <f t="shared" si="11"/>
        <v>0.32349067713152857</v>
      </c>
      <c r="AJ12" s="30">
        <f t="shared" si="11"/>
        <v>0.30974679620133722</v>
      </c>
      <c r="AK12" s="30">
        <f t="shared" si="11"/>
        <v>0.30422886021404322</v>
      </c>
      <c r="AL12" s="36">
        <f t="shared" si="11"/>
        <v>0.30178926030046821</v>
      </c>
      <c r="AM12" s="36">
        <f t="shared" si="11"/>
        <v>0.29355912461272771</v>
      </c>
      <c r="AN12" s="36">
        <f t="shared" si="4"/>
        <v>0.29311976616354662</v>
      </c>
      <c r="AO12" s="36">
        <f t="shared" si="4"/>
        <v>0.28546484462963512</v>
      </c>
      <c r="AP12" s="36">
        <f t="shared" si="4"/>
        <v>0.28257423318515756</v>
      </c>
      <c r="AQ12" s="36">
        <f t="shared" si="4"/>
        <v>0.27769204186745183</v>
      </c>
      <c r="AR12" s="36">
        <f t="shared" si="4"/>
        <v>0.26899216431934214</v>
      </c>
      <c r="AS12" s="36">
        <f t="shared" si="4"/>
        <v>0.22542894965502608</v>
      </c>
      <c r="AT12" s="36">
        <f t="shared" si="4"/>
        <v>0.1535059779957855</v>
      </c>
      <c r="AU12" s="36">
        <f t="shared" si="4"/>
        <v>0</v>
      </c>
      <c r="AV12" s="36">
        <f t="shared" si="4"/>
        <v>0</v>
      </c>
      <c r="AW12" s="36">
        <f t="shared" si="4"/>
        <v>0</v>
      </c>
      <c r="AX12" s="31">
        <f t="shared" si="0"/>
        <v>2.5708517892257379</v>
      </c>
      <c r="AY12" s="31">
        <f t="shared" si="1"/>
        <v>5.5275082277733212</v>
      </c>
      <c r="AZ12" s="31">
        <f t="shared" si="2"/>
        <v>4.1029707755281413</v>
      </c>
      <c r="BA12" s="31">
        <f t="shared" si="5"/>
        <v>2.3821263627291409</v>
      </c>
      <c r="BB12" s="33">
        <f t="shared" si="6"/>
        <v>0.17628548305496416</v>
      </c>
      <c r="BC12" s="33">
        <f t="shared" si="7"/>
        <v>0.37902591744379566</v>
      </c>
      <c r="BD12" s="33">
        <f t="shared" si="8"/>
        <v>0.2813441786709196</v>
      </c>
      <c r="BE12" s="33">
        <f t="shared" si="9"/>
        <v>0.16334442083032052</v>
      </c>
    </row>
    <row r="13" spans="1:57" x14ac:dyDescent="0.25">
      <c r="A13" t="s">
        <v>19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>
        <f>K12</f>
        <v>1</v>
      </c>
      <c r="M13" s="28">
        <f t="shared" ref="M13:W14" si="12">L12</f>
        <v>0.90610552129666766</v>
      </c>
      <c r="N13" s="29">
        <f t="shared" si="12"/>
        <v>0.66474626792906999</v>
      </c>
      <c r="O13" s="29">
        <f t="shared" si="12"/>
        <v>0.64124164902099534</v>
      </c>
      <c r="P13" s="29">
        <f t="shared" si="12"/>
        <v>0.54117698347402432</v>
      </c>
      <c r="Q13" s="29">
        <f t="shared" si="12"/>
        <v>0.51025933185167127</v>
      </c>
      <c r="R13" s="29">
        <f t="shared" si="12"/>
        <v>0.48547932267442784</v>
      </c>
      <c r="S13" s="29">
        <f t="shared" si="12"/>
        <v>0.48005362409561342</v>
      </c>
      <c r="T13" s="29">
        <f t="shared" si="12"/>
        <v>0.45523186819788147</v>
      </c>
      <c r="U13" s="29">
        <f t="shared" si="12"/>
        <v>0.43928313237780964</v>
      </c>
      <c r="V13" s="29">
        <f t="shared" si="12"/>
        <v>0.42066745282380119</v>
      </c>
      <c r="W13" s="29">
        <f t="shared" si="12"/>
        <v>0.39950949995149343</v>
      </c>
      <c r="X13" s="29">
        <f t="shared" si="11"/>
        <v>0.39093144977203637</v>
      </c>
      <c r="Y13" s="29">
        <f t="shared" si="11"/>
        <v>0.38291069585435045</v>
      </c>
      <c r="Z13" s="30">
        <f t="shared" si="11"/>
        <v>0.38076321767921684</v>
      </c>
      <c r="AA13" s="30">
        <f t="shared" si="11"/>
        <v>0.37171614851418178</v>
      </c>
      <c r="AB13" s="30">
        <f t="shared" si="11"/>
        <v>0.37270488492172443</v>
      </c>
      <c r="AC13" s="30">
        <f t="shared" si="11"/>
        <v>0.36774932743560501</v>
      </c>
      <c r="AD13" s="30">
        <f t="shared" si="11"/>
        <v>0.35839558256737353</v>
      </c>
      <c r="AE13" s="30">
        <f t="shared" si="11"/>
        <v>0.35426123129529563</v>
      </c>
      <c r="AF13" s="30">
        <f t="shared" si="11"/>
        <v>0.34211474253910101</v>
      </c>
      <c r="AG13" s="30">
        <f t="shared" si="11"/>
        <v>0.34238762623392033</v>
      </c>
      <c r="AH13" s="30">
        <f t="shared" si="11"/>
        <v>0.33485906539725552</v>
      </c>
      <c r="AI13" s="30">
        <f t="shared" si="11"/>
        <v>0.32131583307677547</v>
      </c>
      <c r="AJ13" s="30">
        <f t="shared" si="11"/>
        <v>0.32349067713152857</v>
      </c>
      <c r="AK13" s="30">
        <f t="shared" si="11"/>
        <v>0.30974679620133722</v>
      </c>
      <c r="AL13" s="36">
        <f t="shared" si="4"/>
        <v>0.30422886021404322</v>
      </c>
      <c r="AM13" s="36">
        <f t="shared" si="4"/>
        <v>0.30178926030046821</v>
      </c>
      <c r="AN13" s="36">
        <f t="shared" si="4"/>
        <v>0.29355912461272771</v>
      </c>
      <c r="AO13" s="36">
        <f t="shared" si="4"/>
        <v>0.29311976616354662</v>
      </c>
      <c r="AP13" s="36">
        <f t="shared" si="4"/>
        <v>0.28546484462963512</v>
      </c>
      <c r="AQ13" s="36">
        <f t="shared" si="4"/>
        <v>0.28257423318515756</v>
      </c>
      <c r="AR13" s="36">
        <f t="shared" si="4"/>
        <v>0.27769204186745183</v>
      </c>
      <c r="AS13" s="36">
        <f t="shared" si="4"/>
        <v>0.26899216431934214</v>
      </c>
      <c r="AT13" s="36">
        <f t="shared" si="4"/>
        <v>0.22542894965502608</v>
      </c>
      <c r="AU13" s="36">
        <f t="shared" si="4"/>
        <v>0.1535059779957855</v>
      </c>
      <c r="AV13" s="36">
        <f t="shared" si="4"/>
        <v>0</v>
      </c>
      <c r="AW13" s="36">
        <f t="shared" si="4"/>
        <v>0</v>
      </c>
      <c r="AX13" s="31">
        <f t="shared" si="0"/>
        <v>1.9061055212966678</v>
      </c>
      <c r="AY13" s="31">
        <f t="shared" si="1"/>
        <v>5.8114912780231744</v>
      </c>
      <c r="AZ13" s="31">
        <f t="shared" si="2"/>
        <v>4.1795051329933148</v>
      </c>
      <c r="BA13" s="31">
        <f t="shared" si="5"/>
        <v>2.6863552229431842</v>
      </c>
      <c r="BB13" s="33">
        <f t="shared" si="6"/>
        <v>0.13070326884799374</v>
      </c>
      <c r="BC13" s="33">
        <f t="shared" si="7"/>
        <v>0.3984988755515031</v>
      </c>
      <c r="BD13" s="33">
        <f t="shared" si="8"/>
        <v>0.286592204337974</v>
      </c>
      <c r="BE13" s="33">
        <f t="shared" si="9"/>
        <v>0.18420565126252908</v>
      </c>
    </row>
    <row r="14" spans="1:57" x14ac:dyDescent="0.25">
      <c r="A14" t="s">
        <v>20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>
        <f>L13</f>
        <v>1</v>
      </c>
      <c r="N14" s="29">
        <f t="shared" si="12"/>
        <v>0.90610552129666766</v>
      </c>
      <c r="O14" s="29">
        <f t="shared" si="12"/>
        <v>0.66474626792906999</v>
      </c>
      <c r="P14" s="29">
        <f t="shared" si="12"/>
        <v>0.64124164902099534</v>
      </c>
      <c r="Q14" s="29">
        <f t="shared" si="12"/>
        <v>0.54117698347402432</v>
      </c>
      <c r="R14" s="29">
        <f t="shared" si="12"/>
        <v>0.51025933185167127</v>
      </c>
      <c r="S14" s="29">
        <f t="shared" si="12"/>
        <v>0.48547932267442784</v>
      </c>
      <c r="T14" s="29">
        <f t="shared" si="12"/>
        <v>0.48005362409561342</v>
      </c>
      <c r="U14" s="29">
        <f t="shared" si="12"/>
        <v>0.45523186819788147</v>
      </c>
      <c r="V14" s="29">
        <f t="shared" si="12"/>
        <v>0.43928313237780964</v>
      </c>
      <c r="W14" s="29">
        <f t="shared" si="12"/>
        <v>0.42066745282380119</v>
      </c>
      <c r="X14" s="29">
        <f t="shared" si="11"/>
        <v>0.39950949995149343</v>
      </c>
      <c r="Y14" s="29">
        <f t="shared" si="11"/>
        <v>0.39093144977203637</v>
      </c>
      <c r="Z14" s="30">
        <f t="shared" si="11"/>
        <v>0.38291069585435045</v>
      </c>
      <c r="AA14" s="30">
        <f t="shared" si="11"/>
        <v>0.38076321767921684</v>
      </c>
      <c r="AB14" s="30">
        <f t="shared" si="11"/>
        <v>0.37171614851418178</v>
      </c>
      <c r="AC14" s="30">
        <f t="shared" si="11"/>
        <v>0.37270488492172443</v>
      </c>
      <c r="AD14" s="30">
        <f t="shared" si="11"/>
        <v>0.36774932743560501</v>
      </c>
      <c r="AE14" s="30">
        <f t="shared" si="11"/>
        <v>0.35839558256737353</v>
      </c>
      <c r="AF14" s="30">
        <f t="shared" si="11"/>
        <v>0.35426123129529563</v>
      </c>
      <c r="AG14" s="30">
        <f t="shared" si="11"/>
        <v>0.34211474253910101</v>
      </c>
      <c r="AH14" s="30">
        <f t="shared" si="11"/>
        <v>0.34238762623392033</v>
      </c>
      <c r="AI14" s="30">
        <f t="shared" si="11"/>
        <v>0.33485906539725552</v>
      </c>
      <c r="AJ14" s="30">
        <f t="shared" si="11"/>
        <v>0.32131583307677547</v>
      </c>
      <c r="AK14" s="30">
        <f t="shared" si="11"/>
        <v>0.32349067713152857</v>
      </c>
      <c r="AL14" s="36">
        <f t="shared" si="4"/>
        <v>0.30974679620133722</v>
      </c>
      <c r="AM14" s="36">
        <f t="shared" si="4"/>
        <v>0.30422886021404322</v>
      </c>
      <c r="AN14" s="36">
        <f t="shared" si="4"/>
        <v>0.30178926030046821</v>
      </c>
      <c r="AO14" s="36">
        <f t="shared" si="4"/>
        <v>0.29355912461272771</v>
      </c>
      <c r="AP14" s="36">
        <f t="shared" si="4"/>
        <v>0.29311976616354662</v>
      </c>
      <c r="AQ14" s="36">
        <f t="shared" si="4"/>
        <v>0.28546484462963512</v>
      </c>
      <c r="AR14" s="36">
        <f t="shared" si="4"/>
        <v>0.28257423318515756</v>
      </c>
      <c r="AS14" s="36">
        <f t="shared" si="4"/>
        <v>0.27769204186745183</v>
      </c>
      <c r="AT14" s="36">
        <f t="shared" si="4"/>
        <v>0.26899216431934214</v>
      </c>
      <c r="AU14" s="36">
        <f t="shared" si="4"/>
        <v>0.22542894965502608</v>
      </c>
      <c r="AV14" s="36">
        <f t="shared" si="4"/>
        <v>0.1535059779957855</v>
      </c>
      <c r="AW14" s="36">
        <f t="shared" si="4"/>
        <v>0</v>
      </c>
      <c r="AX14" s="31">
        <f t="shared" si="0"/>
        <v>1</v>
      </c>
      <c r="AY14" s="31">
        <f t="shared" si="1"/>
        <v>6.3346861034654927</v>
      </c>
      <c r="AZ14" s="31">
        <f t="shared" si="2"/>
        <v>4.2526690326463283</v>
      </c>
      <c r="BA14" s="31">
        <f t="shared" si="5"/>
        <v>2.9961020191445211</v>
      </c>
      <c r="BB14" s="33">
        <f t="shared" si="6"/>
        <v>6.857084636063597E-2</v>
      </c>
      <c r="BC14" s="33">
        <f t="shared" si="7"/>
        <v>0.43437478754358805</v>
      </c>
      <c r="BD14" s="33">
        <f t="shared" si="8"/>
        <v>0.29160911486022578</v>
      </c>
      <c r="BE14" s="33">
        <f t="shared" si="9"/>
        <v>0.20544525123555019</v>
      </c>
    </row>
    <row r="16" spans="1:57" hidden="1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53" hidden="1" x14ac:dyDescent="0.25">
      <c r="A17">
        <v>0</v>
      </c>
      <c r="B17" s="20">
        <v>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53" hidden="1" x14ac:dyDescent="0.25">
      <c r="A18">
        <v>1</v>
      </c>
      <c r="B18" s="20">
        <v>0.90610552129666766</v>
      </c>
      <c r="C18" s="20">
        <v>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AX18" s="34">
        <v>0.48142397055440539</v>
      </c>
      <c r="AY18" s="35">
        <v>0.29005636070853463</v>
      </c>
      <c r="AZ18" s="35">
        <v>0.18946974925235796</v>
      </c>
      <c r="BA18" s="35"/>
    </row>
    <row r="19" spans="1:53" hidden="1" x14ac:dyDescent="0.25">
      <c r="A19">
        <v>2</v>
      </c>
      <c r="B19" s="20">
        <v>0.66474626792906999</v>
      </c>
      <c r="C19" s="20">
        <v>0.90610552129666766</v>
      </c>
      <c r="D19" s="20">
        <v>1</v>
      </c>
      <c r="E19" s="20"/>
      <c r="F19" s="20"/>
      <c r="G19" s="20"/>
      <c r="H19" s="20"/>
      <c r="I19" s="20"/>
      <c r="J19" s="20"/>
      <c r="K19" s="20"/>
      <c r="L19" s="20"/>
      <c r="M19" s="20"/>
    </row>
    <row r="20" spans="1:53" hidden="1" x14ac:dyDescent="0.25">
      <c r="A20">
        <v>3</v>
      </c>
      <c r="B20" s="20">
        <v>0.64124164902099534</v>
      </c>
      <c r="C20" s="20">
        <v>0.66474626792906999</v>
      </c>
      <c r="D20" s="20">
        <v>0.90610552129666766</v>
      </c>
      <c r="E20" s="20">
        <v>1</v>
      </c>
      <c r="F20" s="20"/>
      <c r="G20" s="20"/>
      <c r="H20" s="20"/>
      <c r="I20" s="20"/>
      <c r="J20" s="20"/>
      <c r="K20" s="20"/>
      <c r="L20" s="20"/>
      <c r="M20" s="20"/>
    </row>
    <row r="21" spans="1:53" hidden="1" x14ac:dyDescent="0.25">
      <c r="A21">
        <v>4</v>
      </c>
      <c r="B21" s="20">
        <v>0.54117698347402432</v>
      </c>
      <c r="C21" s="20">
        <v>0.64124164902099534</v>
      </c>
      <c r="D21" s="20">
        <v>0.66474626792906999</v>
      </c>
      <c r="E21" s="20">
        <v>0.90610552129666766</v>
      </c>
      <c r="F21" s="20">
        <v>1</v>
      </c>
      <c r="G21" s="20"/>
      <c r="H21" s="20"/>
      <c r="I21" s="20"/>
      <c r="J21" s="20"/>
      <c r="K21" s="20"/>
      <c r="L21" s="20"/>
      <c r="M21" s="20"/>
    </row>
    <row r="22" spans="1:53" hidden="1" x14ac:dyDescent="0.25">
      <c r="A22">
        <v>5</v>
      </c>
      <c r="B22" s="20">
        <v>0.51025933185167127</v>
      </c>
      <c r="C22" s="20">
        <v>0.54117698347402432</v>
      </c>
      <c r="D22" s="20">
        <v>0.64124164902099534</v>
      </c>
      <c r="E22" s="20">
        <v>0.66474626792906999</v>
      </c>
      <c r="F22" s="20">
        <v>0.90610552129666766</v>
      </c>
      <c r="G22" s="20">
        <v>1</v>
      </c>
      <c r="H22" s="20"/>
      <c r="I22" s="20"/>
      <c r="J22" s="20"/>
      <c r="K22" s="20"/>
      <c r="L22" s="20"/>
      <c r="M22" s="20"/>
    </row>
    <row r="23" spans="1:53" hidden="1" x14ac:dyDescent="0.25">
      <c r="A23">
        <v>6</v>
      </c>
      <c r="B23" s="20">
        <v>0.48547932267442784</v>
      </c>
      <c r="C23" s="20">
        <v>0.51025933185167127</v>
      </c>
      <c r="D23" s="20">
        <v>0.54117698347402432</v>
      </c>
      <c r="E23" s="20">
        <v>0.64124164902099534</v>
      </c>
      <c r="F23" s="20">
        <v>0.66474626792906999</v>
      </c>
      <c r="G23" s="20">
        <v>0.90610552129666766</v>
      </c>
      <c r="H23" s="20">
        <v>1</v>
      </c>
      <c r="I23" s="20"/>
      <c r="J23" s="20"/>
      <c r="K23" s="20"/>
      <c r="L23" s="20"/>
      <c r="M23" s="20"/>
    </row>
    <row r="24" spans="1:53" hidden="1" x14ac:dyDescent="0.25">
      <c r="A24">
        <v>7</v>
      </c>
      <c r="B24" s="20">
        <v>0.48005362409561342</v>
      </c>
      <c r="C24" s="20">
        <v>0.48547932267442784</v>
      </c>
      <c r="D24" s="20">
        <v>0.51025933185167127</v>
      </c>
      <c r="E24" s="20">
        <v>0.54117698347402432</v>
      </c>
      <c r="F24" s="20">
        <v>0.64124164902099534</v>
      </c>
      <c r="G24" s="20">
        <v>0.66474626792906999</v>
      </c>
      <c r="H24" s="20">
        <v>0.90610552129666766</v>
      </c>
      <c r="I24" s="20">
        <v>1</v>
      </c>
      <c r="J24" s="20"/>
      <c r="K24" s="20"/>
      <c r="L24" s="20"/>
      <c r="M24" s="20"/>
    </row>
    <row r="25" spans="1:53" hidden="1" x14ac:dyDescent="0.25">
      <c r="A25">
        <v>8</v>
      </c>
      <c r="B25" s="20">
        <v>0.45523186819788147</v>
      </c>
      <c r="C25" s="20">
        <v>0.48005362409561342</v>
      </c>
      <c r="D25" s="20">
        <v>0.48547932267442784</v>
      </c>
      <c r="E25" s="20">
        <v>0.51025933185167127</v>
      </c>
      <c r="F25" s="20">
        <v>0.54117698347402432</v>
      </c>
      <c r="G25" s="20">
        <v>0.64124164902099534</v>
      </c>
      <c r="H25" s="20">
        <v>0.66474626792906999</v>
      </c>
      <c r="I25" s="20">
        <v>0.90610552129666766</v>
      </c>
      <c r="J25" s="20">
        <v>1</v>
      </c>
      <c r="K25" s="20"/>
      <c r="L25" s="20"/>
      <c r="M25" s="20"/>
    </row>
    <row r="26" spans="1:53" hidden="1" x14ac:dyDescent="0.25">
      <c r="A26">
        <v>9</v>
      </c>
      <c r="B26" s="20">
        <v>0.43928313237780964</v>
      </c>
      <c r="C26" s="20">
        <v>0.45523186819788147</v>
      </c>
      <c r="D26" s="20">
        <v>0.48005362409561342</v>
      </c>
      <c r="E26" s="20">
        <v>0.48547932267442784</v>
      </c>
      <c r="F26" s="20">
        <v>0.51025933185167127</v>
      </c>
      <c r="G26" s="20">
        <v>0.54117698347402432</v>
      </c>
      <c r="H26" s="20">
        <v>0.64124164902099534</v>
      </c>
      <c r="I26" s="20">
        <v>0.66474626792906999</v>
      </c>
      <c r="J26" s="20">
        <v>0.90610552129666766</v>
      </c>
      <c r="K26" s="20">
        <v>1</v>
      </c>
      <c r="L26" s="20"/>
      <c r="M26" s="20"/>
    </row>
    <row r="27" spans="1:53" hidden="1" x14ac:dyDescent="0.25">
      <c r="A27">
        <v>10</v>
      </c>
      <c r="B27" s="20">
        <v>0.42066745282380119</v>
      </c>
      <c r="C27" s="20">
        <v>0.43928313237780964</v>
      </c>
      <c r="D27" s="20">
        <v>0.45523186819788147</v>
      </c>
      <c r="E27" s="20">
        <v>0.48005362409561342</v>
      </c>
      <c r="F27" s="20">
        <v>0.48547932267442784</v>
      </c>
      <c r="G27" s="20">
        <v>0.51025933185167127</v>
      </c>
      <c r="H27" s="20">
        <v>0.54117698347402432</v>
      </c>
      <c r="I27" s="20">
        <v>0.64124164902099534</v>
      </c>
      <c r="J27" s="20">
        <v>0.66474626792906999</v>
      </c>
      <c r="K27" s="20">
        <v>0.90610552129666766</v>
      </c>
      <c r="L27" s="20">
        <v>1</v>
      </c>
      <c r="M27" s="20"/>
    </row>
    <row r="28" spans="1:53" hidden="1" x14ac:dyDescent="0.25">
      <c r="A28">
        <v>11</v>
      </c>
      <c r="B28" s="20">
        <v>0.39950949995149343</v>
      </c>
      <c r="C28" s="20">
        <v>0.42066745282380119</v>
      </c>
      <c r="D28" s="20">
        <v>0.43928313237780964</v>
      </c>
      <c r="E28" s="20">
        <v>0.45523186819788147</v>
      </c>
      <c r="F28" s="20">
        <v>0.48005362409561342</v>
      </c>
      <c r="G28" s="20">
        <v>0.48547932267442784</v>
      </c>
      <c r="H28" s="20">
        <v>0.51025933185167127</v>
      </c>
      <c r="I28" s="20">
        <v>0.54117698347402432</v>
      </c>
      <c r="J28" s="20">
        <v>0.64124164902099534</v>
      </c>
      <c r="K28" s="20">
        <v>0.66474626792906999</v>
      </c>
      <c r="L28" s="20">
        <v>0.90610552129666766</v>
      </c>
      <c r="M28" s="20">
        <v>1</v>
      </c>
    </row>
    <row r="29" spans="1:53" hidden="1" x14ac:dyDescent="0.25">
      <c r="A29">
        <v>12</v>
      </c>
      <c r="B29" s="20">
        <v>0.39093144977203637</v>
      </c>
      <c r="C29" s="20">
        <v>0.39950949995149343</v>
      </c>
      <c r="D29" s="20">
        <v>0.42066745282380119</v>
      </c>
      <c r="E29" s="20">
        <v>0.43928313237780964</v>
      </c>
      <c r="F29" s="20">
        <v>0.45523186819788147</v>
      </c>
      <c r="G29" s="20">
        <v>0.48005362409561342</v>
      </c>
      <c r="H29" s="20">
        <v>0.48547932267442784</v>
      </c>
      <c r="I29" s="20">
        <v>0.51025933185167127</v>
      </c>
      <c r="J29" s="20">
        <v>0.54117698347402432</v>
      </c>
      <c r="K29" s="20">
        <v>0.64124164902099534</v>
      </c>
      <c r="L29" s="20">
        <v>0.66474626792906999</v>
      </c>
      <c r="M29" s="20">
        <v>0.90610552129666766</v>
      </c>
    </row>
    <row r="30" spans="1:53" hidden="1" x14ac:dyDescent="0.25">
      <c r="A30">
        <v>13</v>
      </c>
      <c r="B30" s="20">
        <v>0.38291069585435045</v>
      </c>
      <c r="C30" s="20">
        <v>0.39093144977203637</v>
      </c>
      <c r="D30" s="20">
        <v>0.39950949995149343</v>
      </c>
      <c r="E30" s="20">
        <v>0.42066745282380119</v>
      </c>
      <c r="F30" s="20">
        <v>0.43928313237780964</v>
      </c>
      <c r="G30" s="20">
        <v>0.45523186819788147</v>
      </c>
      <c r="H30" s="20">
        <v>0.48005362409561342</v>
      </c>
      <c r="I30" s="20">
        <v>0.48547932267442784</v>
      </c>
      <c r="J30" s="20">
        <v>0.51025933185167127</v>
      </c>
      <c r="K30" s="20">
        <v>0.54117698347402432</v>
      </c>
      <c r="L30" s="20">
        <v>0.64124164902099534</v>
      </c>
      <c r="M30" s="20">
        <v>0.66474626792906999</v>
      </c>
    </row>
    <row r="31" spans="1:53" hidden="1" x14ac:dyDescent="0.25">
      <c r="A31">
        <v>14</v>
      </c>
      <c r="B31" s="20">
        <v>0.38076321767921684</v>
      </c>
      <c r="C31" s="20">
        <v>0.38291069585435045</v>
      </c>
      <c r="D31" s="20">
        <v>0.39093144977203637</v>
      </c>
      <c r="E31" s="20">
        <v>0.39950949995149343</v>
      </c>
      <c r="F31" s="20">
        <v>0.42066745282380119</v>
      </c>
      <c r="G31" s="20">
        <v>0.43928313237780964</v>
      </c>
      <c r="H31" s="20">
        <v>0.45523186819788147</v>
      </c>
      <c r="I31" s="20">
        <v>0.48005362409561342</v>
      </c>
      <c r="J31" s="20">
        <v>0.48547932267442784</v>
      </c>
      <c r="K31" s="20">
        <v>0.51025933185167127</v>
      </c>
      <c r="L31" s="20">
        <v>0.54117698347402432</v>
      </c>
      <c r="M31" s="20">
        <v>0.64124164902099534</v>
      </c>
    </row>
    <row r="32" spans="1:53" hidden="1" x14ac:dyDescent="0.25">
      <c r="A32">
        <v>15</v>
      </c>
      <c r="B32" s="20">
        <v>0.37171614851418178</v>
      </c>
      <c r="C32" s="20">
        <v>0.38076321767921684</v>
      </c>
      <c r="D32" s="20">
        <v>0.38291069585435045</v>
      </c>
      <c r="E32" s="20">
        <v>0.39093144977203637</v>
      </c>
      <c r="F32" s="20">
        <v>0.39950949995149343</v>
      </c>
      <c r="G32" s="20">
        <v>0.42066745282380119</v>
      </c>
      <c r="H32" s="20">
        <v>0.43928313237780964</v>
      </c>
      <c r="I32" s="20">
        <v>0.45523186819788147</v>
      </c>
      <c r="J32" s="20">
        <v>0.48005362409561342</v>
      </c>
      <c r="K32" s="20">
        <v>0.48547932267442784</v>
      </c>
      <c r="L32" s="20">
        <v>0.51025933185167127</v>
      </c>
      <c r="M32" s="20">
        <v>0.54117698347402432</v>
      </c>
    </row>
    <row r="33" spans="1:13" hidden="1" x14ac:dyDescent="0.25">
      <c r="A33">
        <v>16</v>
      </c>
      <c r="B33" s="20">
        <v>0.37270488492172443</v>
      </c>
      <c r="C33" s="20">
        <v>0.37171614851418178</v>
      </c>
      <c r="D33" s="20">
        <v>0.38076321767921684</v>
      </c>
      <c r="E33" s="20">
        <v>0.38291069585435045</v>
      </c>
      <c r="F33" s="20">
        <v>0.39093144977203637</v>
      </c>
      <c r="G33" s="20">
        <v>0.39950949995149343</v>
      </c>
      <c r="H33" s="20">
        <v>0.42066745282380119</v>
      </c>
      <c r="I33" s="20">
        <v>0.43928313237780964</v>
      </c>
      <c r="J33" s="20">
        <v>0.45523186819788147</v>
      </c>
      <c r="K33" s="20">
        <v>0.48005362409561342</v>
      </c>
      <c r="L33" s="20">
        <v>0.48547932267442784</v>
      </c>
      <c r="M33" s="20">
        <v>0.51025933185167127</v>
      </c>
    </row>
    <row r="34" spans="1:13" hidden="1" x14ac:dyDescent="0.25">
      <c r="A34">
        <v>17</v>
      </c>
      <c r="B34" s="20">
        <v>0.36774932743560501</v>
      </c>
      <c r="C34" s="20">
        <v>0.37270488492172443</v>
      </c>
      <c r="D34" s="20">
        <v>0.37171614851418178</v>
      </c>
      <c r="E34" s="20">
        <v>0.38076321767921684</v>
      </c>
      <c r="F34" s="20">
        <v>0.38291069585435045</v>
      </c>
      <c r="G34" s="20">
        <v>0.39093144977203637</v>
      </c>
      <c r="H34" s="20">
        <v>0.39950949995149343</v>
      </c>
      <c r="I34" s="20">
        <v>0.42066745282380119</v>
      </c>
      <c r="J34" s="20">
        <v>0.43928313237780964</v>
      </c>
      <c r="K34" s="20">
        <v>0.45523186819788147</v>
      </c>
      <c r="L34" s="20">
        <v>0.48005362409561342</v>
      </c>
      <c r="M34" s="20">
        <v>0.48547932267442784</v>
      </c>
    </row>
    <row r="35" spans="1:13" hidden="1" x14ac:dyDescent="0.25">
      <c r="A35">
        <v>18</v>
      </c>
      <c r="B35" s="20">
        <v>0.35839558256737353</v>
      </c>
      <c r="C35" s="20">
        <v>0.36774932743560501</v>
      </c>
      <c r="D35" s="20">
        <v>0.37270488492172443</v>
      </c>
      <c r="E35" s="20">
        <v>0.37171614851418178</v>
      </c>
      <c r="F35" s="20">
        <v>0.38076321767921684</v>
      </c>
      <c r="G35" s="20">
        <v>0.38291069585435045</v>
      </c>
      <c r="H35" s="20">
        <v>0.39093144977203637</v>
      </c>
      <c r="I35" s="20">
        <v>0.39950949995149343</v>
      </c>
      <c r="J35" s="20">
        <v>0.42066745282380119</v>
      </c>
      <c r="K35" s="20">
        <v>0.43928313237780964</v>
      </c>
      <c r="L35" s="20">
        <v>0.45523186819788147</v>
      </c>
      <c r="M35" s="20">
        <v>0.48005362409561342</v>
      </c>
    </row>
    <row r="36" spans="1:13" hidden="1" x14ac:dyDescent="0.25">
      <c r="A36">
        <v>19</v>
      </c>
      <c r="B36" s="20">
        <v>0.35426123129529563</v>
      </c>
      <c r="C36" s="20">
        <v>0.35839558256737353</v>
      </c>
      <c r="D36" s="20">
        <v>0.36774932743560501</v>
      </c>
      <c r="E36" s="20">
        <v>0.37270488492172443</v>
      </c>
      <c r="F36" s="20">
        <v>0.37171614851418178</v>
      </c>
      <c r="G36" s="20">
        <v>0.38076321767921684</v>
      </c>
      <c r="H36" s="20">
        <v>0.38291069585435045</v>
      </c>
      <c r="I36" s="20">
        <v>0.39093144977203637</v>
      </c>
      <c r="J36" s="20">
        <v>0.39950949995149343</v>
      </c>
      <c r="K36" s="20">
        <v>0.42066745282380119</v>
      </c>
      <c r="L36" s="20">
        <v>0.43928313237780964</v>
      </c>
      <c r="M36" s="20">
        <v>0.45523186819788147</v>
      </c>
    </row>
    <row r="37" spans="1:13" hidden="1" x14ac:dyDescent="0.25">
      <c r="A37">
        <v>20</v>
      </c>
      <c r="B37" s="20">
        <v>0.34211474253910101</v>
      </c>
      <c r="C37" s="20">
        <v>0.35426123129529563</v>
      </c>
      <c r="D37" s="20">
        <v>0.35839558256737353</v>
      </c>
      <c r="E37" s="20">
        <v>0.36774932743560501</v>
      </c>
      <c r="F37" s="20">
        <v>0.37270488492172443</v>
      </c>
      <c r="G37" s="20">
        <v>0.37171614851418178</v>
      </c>
      <c r="H37" s="20">
        <v>0.38076321767921684</v>
      </c>
      <c r="I37" s="20">
        <v>0.38291069585435045</v>
      </c>
      <c r="J37" s="20">
        <v>0.39093144977203637</v>
      </c>
      <c r="K37" s="20">
        <v>0.39950949995149343</v>
      </c>
      <c r="L37" s="20">
        <v>0.42066745282380119</v>
      </c>
      <c r="M37" s="20">
        <v>0.43928313237780964</v>
      </c>
    </row>
    <row r="38" spans="1:13" hidden="1" x14ac:dyDescent="0.25">
      <c r="A38">
        <v>21</v>
      </c>
      <c r="B38" s="20">
        <v>0.34238762623392033</v>
      </c>
      <c r="C38" s="20">
        <v>0.34211474253910101</v>
      </c>
      <c r="D38" s="20">
        <v>0.35426123129529563</v>
      </c>
      <c r="E38" s="20">
        <v>0.35839558256737353</v>
      </c>
      <c r="F38" s="20">
        <v>0.36774932743560501</v>
      </c>
      <c r="G38" s="20">
        <v>0.37270488492172443</v>
      </c>
      <c r="H38" s="20">
        <v>0.37171614851418178</v>
      </c>
      <c r="I38" s="20">
        <v>0.38076321767921684</v>
      </c>
      <c r="J38" s="20">
        <v>0.38291069585435045</v>
      </c>
      <c r="K38" s="20">
        <v>0.39093144977203637</v>
      </c>
      <c r="L38" s="20">
        <v>0.39950949995149343</v>
      </c>
      <c r="M38" s="20">
        <v>0.42066745282380119</v>
      </c>
    </row>
    <row r="39" spans="1:13" hidden="1" x14ac:dyDescent="0.25">
      <c r="A39">
        <v>22</v>
      </c>
      <c r="B39" s="20">
        <v>0.33485906539725552</v>
      </c>
      <c r="C39" s="20">
        <v>0.34238762623392033</v>
      </c>
      <c r="D39" s="20">
        <v>0.34211474253910101</v>
      </c>
      <c r="E39" s="20">
        <v>0.35426123129529563</v>
      </c>
      <c r="F39" s="20">
        <v>0.35839558256737353</v>
      </c>
      <c r="G39" s="20">
        <v>0.36774932743560501</v>
      </c>
      <c r="H39" s="20">
        <v>0.37270488492172443</v>
      </c>
      <c r="I39" s="20">
        <v>0.37171614851418178</v>
      </c>
      <c r="J39" s="20">
        <v>0.38076321767921684</v>
      </c>
      <c r="K39" s="20">
        <v>0.38291069585435045</v>
      </c>
      <c r="L39" s="20">
        <v>0.39093144977203637</v>
      </c>
      <c r="M39" s="20">
        <v>0.39950949995149343</v>
      </c>
    </row>
    <row r="40" spans="1:13" hidden="1" x14ac:dyDescent="0.25">
      <c r="A40">
        <v>23</v>
      </c>
      <c r="B40" s="20">
        <v>0.32131583307677547</v>
      </c>
      <c r="C40" s="20">
        <v>0.33485906539725552</v>
      </c>
      <c r="D40" s="20">
        <v>0.34238762623392033</v>
      </c>
      <c r="E40" s="20">
        <v>0.34211474253910101</v>
      </c>
      <c r="F40" s="20">
        <v>0.35426123129529563</v>
      </c>
      <c r="G40" s="20">
        <v>0.35839558256737353</v>
      </c>
      <c r="H40" s="20">
        <v>0.36774932743560501</v>
      </c>
      <c r="I40" s="20">
        <v>0.37270488492172443</v>
      </c>
      <c r="J40" s="20">
        <v>0.37171614851418178</v>
      </c>
      <c r="K40" s="20">
        <v>0.38076321767921684</v>
      </c>
      <c r="L40" s="20">
        <v>0.38291069585435045</v>
      </c>
      <c r="M40" s="20">
        <v>0.39093144977203637</v>
      </c>
    </row>
    <row r="41" spans="1:13" hidden="1" x14ac:dyDescent="0.25">
      <c r="A41">
        <v>24</v>
      </c>
      <c r="B41" s="20">
        <v>0.32349067713152857</v>
      </c>
      <c r="C41" s="20">
        <v>0.32131583307677547</v>
      </c>
      <c r="D41" s="20">
        <v>0.33485906539725552</v>
      </c>
      <c r="E41" s="20">
        <v>0.34238762623392033</v>
      </c>
      <c r="F41" s="20">
        <v>0.34211474253910101</v>
      </c>
      <c r="G41" s="20">
        <v>0.35426123129529563</v>
      </c>
      <c r="H41" s="20">
        <v>0.35839558256737353</v>
      </c>
      <c r="I41" s="20">
        <v>0.36774932743560501</v>
      </c>
      <c r="J41" s="20">
        <v>0.37270488492172443</v>
      </c>
      <c r="K41" s="20">
        <v>0.37171614851418178</v>
      </c>
      <c r="L41" s="20">
        <v>0.38076321767921684</v>
      </c>
      <c r="M41" s="20">
        <v>0.38291069585435045</v>
      </c>
    </row>
    <row r="42" spans="1:13" hidden="1" x14ac:dyDescent="0.25">
      <c r="A42">
        <v>25</v>
      </c>
      <c r="B42" s="20">
        <v>0.30974679620133722</v>
      </c>
      <c r="C42" s="20">
        <v>0.32349067713152857</v>
      </c>
      <c r="D42" s="20">
        <v>0.32131583307677547</v>
      </c>
      <c r="E42" s="20">
        <v>0.33485906539725552</v>
      </c>
      <c r="F42" s="20">
        <v>0.34238762623392033</v>
      </c>
      <c r="G42" s="20">
        <v>0.34211474253910101</v>
      </c>
      <c r="H42" s="20">
        <v>0.35426123129529563</v>
      </c>
      <c r="I42" s="20">
        <v>0.35839558256737353</v>
      </c>
      <c r="J42" s="20">
        <v>0.36774932743560501</v>
      </c>
      <c r="K42" s="20">
        <v>0.37270488492172443</v>
      </c>
      <c r="L42" s="20">
        <v>0.37171614851418178</v>
      </c>
      <c r="M42" s="20">
        <v>0.38076321767921684</v>
      </c>
    </row>
    <row r="43" spans="1:13" hidden="1" x14ac:dyDescent="0.25">
      <c r="A43">
        <v>26</v>
      </c>
      <c r="B43" s="20">
        <v>0.30422886021404322</v>
      </c>
      <c r="C43" s="20">
        <v>0.30974679620133722</v>
      </c>
      <c r="D43" s="20">
        <v>0.32349067713152857</v>
      </c>
      <c r="E43" s="20">
        <v>0.32131583307677547</v>
      </c>
      <c r="F43" s="20">
        <v>0.33485906539725552</v>
      </c>
      <c r="G43" s="20">
        <v>0.34238762623392033</v>
      </c>
      <c r="H43" s="20">
        <v>0.34211474253910101</v>
      </c>
      <c r="I43" s="20">
        <v>0.35426123129529563</v>
      </c>
      <c r="J43" s="20">
        <v>0.35839558256737353</v>
      </c>
      <c r="K43" s="20">
        <v>0.36774932743560501</v>
      </c>
      <c r="L43" s="20">
        <v>0.37270488492172443</v>
      </c>
      <c r="M43" s="20">
        <v>0.37171614851418178</v>
      </c>
    </row>
    <row r="44" spans="1:13" hidden="1" x14ac:dyDescent="0.25">
      <c r="A44">
        <v>27</v>
      </c>
      <c r="B44" s="20">
        <v>0.30178926030046821</v>
      </c>
      <c r="C44" s="20">
        <v>0.30422886021404322</v>
      </c>
      <c r="D44" s="20">
        <v>0.30974679620133722</v>
      </c>
      <c r="E44" s="20">
        <v>0.32349067713152857</v>
      </c>
      <c r="F44" s="20">
        <v>0.32131583307677547</v>
      </c>
      <c r="G44" s="20">
        <v>0.33485906539725552</v>
      </c>
      <c r="H44" s="20">
        <v>0.34238762623392033</v>
      </c>
      <c r="I44" s="20">
        <v>0.34211474253910101</v>
      </c>
      <c r="J44" s="20">
        <v>0.35426123129529563</v>
      </c>
      <c r="K44" s="20">
        <v>0.35839558256737353</v>
      </c>
      <c r="L44" s="20">
        <v>0.36774932743560501</v>
      </c>
      <c r="M44" s="20">
        <v>0.37270488492172443</v>
      </c>
    </row>
    <row r="45" spans="1:13" hidden="1" x14ac:dyDescent="0.25">
      <c r="A45">
        <v>28</v>
      </c>
      <c r="B45" s="20">
        <v>0.29355912461272771</v>
      </c>
      <c r="C45" s="20">
        <v>0.30178926030046821</v>
      </c>
      <c r="D45" s="20">
        <v>0.30422886021404322</v>
      </c>
      <c r="E45" s="20">
        <v>0.30974679620133722</v>
      </c>
      <c r="F45" s="20">
        <v>0.32349067713152857</v>
      </c>
      <c r="G45" s="20">
        <v>0.32131583307677547</v>
      </c>
      <c r="H45" s="20">
        <v>0.33485906539725552</v>
      </c>
      <c r="I45" s="20">
        <v>0.34238762623392033</v>
      </c>
      <c r="J45" s="20">
        <v>0.34211474253910101</v>
      </c>
      <c r="K45" s="20">
        <v>0.35426123129529563</v>
      </c>
      <c r="L45" s="20">
        <v>0.35839558256737353</v>
      </c>
      <c r="M45" s="20">
        <v>0.36774932743560501</v>
      </c>
    </row>
    <row r="46" spans="1:13" hidden="1" x14ac:dyDescent="0.25">
      <c r="A46">
        <v>29</v>
      </c>
      <c r="B46" s="20">
        <v>0.29311976616354662</v>
      </c>
      <c r="C46" s="20">
        <v>0.29355912461272771</v>
      </c>
      <c r="D46" s="20">
        <v>0.30178926030046821</v>
      </c>
      <c r="E46" s="20">
        <v>0.30422886021404322</v>
      </c>
      <c r="F46" s="20">
        <v>0.30974679620133722</v>
      </c>
      <c r="G46" s="20">
        <v>0.32349067713152857</v>
      </c>
      <c r="H46" s="20">
        <v>0.32131583307677547</v>
      </c>
      <c r="I46" s="20">
        <v>0.33485906539725552</v>
      </c>
      <c r="J46" s="20">
        <v>0.34238762623392033</v>
      </c>
      <c r="K46" s="20">
        <v>0.34211474253910101</v>
      </c>
      <c r="L46" s="20">
        <v>0.35426123129529563</v>
      </c>
      <c r="M46" s="20">
        <v>0.35839558256737353</v>
      </c>
    </row>
    <row r="47" spans="1:13" hidden="1" x14ac:dyDescent="0.25">
      <c r="A47">
        <v>30</v>
      </c>
      <c r="B47" s="20">
        <v>0.28546484462963512</v>
      </c>
      <c r="C47" s="20">
        <v>0.29311976616354662</v>
      </c>
      <c r="D47" s="20">
        <v>0.29355912461272771</v>
      </c>
      <c r="E47" s="20">
        <v>0.30178926030046821</v>
      </c>
      <c r="F47" s="20">
        <v>0.30422886021404322</v>
      </c>
      <c r="G47" s="20">
        <v>0.30974679620133722</v>
      </c>
      <c r="H47" s="20">
        <v>0.32349067713152857</v>
      </c>
      <c r="I47" s="20">
        <v>0.32131583307677547</v>
      </c>
      <c r="J47" s="20">
        <v>0.33485906539725552</v>
      </c>
      <c r="K47" s="20">
        <v>0.34238762623392033</v>
      </c>
      <c r="L47" s="20">
        <v>0.34211474253910101</v>
      </c>
      <c r="M47" s="20">
        <v>0.35426123129529563</v>
      </c>
    </row>
    <row r="48" spans="1:13" hidden="1" x14ac:dyDescent="0.25">
      <c r="A48">
        <v>31</v>
      </c>
      <c r="B48" s="20">
        <v>0.28257423318515756</v>
      </c>
      <c r="C48" s="20">
        <v>0.28546484462963512</v>
      </c>
      <c r="D48" s="20">
        <v>0.29311976616354662</v>
      </c>
      <c r="E48" s="20">
        <v>0.29355912461272771</v>
      </c>
      <c r="F48" s="20">
        <v>0.30178926030046821</v>
      </c>
      <c r="G48" s="20">
        <v>0.30422886021404322</v>
      </c>
      <c r="H48" s="20">
        <v>0.30974679620133722</v>
      </c>
      <c r="I48" s="20">
        <v>0.32349067713152857</v>
      </c>
      <c r="J48" s="20">
        <v>0.32131583307677547</v>
      </c>
      <c r="K48" s="20">
        <v>0.33485906539725552</v>
      </c>
      <c r="L48" s="20">
        <v>0.34238762623392033</v>
      </c>
      <c r="M48" s="20">
        <v>0.34211474253910101</v>
      </c>
    </row>
    <row r="49" spans="1:13" hidden="1" x14ac:dyDescent="0.25">
      <c r="A49">
        <v>32</v>
      </c>
      <c r="B49" s="20">
        <v>0.27769204186745183</v>
      </c>
      <c r="C49" s="20">
        <v>0.28257423318515756</v>
      </c>
      <c r="D49" s="20">
        <v>0.28546484462963512</v>
      </c>
      <c r="E49" s="20">
        <v>0.29311976616354662</v>
      </c>
      <c r="F49" s="20">
        <v>0.29355912461272771</v>
      </c>
      <c r="G49" s="20">
        <v>0.30178926030046821</v>
      </c>
      <c r="H49" s="20">
        <v>0.30422886021404322</v>
      </c>
      <c r="I49" s="20">
        <v>0.30974679620133722</v>
      </c>
      <c r="J49" s="20">
        <v>0.32349067713152857</v>
      </c>
      <c r="K49" s="20">
        <v>0.32131583307677547</v>
      </c>
      <c r="L49" s="20">
        <v>0.33485906539725552</v>
      </c>
      <c r="M49" s="20">
        <v>0.34238762623392033</v>
      </c>
    </row>
    <row r="50" spans="1:13" hidden="1" x14ac:dyDescent="0.25">
      <c r="A50">
        <v>33</v>
      </c>
      <c r="B50" s="20">
        <v>0.26899216431934214</v>
      </c>
      <c r="C50" s="20">
        <v>0.27769204186745183</v>
      </c>
      <c r="D50" s="20">
        <v>0.28257423318515756</v>
      </c>
      <c r="E50" s="20">
        <v>0.28546484462963512</v>
      </c>
      <c r="F50" s="20">
        <v>0.29311976616354662</v>
      </c>
      <c r="G50" s="20">
        <v>0.29355912461272771</v>
      </c>
      <c r="H50" s="20">
        <v>0.30178926030046821</v>
      </c>
      <c r="I50" s="20">
        <v>0.30422886021404322</v>
      </c>
      <c r="J50" s="20">
        <v>0.30974679620133722</v>
      </c>
      <c r="K50" s="20">
        <v>0.32349067713152857</v>
      </c>
      <c r="L50" s="20">
        <v>0.32131583307677547</v>
      </c>
      <c r="M50" s="20">
        <v>0.33485906539725552</v>
      </c>
    </row>
    <row r="51" spans="1:13" hidden="1" x14ac:dyDescent="0.25">
      <c r="A51">
        <v>34</v>
      </c>
      <c r="B51" s="20">
        <v>0.22542894965502608</v>
      </c>
      <c r="C51" s="20">
        <v>0.26899216431934214</v>
      </c>
      <c r="D51" s="20">
        <v>0.27769204186745183</v>
      </c>
      <c r="E51" s="20">
        <v>0.28257423318515756</v>
      </c>
      <c r="F51" s="20">
        <v>0.28546484462963512</v>
      </c>
      <c r="G51" s="20">
        <v>0.29311976616354662</v>
      </c>
      <c r="H51" s="20">
        <v>0.29355912461272771</v>
      </c>
      <c r="I51" s="20">
        <v>0.30178926030046821</v>
      </c>
      <c r="J51" s="20">
        <v>0.30422886021404322</v>
      </c>
      <c r="K51" s="20">
        <v>0.30974679620133722</v>
      </c>
      <c r="L51" s="20">
        <v>0.32349067713152857</v>
      </c>
      <c r="M51" s="20">
        <v>0.32131583307677547</v>
      </c>
    </row>
    <row r="52" spans="1:13" hidden="1" x14ac:dyDescent="0.25">
      <c r="A52">
        <v>35</v>
      </c>
      <c r="B52" s="20">
        <v>0.1535059779957855</v>
      </c>
      <c r="C52" s="20">
        <v>0.22542894965502608</v>
      </c>
      <c r="D52" s="20">
        <v>0.26899216431934214</v>
      </c>
      <c r="E52" s="20">
        <v>0.27769204186745183</v>
      </c>
      <c r="F52" s="20">
        <v>0.28257423318515756</v>
      </c>
      <c r="G52" s="20">
        <v>0.28546484462963512</v>
      </c>
      <c r="H52" s="20">
        <v>0.29311976616354662</v>
      </c>
      <c r="I52" s="20">
        <v>0.29355912461272771</v>
      </c>
      <c r="J52" s="20">
        <v>0.30178926030046821</v>
      </c>
      <c r="K52" s="20">
        <v>0.30422886021404322</v>
      </c>
      <c r="L52" s="20">
        <v>0.30974679620133722</v>
      </c>
      <c r="M52" s="20">
        <v>0.32349067713152857</v>
      </c>
    </row>
    <row r="53" spans="1:13" hidden="1" x14ac:dyDescent="0.25"/>
    <row r="54" spans="1:13" hidden="1" x14ac:dyDescent="0.25"/>
    <row r="55" spans="1:13" hidden="1" x14ac:dyDescent="0.25"/>
  </sheetData>
  <mergeCells count="3">
    <mergeCell ref="B1:M1"/>
    <mergeCell ref="N1:Y1"/>
    <mergeCell ref="Z1:AK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62"/>
  <sheetViews>
    <sheetView topLeftCell="B4" workbookViewId="0">
      <selection activeCell="Z30" sqref="Z30"/>
    </sheetView>
  </sheetViews>
  <sheetFormatPr defaultRowHeight="15" x14ac:dyDescent="0.25"/>
  <cols>
    <col min="2" max="2" width="25.42578125" customWidth="1"/>
    <col min="3" max="3" width="12.28515625" customWidth="1"/>
    <col min="4" max="7" width="9.28515625" bestFit="1" customWidth="1"/>
    <col min="8" max="8" width="10.140625" bestFit="1" customWidth="1"/>
    <col min="9" max="14" width="9.28515625" bestFit="1" customWidth="1"/>
    <col min="15" max="15" width="10.140625" style="1" bestFit="1" customWidth="1"/>
    <col min="17" max="17" width="21.85546875" customWidth="1"/>
    <col min="18" max="18" width="18.7109375" customWidth="1"/>
    <col min="19" max="19" width="13.5703125" bestFit="1" customWidth="1"/>
  </cols>
  <sheetData>
    <row r="2" spans="2:19" x14ac:dyDescent="0.25">
      <c r="B2" s="13" t="s">
        <v>121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s="1" t="s">
        <v>39</v>
      </c>
    </row>
    <row r="3" spans="2:19" x14ac:dyDescent="0.25">
      <c r="B3" t="s">
        <v>129</v>
      </c>
      <c r="C3" s="10">
        <f>3500000/12</f>
        <v>291666.66666666669</v>
      </c>
      <c r="D3" s="10">
        <f t="shared" ref="D3:N3" si="0">3500000/12</f>
        <v>291666.66666666669</v>
      </c>
      <c r="E3" s="10">
        <f t="shared" si="0"/>
        <v>291666.66666666669</v>
      </c>
      <c r="F3" s="10">
        <f t="shared" si="0"/>
        <v>291666.66666666669</v>
      </c>
      <c r="G3" s="10">
        <f t="shared" si="0"/>
        <v>291666.66666666669</v>
      </c>
      <c r="H3" s="10">
        <f t="shared" si="0"/>
        <v>291666.66666666669</v>
      </c>
      <c r="I3" s="10">
        <f t="shared" si="0"/>
        <v>291666.66666666669</v>
      </c>
      <c r="J3" s="10">
        <f t="shared" si="0"/>
        <v>291666.66666666669</v>
      </c>
      <c r="K3" s="10">
        <f t="shared" si="0"/>
        <v>291666.66666666669</v>
      </c>
      <c r="L3" s="10">
        <f t="shared" si="0"/>
        <v>291666.66666666669</v>
      </c>
      <c r="M3" s="10">
        <f t="shared" si="0"/>
        <v>291666.66666666669</v>
      </c>
      <c r="N3" s="10">
        <f t="shared" si="0"/>
        <v>291666.66666666669</v>
      </c>
      <c r="O3" s="11">
        <f>SUM(C3:N3)</f>
        <v>3499999.9999999995</v>
      </c>
    </row>
    <row r="4" spans="2:19" x14ac:dyDescent="0.25">
      <c r="B4" t="s">
        <v>130</v>
      </c>
      <c r="C4" s="10">
        <f>1500000/12</f>
        <v>125000</v>
      </c>
      <c r="D4" s="10">
        <f t="shared" ref="D4:N4" si="1">1500000/12</f>
        <v>125000</v>
      </c>
      <c r="E4" s="10">
        <f t="shared" si="1"/>
        <v>125000</v>
      </c>
      <c r="F4" s="10">
        <f t="shared" si="1"/>
        <v>125000</v>
      </c>
      <c r="G4" s="10">
        <f t="shared" si="1"/>
        <v>125000</v>
      </c>
      <c r="H4" s="10">
        <f t="shared" si="1"/>
        <v>125000</v>
      </c>
      <c r="I4" s="10">
        <f t="shared" si="1"/>
        <v>125000</v>
      </c>
      <c r="J4" s="10">
        <f t="shared" si="1"/>
        <v>125000</v>
      </c>
      <c r="K4" s="10">
        <f t="shared" si="1"/>
        <v>125000</v>
      </c>
      <c r="L4" s="10">
        <f t="shared" si="1"/>
        <v>125000</v>
      </c>
      <c r="M4" s="10">
        <f t="shared" si="1"/>
        <v>125000</v>
      </c>
      <c r="N4" s="10">
        <f t="shared" si="1"/>
        <v>125000</v>
      </c>
      <c r="O4" s="11">
        <f t="shared" ref="O4:O5" si="2">SUM(C4:N4)</f>
        <v>1500000</v>
      </c>
    </row>
    <row r="5" spans="2:19" x14ac:dyDescent="0.25">
      <c r="B5" s="12" t="s">
        <v>39</v>
      </c>
      <c r="C5" s="11">
        <f t="shared" ref="C5:N5" si="3">SUM(C3:C4)</f>
        <v>416666.66666666669</v>
      </c>
      <c r="D5" s="11">
        <f t="shared" si="3"/>
        <v>416666.66666666669</v>
      </c>
      <c r="E5" s="11">
        <f t="shared" si="3"/>
        <v>416666.66666666669</v>
      </c>
      <c r="F5" s="11">
        <f t="shared" si="3"/>
        <v>416666.66666666669</v>
      </c>
      <c r="G5" s="11">
        <f t="shared" si="3"/>
        <v>416666.66666666669</v>
      </c>
      <c r="H5" s="11">
        <f t="shared" si="3"/>
        <v>416666.66666666669</v>
      </c>
      <c r="I5" s="11">
        <f t="shared" si="3"/>
        <v>416666.66666666669</v>
      </c>
      <c r="J5" s="11">
        <f t="shared" si="3"/>
        <v>416666.66666666669</v>
      </c>
      <c r="K5" s="11">
        <f t="shared" si="3"/>
        <v>416666.66666666669</v>
      </c>
      <c r="L5" s="11">
        <f t="shared" si="3"/>
        <v>416666.66666666669</v>
      </c>
      <c r="M5" s="11">
        <f t="shared" si="3"/>
        <v>416666.66666666669</v>
      </c>
      <c r="N5" s="11">
        <f t="shared" si="3"/>
        <v>416666.66666666669</v>
      </c>
      <c r="O5" s="11">
        <f t="shared" si="2"/>
        <v>5000000</v>
      </c>
    </row>
    <row r="7" spans="2:19" x14ac:dyDescent="0.25">
      <c r="B7" s="19" t="s">
        <v>43</v>
      </c>
      <c r="C7" s="19" t="s">
        <v>40</v>
      </c>
      <c r="O7"/>
    </row>
    <row r="8" spans="2:19" x14ac:dyDescent="0.25">
      <c r="B8" s="1" t="str">
        <f>B3</f>
        <v>Januvia Samples</v>
      </c>
      <c r="C8" s="1">
        <v>6</v>
      </c>
      <c r="O8"/>
    </row>
    <row r="9" spans="2:19" x14ac:dyDescent="0.25">
      <c r="B9" s="1" t="str">
        <f>B4</f>
        <v>Janumet XR samples</v>
      </c>
      <c r="C9" s="1">
        <v>6</v>
      </c>
      <c r="O9"/>
    </row>
    <row r="10" spans="2:19" x14ac:dyDescent="0.25">
      <c r="B10" s="18" t="s">
        <v>39</v>
      </c>
      <c r="C10" s="18">
        <v>6</v>
      </c>
    </row>
    <row r="12" spans="2:19" x14ac:dyDescent="0.25">
      <c r="B12" s="17" t="s">
        <v>41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S12" s="4"/>
    </row>
    <row r="13" spans="2:19" x14ac:dyDescent="0.25">
      <c r="B13" s="1" t="str">
        <f>B8</f>
        <v>Januvia Samples</v>
      </c>
      <c r="C13" s="10">
        <f>Inputs!$P$2/12</f>
        <v>12774183.228603682</v>
      </c>
      <c r="D13" s="10">
        <f>Inputs!$P$2/12</f>
        <v>12774183.228603682</v>
      </c>
      <c r="E13" s="10">
        <f>Inputs!$P$2/12</f>
        <v>12774183.228603682</v>
      </c>
      <c r="F13" s="10">
        <f>Inputs!$P$2/12</f>
        <v>12774183.228603682</v>
      </c>
      <c r="G13" s="10">
        <f>Inputs!$P$2/12</f>
        <v>12774183.228603682</v>
      </c>
      <c r="H13" s="10">
        <f>Inputs!$P$2/12</f>
        <v>12774183.228603682</v>
      </c>
      <c r="I13" s="10">
        <f>Inputs!$P$2/12</f>
        <v>12774183.228603682</v>
      </c>
      <c r="J13" s="10">
        <f>Inputs!$P$2/12</f>
        <v>12774183.228603682</v>
      </c>
      <c r="K13" s="10">
        <f>Inputs!$P$2/12</f>
        <v>12774183.228603682</v>
      </c>
      <c r="L13" s="10">
        <f>Inputs!$P$2/12</f>
        <v>12774183.228603682</v>
      </c>
      <c r="M13" s="10">
        <f>Inputs!$P$2/12</f>
        <v>12774183.228603682</v>
      </c>
      <c r="N13" s="10">
        <f>Inputs!$P$2/12</f>
        <v>12774183.228603682</v>
      </c>
      <c r="O13" s="11">
        <f>SUM(C13:N13)</f>
        <v>153290198.74324417</v>
      </c>
      <c r="S13" s="4"/>
    </row>
    <row r="14" spans="2:19" x14ac:dyDescent="0.25">
      <c r="B14" s="1" t="str">
        <f>B9</f>
        <v>Janumet XR samples</v>
      </c>
      <c r="C14" s="10">
        <f>Inputs!$P$3/12</f>
        <v>1572479.3004296024</v>
      </c>
      <c r="D14" s="10">
        <f>Inputs!$P$3/12</f>
        <v>1572479.3004296024</v>
      </c>
      <c r="E14" s="10">
        <f>Inputs!$P$3/12</f>
        <v>1572479.3004296024</v>
      </c>
      <c r="F14" s="10">
        <f>Inputs!$P$3/12</f>
        <v>1572479.3004296024</v>
      </c>
      <c r="G14" s="10">
        <f>Inputs!$P$3/12</f>
        <v>1572479.3004296024</v>
      </c>
      <c r="H14" s="10">
        <f>Inputs!$P$3/12</f>
        <v>1572479.3004296024</v>
      </c>
      <c r="I14" s="10">
        <f>Inputs!$P$3/12</f>
        <v>1572479.3004296024</v>
      </c>
      <c r="J14" s="10">
        <f>Inputs!$P$3/12</f>
        <v>1572479.3004296024</v>
      </c>
      <c r="K14" s="10">
        <f>Inputs!$P$3/12</f>
        <v>1572479.3004296024</v>
      </c>
      <c r="L14" s="10">
        <f>Inputs!$P$3/12</f>
        <v>1572479.3004296024</v>
      </c>
      <c r="M14" s="10">
        <f>Inputs!$P$3/12</f>
        <v>1572479.3004296024</v>
      </c>
      <c r="N14" s="10">
        <f>Inputs!$P$3/12</f>
        <v>1572479.3004296024</v>
      </c>
      <c r="O14" s="11">
        <f t="shared" ref="O14:O15" si="4">SUM(C14:N14)</f>
        <v>18869751.60515523</v>
      </c>
      <c r="S14" s="4"/>
    </row>
    <row r="15" spans="2:19" x14ac:dyDescent="0.25">
      <c r="B15" s="18" t="s">
        <v>39</v>
      </c>
      <c r="C15" s="11">
        <f t="shared" ref="C15:N15" si="5">SUM(C13:C14)</f>
        <v>14346662.529033285</v>
      </c>
      <c r="D15" s="11">
        <f t="shared" si="5"/>
        <v>14346662.529033285</v>
      </c>
      <c r="E15" s="11">
        <f t="shared" si="5"/>
        <v>14346662.529033285</v>
      </c>
      <c r="F15" s="11">
        <f t="shared" si="5"/>
        <v>14346662.529033285</v>
      </c>
      <c r="G15" s="11">
        <f t="shared" si="5"/>
        <v>14346662.529033285</v>
      </c>
      <c r="H15" s="11">
        <f t="shared" si="5"/>
        <v>14346662.529033285</v>
      </c>
      <c r="I15" s="11">
        <f t="shared" si="5"/>
        <v>14346662.529033285</v>
      </c>
      <c r="J15" s="11">
        <f t="shared" si="5"/>
        <v>14346662.529033285</v>
      </c>
      <c r="K15" s="11">
        <f t="shared" si="5"/>
        <v>14346662.529033285</v>
      </c>
      <c r="L15" s="11">
        <f t="shared" si="5"/>
        <v>14346662.529033285</v>
      </c>
      <c r="M15" s="11">
        <f t="shared" si="5"/>
        <v>14346662.529033285</v>
      </c>
      <c r="N15" s="11">
        <f t="shared" si="5"/>
        <v>14346662.529033285</v>
      </c>
      <c r="O15" s="11">
        <f t="shared" si="4"/>
        <v>172159950.3483994</v>
      </c>
      <c r="S15" s="4"/>
    </row>
    <row r="16" spans="2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S16" s="4"/>
    </row>
    <row r="17" spans="2:21" x14ac:dyDescent="0.25">
      <c r="B17" s="17" t="s">
        <v>42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S17" s="4"/>
    </row>
    <row r="18" spans="2:21" x14ac:dyDescent="0.25">
      <c r="B18" s="1" t="str">
        <f>B13</f>
        <v>Januvia Samples</v>
      </c>
      <c r="C18" s="16">
        <f>C13/Inputs!$O$2</f>
        <v>9808.9802560130574</v>
      </c>
      <c r="D18" s="16">
        <f>D13/Inputs!$O$2</f>
        <v>9808.9802560130574</v>
      </c>
      <c r="E18" s="16">
        <f>E13/Inputs!$O$2</f>
        <v>9808.9802560130574</v>
      </c>
      <c r="F18" s="16">
        <f>F13/Inputs!$O$2</f>
        <v>9808.9802560130574</v>
      </c>
      <c r="G18" s="16">
        <f>G13/Inputs!$O$2</f>
        <v>9808.9802560130574</v>
      </c>
      <c r="H18" s="16">
        <f>H13/Inputs!$O$2</f>
        <v>9808.9802560130574</v>
      </c>
      <c r="I18" s="16">
        <f>I13/Inputs!$O$2</f>
        <v>9808.9802560130574</v>
      </c>
      <c r="J18" s="16">
        <f>J13/Inputs!$O$2</f>
        <v>9808.9802560130574</v>
      </c>
      <c r="K18" s="16">
        <f>K13/Inputs!$O$2</f>
        <v>9808.9802560130574</v>
      </c>
      <c r="L18" s="16">
        <f>L13/Inputs!$O$2</f>
        <v>9808.9802560130574</v>
      </c>
      <c r="M18" s="16">
        <f>M13/Inputs!$O$2</f>
        <v>9808.9802560130574</v>
      </c>
      <c r="N18" s="16">
        <f>N13/Inputs!$O$2</f>
        <v>9808.9802560130574</v>
      </c>
      <c r="O18" s="14">
        <f>SUM(C18:N18)</f>
        <v>117707.76307215671</v>
      </c>
      <c r="S18" s="4"/>
    </row>
    <row r="19" spans="2:21" x14ac:dyDescent="0.25">
      <c r="B19" s="1" t="str">
        <f>B14</f>
        <v>Janumet XR samples</v>
      </c>
      <c r="C19" s="16">
        <f>C14/Inputs!$O$3</f>
        <v>1286.2822999406703</v>
      </c>
      <c r="D19" s="16">
        <f>D14/Inputs!$O$3</f>
        <v>1286.2822999406703</v>
      </c>
      <c r="E19" s="16">
        <f>E14/Inputs!$O$3</f>
        <v>1286.2822999406703</v>
      </c>
      <c r="F19" s="16">
        <f>F14/Inputs!$O$3</f>
        <v>1286.2822999406703</v>
      </c>
      <c r="G19" s="16">
        <f>G14/Inputs!$O$3</f>
        <v>1286.2822999406703</v>
      </c>
      <c r="H19" s="16">
        <f>H14/Inputs!$O$3</f>
        <v>1286.2822999406703</v>
      </c>
      <c r="I19" s="16">
        <f>I14/Inputs!$O$3</f>
        <v>1286.2822999406703</v>
      </c>
      <c r="J19" s="16">
        <f>J14/Inputs!$O$3</f>
        <v>1286.2822999406703</v>
      </c>
      <c r="K19" s="16">
        <f>K14/Inputs!$O$3</f>
        <v>1286.2822999406703</v>
      </c>
      <c r="L19" s="16">
        <f>L14/Inputs!$O$3</f>
        <v>1286.2822999406703</v>
      </c>
      <c r="M19" s="16">
        <f>M14/Inputs!$O$3</f>
        <v>1286.2822999406703</v>
      </c>
      <c r="N19" s="16">
        <f>N14/Inputs!$O$3</f>
        <v>1286.2822999406703</v>
      </c>
      <c r="O19" s="14">
        <f t="shared" ref="O19:O20" si="6">SUM(C19:N19)</f>
        <v>15435.387599288048</v>
      </c>
    </row>
    <row r="20" spans="2:21" x14ac:dyDescent="0.25">
      <c r="B20" s="18" t="s">
        <v>39</v>
      </c>
      <c r="C20" s="14">
        <f t="shared" ref="C20:N20" si="7">SUM(C18:C19)</f>
        <v>11095.262555953728</v>
      </c>
      <c r="D20" s="14">
        <f t="shared" si="7"/>
        <v>11095.262555953728</v>
      </c>
      <c r="E20" s="14">
        <f t="shared" si="7"/>
        <v>11095.262555953728</v>
      </c>
      <c r="F20" s="14">
        <f t="shared" si="7"/>
        <v>11095.262555953728</v>
      </c>
      <c r="G20" s="14">
        <f t="shared" si="7"/>
        <v>11095.262555953728</v>
      </c>
      <c r="H20" s="14">
        <f t="shared" si="7"/>
        <v>11095.262555953728</v>
      </c>
      <c r="I20" s="14">
        <f t="shared" si="7"/>
        <v>11095.262555953728</v>
      </c>
      <c r="J20" s="14">
        <f t="shared" si="7"/>
        <v>11095.262555953728</v>
      </c>
      <c r="K20" s="14">
        <f t="shared" si="7"/>
        <v>11095.262555953728</v>
      </c>
      <c r="L20" s="14">
        <f t="shared" si="7"/>
        <v>11095.262555953728</v>
      </c>
      <c r="M20" s="14">
        <f t="shared" si="7"/>
        <v>11095.262555953728</v>
      </c>
      <c r="N20" s="14">
        <f t="shared" si="7"/>
        <v>11095.262555953728</v>
      </c>
      <c r="O20" s="14">
        <f t="shared" si="6"/>
        <v>133143.15067144475</v>
      </c>
    </row>
    <row r="22" spans="2:21" x14ac:dyDescent="0.25">
      <c r="B22" s="1" t="s">
        <v>44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32</v>
      </c>
      <c r="I22" s="1" t="s">
        <v>33</v>
      </c>
      <c r="J22" s="1" t="s">
        <v>34</v>
      </c>
      <c r="K22" s="1" t="s">
        <v>35</v>
      </c>
      <c r="L22" s="1" t="s">
        <v>36</v>
      </c>
      <c r="M22" s="1" t="s">
        <v>37</v>
      </c>
      <c r="N22" s="1" t="s">
        <v>38</v>
      </c>
      <c r="O22" s="18" t="s">
        <v>39</v>
      </c>
      <c r="Q22" s="23" t="s">
        <v>7</v>
      </c>
      <c r="R22" s="7">
        <v>2014</v>
      </c>
      <c r="S22" s="24">
        <v>2015</v>
      </c>
      <c r="T22" s="54">
        <v>2016</v>
      </c>
      <c r="U22" s="55">
        <v>2017</v>
      </c>
    </row>
    <row r="23" spans="2:21" x14ac:dyDescent="0.25">
      <c r="B23" s="1" t="s">
        <v>45</v>
      </c>
      <c r="C23" s="21">
        <f>C$20*Inputs!$D10</f>
        <v>5547.6312779768641</v>
      </c>
      <c r="D23" s="21">
        <f>D$20*Inputs!$D10</f>
        <v>5547.6312779768641</v>
      </c>
      <c r="E23" s="21">
        <f>E$20*Inputs!$D10</f>
        <v>5547.6312779768641</v>
      </c>
      <c r="F23" s="21">
        <f>F$20*Inputs!$D10</f>
        <v>5547.6312779768641</v>
      </c>
      <c r="G23" s="21">
        <f>G$20*Inputs!$D10</f>
        <v>5547.6312779768641</v>
      </c>
      <c r="H23" s="21">
        <f>H$20*Inputs!$D10</f>
        <v>5547.6312779768641</v>
      </c>
      <c r="I23" s="21">
        <f>I$20*Inputs!$D10</f>
        <v>5547.6312779768641</v>
      </c>
      <c r="J23" s="21">
        <f>J$20*Inputs!$D10</f>
        <v>5547.6312779768641</v>
      </c>
      <c r="K23" s="21">
        <f>K$20*Inputs!$D10</f>
        <v>5547.6312779768641</v>
      </c>
      <c r="L23" s="21">
        <f>L$20*Inputs!$D10</f>
        <v>5547.6312779768641</v>
      </c>
      <c r="M23" s="21">
        <f>M$20*Inputs!$D10</f>
        <v>5547.6312779768641</v>
      </c>
      <c r="N23" s="21">
        <f>N$20*Inputs!$D10</f>
        <v>5547.6312779768641</v>
      </c>
      <c r="O23" s="15">
        <f>SUM(C23:N23)</f>
        <v>66571.575335722373</v>
      </c>
      <c r="Q23" s="25" t="s">
        <v>27</v>
      </c>
      <c r="R23" s="5">
        <f>C23</f>
        <v>5547.6312779768641</v>
      </c>
      <c r="S23" s="5">
        <f t="shared" ref="S23:S34" si="8">SUM(C35,D34,E33,F32,G31,H30,I29,J28,K27,L26,M25,N24)</f>
        <v>5546.2768758093898</v>
      </c>
      <c r="T23" s="5">
        <f t="shared" ref="T23:T34" si="9">SUM(C47,D46,E45,F44,G43,H42,I41,J40,K39,L38,M37,N36)</f>
        <v>1.3540715028831518</v>
      </c>
      <c r="U23" s="5">
        <f>SUM(C59,D58,E57,F56,G55,H54,I53,J52,K51,L50,M49,N48)</f>
        <v>3.3058386300858199E-4</v>
      </c>
    </row>
    <row r="24" spans="2:21" x14ac:dyDescent="0.25">
      <c r="B24" s="1" t="s">
        <v>46</v>
      </c>
      <c r="C24" s="21">
        <f>C$20*Inputs!$D11</f>
        <v>2773.8156389884321</v>
      </c>
      <c r="D24" s="21">
        <f>D$20*Inputs!$D11</f>
        <v>2773.8156389884321</v>
      </c>
      <c r="E24" s="21">
        <f>E$20*Inputs!$D11</f>
        <v>2773.8156389884321</v>
      </c>
      <c r="F24" s="21">
        <f>F$20*Inputs!$D11</f>
        <v>2773.8156389884321</v>
      </c>
      <c r="G24" s="21">
        <f>G$20*Inputs!$D11</f>
        <v>2773.8156389884321</v>
      </c>
      <c r="H24" s="21">
        <f>H$20*Inputs!$D11</f>
        <v>2773.8156389884321</v>
      </c>
      <c r="I24" s="21">
        <f>I$20*Inputs!$D11</f>
        <v>2773.8156389884321</v>
      </c>
      <c r="J24" s="21">
        <f>J$20*Inputs!$D11</f>
        <v>2773.8156389884321</v>
      </c>
      <c r="K24" s="21">
        <f>K$20*Inputs!$D11</f>
        <v>2773.8156389884321</v>
      </c>
      <c r="L24" s="21">
        <f>L$20*Inputs!$D11</f>
        <v>2773.8156389884321</v>
      </c>
      <c r="M24" s="21">
        <f>M$20*Inputs!$D11</f>
        <v>2773.8156389884321</v>
      </c>
      <c r="N24" s="22">
        <f>N$20*Inputs!$D11</f>
        <v>2773.8156389884321</v>
      </c>
      <c r="O24" s="15">
        <f t="shared" ref="O24:O61" si="10">SUM(C24:N24)</f>
        <v>33285.787667861186</v>
      </c>
      <c r="Q24" s="25" t="s">
        <v>28</v>
      </c>
      <c r="R24" s="5">
        <f>SUM(C24,D23)</f>
        <v>8321.4469169652966</v>
      </c>
      <c r="S24" s="5">
        <f t="shared" si="8"/>
        <v>2773.1384379046949</v>
      </c>
      <c r="T24" s="5">
        <f t="shared" si="9"/>
        <v>0.67703575144157591</v>
      </c>
      <c r="U24" s="5">
        <f>SUM(C60,D59,E58,F57,G56,H55,I54,J53,K52,L51,M50,N49)</f>
        <v>1.6529193150429099E-4</v>
      </c>
    </row>
    <row r="25" spans="2:21" x14ac:dyDescent="0.25">
      <c r="B25" s="1" t="s">
        <v>47</v>
      </c>
      <c r="C25" s="21">
        <f>C$20*Inputs!$D12</f>
        <v>1386.907819494216</v>
      </c>
      <c r="D25" s="21">
        <f>D$20*Inputs!$D12</f>
        <v>1386.907819494216</v>
      </c>
      <c r="E25" s="21">
        <f>E$20*Inputs!$D12</f>
        <v>1386.907819494216</v>
      </c>
      <c r="F25" s="21">
        <f>F$20*Inputs!$D12</f>
        <v>1386.907819494216</v>
      </c>
      <c r="G25" s="21">
        <f>G$20*Inputs!$D12</f>
        <v>1386.907819494216</v>
      </c>
      <c r="H25" s="21">
        <f>H$20*Inputs!$D12</f>
        <v>1386.907819494216</v>
      </c>
      <c r="I25" s="21">
        <f>I$20*Inputs!$D12</f>
        <v>1386.907819494216</v>
      </c>
      <c r="J25" s="21">
        <f>J$20*Inputs!$D12</f>
        <v>1386.907819494216</v>
      </c>
      <c r="K25" s="21">
        <f>K$20*Inputs!$D12</f>
        <v>1386.907819494216</v>
      </c>
      <c r="L25" s="21">
        <f>L$20*Inputs!$D12</f>
        <v>1386.907819494216</v>
      </c>
      <c r="M25" s="22">
        <f>M$20*Inputs!$D12</f>
        <v>1386.907819494216</v>
      </c>
      <c r="N25" s="22">
        <f>N$20*Inputs!$D12</f>
        <v>1386.907819494216</v>
      </c>
      <c r="O25" s="15">
        <f t="shared" si="10"/>
        <v>16642.893833930593</v>
      </c>
      <c r="Q25" s="25" t="s">
        <v>29</v>
      </c>
      <c r="R25" s="5">
        <f>SUM(C25,D24,E23)</f>
        <v>9708.3547364595124</v>
      </c>
      <c r="S25" s="5">
        <f t="shared" si="8"/>
        <v>1386.5692189523475</v>
      </c>
      <c r="T25" s="5">
        <f t="shared" si="9"/>
        <v>0.33851787572078795</v>
      </c>
      <c r="U25" s="5">
        <f>SUM(C61,D60,E59,F58,G57,H56,I55,J54,K53,L52,M51,N50)</f>
        <v>8.2645965752145496E-5</v>
      </c>
    </row>
    <row r="26" spans="2:21" x14ac:dyDescent="0.25">
      <c r="B26" s="1" t="s">
        <v>48</v>
      </c>
      <c r="C26" s="21">
        <f>C$20*Inputs!$D13</f>
        <v>693.45390974710801</v>
      </c>
      <c r="D26" s="21">
        <f>D$20*Inputs!$D13</f>
        <v>693.45390974710801</v>
      </c>
      <c r="E26" s="21">
        <f>E$20*Inputs!$D13</f>
        <v>693.45390974710801</v>
      </c>
      <c r="F26" s="21">
        <f>F$20*Inputs!$D13</f>
        <v>693.45390974710801</v>
      </c>
      <c r="G26" s="21">
        <f>G$20*Inputs!$D13</f>
        <v>693.45390974710801</v>
      </c>
      <c r="H26" s="21">
        <f>H$20*Inputs!$D13</f>
        <v>693.45390974710801</v>
      </c>
      <c r="I26" s="21">
        <f>I$20*Inputs!$D13</f>
        <v>693.45390974710801</v>
      </c>
      <c r="J26" s="21">
        <f>J$20*Inputs!$D13</f>
        <v>693.45390974710801</v>
      </c>
      <c r="K26" s="21">
        <f>K$20*Inputs!$D13</f>
        <v>693.45390974710801</v>
      </c>
      <c r="L26" s="22">
        <f>L$20*Inputs!$D13</f>
        <v>693.45390974710801</v>
      </c>
      <c r="M26" s="22">
        <f>M$20*Inputs!$D13</f>
        <v>693.45390974710801</v>
      </c>
      <c r="N26" s="22">
        <f>N$20*Inputs!$D13</f>
        <v>693.45390974710801</v>
      </c>
      <c r="O26" s="15">
        <f t="shared" si="10"/>
        <v>8321.4469169652966</v>
      </c>
      <c r="Q26" s="25" t="s">
        <v>30</v>
      </c>
      <c r="R26" s="5">
        <f>SUM(C26,D25,E24,F23)</f>
        <v>10401.80864620662</v>
      </c>
      <c r="S26" s="5">
        <f t="shared" si="8"/>
        <v>693.28460947617373</v>
      </c>
      <c r="T26" s="5">
        <f t="shared" si="9"/>
        <v>0.16925893786039398</v>
      </c>
      <c r="U26" s="5">
        <f>SUM(D61,E60,F59,G58,H57,I56,J55,K54,L53,M52,N51)</f>
        <v>4.1312891793563326E-5</v>
      </c>
    </row>
    <row r="27" spans="2:21" x14ac:dyDescent="0.25">
      <c r="B27" s="1" t="s">
        <v>49</v>
      </c>
      <c r="C27" s="21">
        <f>C$20*Inputs!$D14</f>
        <v>346.72695487355401</v>
      </c>
      <c r="D27" s="21">
        <f>D$20*Inputs!$D14</f>
        <v>346.72695487355401</v>
      </c>
      <c r="E27" s="21">
        <f>E$20*Inputs!$D14</f>
        <v>346.72695487355401</v>
      </c>
      <c r="F27" s="21">
        <f>F$20*Inputs!$D14</f>
        <v>346.72695487355401</v>
      </c>
      <c r="G27" s="21">
        <f>G$20*Inputs!$D14</f>
        <v>346.72695487355401</v>
      </c>
      <c r="H27" s="21">
        <f>H$20*Inputs!$D14</f>
        <v>346.72695487355401</v>
      </c>
      <c r="I27" s="21">
        <f>I$20*Inputs!$D14</f>
        <v>346.72695487355401</v>
      </c>
      <c r="J27" s="21">
        <f>J$20*Inputs!$D14</f>
        <v>346.72695487355401</v>
      </c>
      <c r="K27" s="22">
        <f>K$20*Inputs!$D14</f>
        <v>346.72695487355401</v>
      </c>
      <c r="L27" s="22">
        <f>L$20*Inputs!$D14</f>
        <v>346.72695487355401</v>
      </c>
      <c r="M27" s="22">
        <f>M$20*Inputs!$D14</f>
        <v>346.72695487355401</v>
      </c>
      <c r="N27" s="22">
        <f>N$20*Inputs!$D14</f>
        <v>346.72695487355401</v>
      </c>
      <c r="O27" s="15">
        <f t="shared" si="10"/>
        <v>4160.7234584826483</v>
      </c>
      <c r="Q27" s="25" t="s">
        <v>31</v>
      </c>
      <c r="R27" s="5">
        <f>SUM(C27,D26,E25,F24,G23)</f>
        <v>10748.535601080173</v>
      </c>
      <c r="S27" s="5">
        <f t="shared" si="8"/>
        <v>346.64230473808686</v>
      </c>
      <c r="T27" s="5">
        <f t="shared" si="9"/>
        <v>8.4629468930196988E-2</v>
      </c>
      <c r="U27" s="5">
        <f>SUM(E61,F60,G59,H58,I57,J56,K55,L54,M53,N52)</f>
        <v>2.0646354814272241E-5</v>
      </c>
    </row>
    <row r="28" spans="2:21" x14ac:dyDescent="0.25">
      <c r="B28" s="1" t="s">
        <v>50</v>
      </c>
      <c r="C28" s="21">
        <f>C$20*Inputs!$D15</f>
        <v>173.363477436777</v>
      </c>
      <c r="D28" s="21">
        <f>D$20*Inputs!$D15</f>
        <v>173.363477436777</v>
      </c>
      <c r="E28" s="21">
        <f>E$20*Inputs!$D15</f>
        <v>173.363477436777</v>
      </c>
      <c r="F28" s="21">
        <f>F$20*Inputs!$D15</f>
        <v>173.363477436777</v>
      </c>
      <c r="G28" s="21">
        <f>G$20*Inputs!$D15</f>
        <v>173.363477436777</v>
      </c>
      <c r="H28" s="21">
        <f>H$20*Inputs!$D15</f>
        <v>173.363477436777</v>
      </c>
      <c r="I28" s="21">
        <f>I$20*Inputs!$D15</f>
        <v>173.363477436777</v>
      </c>
      <c r="J28" s="22">
        <f>J$20*Inputs!$D15</f>
        <v>173.363477436777</v>
      </c>
      <c r="K28" s="22">
        <f>K$20*Inputs!$D15</f>
        <v>173.363477436777</v>
      </c>
      <c r="L28" s="22">
        <f>L$20*Inputs!$D15</f>
        <v>173.363477436777</v>
      </c>
      <c r="M28" s="22">
        <f>M$20*Inputs!$D15</f>
        <v>173.363477436777</v>
      </c>
      <c r="N28" s="22">
        <f>N$20*Inputs!$D15</f>
        <v>173.363477436777</v>
      </c>
      <c r="O28" s="15">
        <f t="shared" si="10"/>
        <v>2080.3617292413242</v>
      </c>
      <c r="Q28" s="25" t="s">
        <v>32</v>
      </c>
      <c r="R28" s="5">
        <f>SUM(C28,D27,E26,F25,G24,H23)</f>
        <v>10921.899078516952</v>
      </c>
      <c r="S28" s="5">
        <f t="shared" si="8"/>
        <v>173.32115236904343</v>
      </c>
      <c r="T28" s="5">
        <f t="shared" si="9"/>
        <v>4.2314734465098494E-2</v>
      </c>
      <c r="U28" s="5">
        <f>SUM(F61,G60,H59,I58,J57,K56,L55,M54,N53)</f>
        <v>1.0313086324626701E-5</v>
      </c>
    </row>
    <row r="29" spans="2:21" x14ac:dyDescent="0.25">
      <c r="B29" s="1" t="s">
        <v>51</v>
      </c>
      <c r="C29" s="21">
        <f>C$20*Inputs!$D16</f>
        <v>86.681738718388502</v>
      </c>
      <c r="D29" s="21">
        <f>D$20*Inputs!$D16</f>
        <v>86.681738718388502</v>
      </c>
      <c r="E29" s="21">
        <f>E$20*Inputs!$D16</f>
        <v>86.681738718388502</v>
      </c>
      <c r="F29" s="21">
        <f>F$20*Inputs!$D16</f>
        <v>86.681738718388502</v>
      </c>
      <c r="G29" s="21">
        <f>G$20*Inputs!$D16</f>
        <v>86.681738718388502</v>
      </c>
      <c r="H29" s="21">
        <f>H$20*Inputs!$D16</f>
        <v>86.681738718388502</v>
      </c>
      <c r="I29" s="22">
        <f>I$20*Inputs!$D16</f>
        <v>86.681738718388502</v>
      </c>
      <c r="J29" s="22">
        <f>J$20*Inputs!$D16</f>
        <v>86.681738718388502</v>
      </c>
      <c r="K29" s="22">
        <f>K$20*Inputs!$D16</f>
        <v>86.681738718388502</v>
      </c>
      <c r="L29" s="22">
        <f>L$20*Inputs!$D16</f>
        <v>86.681738718388502</v>
      </c>
      <c r="M29" s="22">
        <f>M$20*Inputs!$D16</f>
        <v>86.681738718388502</v>
      </c>
      <c r="N29" s="22">
        <f>N$20*Inputs!$D16</f>
        <v>86.681738718388502</v>
      </c>
      <c r="O29" s="15">
        <f t="shared" si="10"/>
        <v>1040.1808646206621</v>
      </c>
      <c r="Q29" s="25" t="s">
        <v>33</v>
      </c>
      <c r="R29" s="5">
        <f>SUM(I23,H24,G25,F26,E27,D28,C29)</f>
        <v>11008.580817235341</v>
      </c>
      <c r="S29" s="5">
        <f t="shared" si="8"/>
        <v>86.660576184521716</v>
      </c>
      <c r="T29" s="5">
        <f t="shared" si="9"/>
        <v>2.1157367232549247E-2</v>
      </c>
      <c r="U29" s="5">
        <f>SUM(G61,H60,I59,J58,K57,L56,M55,N54)</f>
        <v>5.1464520798039318E-6</v>
      </c>
    </row>
    <row r="30" spans="2:21" x14ac:dyDescent="0.25">
      <c r="B30" s="1" t="s">
        <v>52</v>
      </c>
      <c r="C30" s="21">
        <f>C$20*Inputs!$D17</f>
        <v>43.340869359194251</v>
      </c>
      <c r="D30" s="21">
        <f>D$20*Inputs!$D17</f>
        <v>43.340869359194251</v>
      </c>
      <c r="E30" s="21">
        <f>E$20*Inputs!$D17</f>
        <v>43.340869359194251</v>
      </c>
      <c r="F30" s="21">
        <f>F$20*Inputs!$D17</f>
        <v>43.340869359194251</v>
      </c>
      <c r="G30" s="21">
        <f>G$20*Inputs!$D17</f>
        <v>43.340869359194251</v>
      </c>
      <c r="H30" s="22">
        <f>H$20*Inputs!$D17</f>
        <v>43.340869359194251</v>
      </c>
      <c r="I30" s="22">
        <f>I$20*Inputs!$D17</f>
        <v>43.340869359194251</v>
      </c>
      <c r="J30" s="22">
        <f>J$20*Inputs!$D17</f>
        <v>43.340869359194251</v>
      </c>
      <c r="K30" s="22">
        <f>K$20*Inputs!$D17</f>
        <v>43.340869359194251</v>
      </c>
      <c r="L30" s="22">
        <f>L$20*Inputs!$D17</f>
        <v>43.340869359194251</v>
      </c>
      <c r="M30" s="22">
        <f>M$20*Inputs!$D17</f>
        <v>43.340869359194251</v>
      </c>
      <c r="N30" s="22">
        <f>N$20*Inputs!$D17</f>
        <v>43.340869359194251</v>
      </c>
      <c r="O30" s="15">
        <f t="shared" si="10"/>
        <v>520.09043231033104</v>
      </c>
      <c r="Q30" s="25" t="s">
        <v>34</v>
      </c>
      <c r="R30" s="5">
        <f>SUM(I24,H25,G26,F27,E28,D29,C30,J23)</f>
        <v>11051.921686594535</v>
      </c>
      <c r="S30" s="5">
        <f t="shared" si="8"/>
        <v>43.330288092260858</v>
      </c>
      <c r="T30" s="5">
        <f t="shared" si="9"/>
        <v>1.0578683616274624E-2</v>
      </c>
      <c r="U30" s="5">
        <f>SUM(H61,I60,J59,K58,L57,M56,N55)</f>
        <v>2.5631349573925461E-6</v>
      </c>
    </row>
    <row r="31" spans="2:21" x14ac:dyDescent="0.25">
      <c r="B31" s="1" t="s">
        <v>53</v>
      </c>
      <c r="C31" s="21">
        <f>C$20*Inputs!$D18</f>
        <v>21.670434679597125</v>
      </c>
      <c r="D31" s="21">
        <f>D$20*Inputs!$D18</f>
        <v>21.670434679597125</v>
      </c>
      <c r="E31" s="21">
        <f>E$20*Inputs!$D18</f>
        <v>21.670434679597125</v>
      </c>
      <c r="F31" s="21">
        <f>F$20*Inputs!$D18</f>
        <v>21.670434679597125</v>
      </c>
      <c r="G31" s="22">
        <f>G$20*Inputs!$D18</f>
        <v>21.670434679597125</v>
      </c>
      <c r="H31" s="22">
        <f>H$20*Inputs!$D18</f>
        <v>21.670434679597125</v>
      </c>
      <c r="I31" s="22">
        <f>I$20*Inputs!$D18</f>
        <v>21.670434679597125</v>
      </c>
      <c r="J31" s="22">
        <f>J$20*Inputs!$D18</f>
        <v>21.670434679597125</v>
      </c>
      <c r="K31" s="22">
        <f>K$20*Inputs!$D18</f>
        <v>21.670434679597125</v>
      </c>
      <c r="L31" s="22">
        <f>L$20*Inputs!$D18</f>
        <v>21.670434679597125</v>
      </c>
      <c r="M31" s="22">
        <f>M$20*Inputs!$D18</f>
        <v>21.670434679597125</v>
      </c>
      <c r="N31" s="22">
        <f>N$20*Inputs!$D18</f>
        <v>21.670434679597125</v>
      </c>
      <c r="O31" s="15">
        <f t="shared" si="10"/>
        <v>260.04521615516552</v>
      </c>
      <c r="Q31" s="25" t="s">
        <v>35</v>
      </c>
      <c r="R31" s="5">
        <f>SUM(I25,H26,G27,F28,E29,D30,C31,J24,K23)</f>
        <v>11073.59212127413</v>
      </c>
      <c r="S31" s="5">
        <f t="shared" si="8"/>
        <v>21.665144046130429</v>
      </c>
      <c r="T31" s="5">
        <f t="shared" si="9"/>
        <v>5.2893418081373118E-3</v>
      </c>
      <c r="U31" s="5">
        <f>SUM(I61,J60,K59,L58,M57,N56)</f>
        <v>1.2714763961868537E-6</v>
      </c>
    </row>
    <row r="32" spans="2:21" x14ac:dyDescent="0.25">
      <c r="B32" s="1" t="s">
        <v>54</v>
      </c>
      <c r="C32" s="21">
        <f>C$20*Inputs!$D19</f>
        <v>10.835217339798563</v>
      </c>
      <c r="D32" s="21">
        <f>D$20*Inputs!$D19</f>
        <v>10.835217339798563</v>
      </c>
      <c r="E32" s="21">
        <f>E$20*Inputs!$D19</f>
        <v>10.835217339798563</v>
      </c>
      <c r="F32" s="22">
        <f>F$20*Inputs!$D19</f>
        <v>10.835217339798563</v>
      </c>
      <c r="G32" s="22">
        <f>G$20*Inputs!$D19</f>
        <v>10.835217339798563</v>
      </c>
      <c r="H32" s="22">
        <f>H$20*Inputs!$D19</f>
        <v>10.835217339798563</v>
      </c>
      <c r="I32" s="22">
        <f>I$20*Inputs!$D19</f>
        <v>10.835217339798563</v>
      </c>
      <c r="J32" s="22">
        <f>J$20*Inputs!$D19</f>
        <v>10.835217339798563</v>
      </c>
      <c r="K32" s="22">
        <f>K$20*Inputs!$D19</f>
        <v>10.835217339798563</v>
      </c>
      <c r="L32" s="22">
        <f>L$20*Inputs!$D19</f>
        <v>10.835217339798563</v>
      </c>
      <c r="M32" s="22">
        <f>M$20*Inputs!$D19</f>
        <v>10.835217339798563</v>
      </c>
      <c r="N32" s="22">
        <f>N$20*Inputs!$D19</f>
        <v>10.835217339798563</v>
      </c>
      <c r="O32" s="15">
        <f t="shared" si="10"/>
        <v>130.02260807758276</v>
      </c>
      <c r="Q32" s="25" t="s">
        <v>36</v>
      </c>
      <c r="R32" s="5">
        <f>SUM(I26,H27,G28,F29,E30,D31,C32,J25,K24,L23)</f>
        <v>11084.427338613928</v>
      </c>
      <c r="S32" s="5">
        <f t="shared" si="8"/>
        <v>10.832572023065214</v>
      </c>
      <c r="T32" s="5">
        <f t="shared" si="9"/>
        <v>2.6446709040686559E-3</v>
      </c>
      <c r="U32" s="5">
        <f>SUM(J61,K60,L59,M58,N57)</f>
        <v>6.2564711558400731E-7</v>
      </c>
    </row>
    <row r="33" spans="2:33" x14ac:dyDescent="0.25">
      <c r="B33" s="1" t="s">
        <v>55</v>
      </c>
      <c r="C33" s="21">
        <f>C$20*Inputs!$D20</f>
        <v>5.4176086698992814</v>
      </c>
      <c r="D33" s="21">
        <f>D$20*Inputs!$D20</f>
        <v>5.4176086698992814</v>
      </c>
      <c r="E33" s="22">
        <f>E$20*Inputs!$D20</f>
        <v>5.4176086698992814</v>
      </c>
      <c r="F33" s="22">
        <f>F$20*Inputs!$D20</f>
        <v>5.4176086698992814</v>
      </c>
      <c r="G33" s="22">
        <f>G$20*Inputs!$D20</f>
        <v>5.4176086698992814</v>
      </c>
      <c r="H33" s="22">
        <f>H$20*Inputs!$D20</f>
        <v>5.4176086698992814</v>
      </c>
      <c r="I33" s="22">
        <f>I$20*Inputs!$D20</f>
        <v>5.4176086698992814</v>
      </c>
      <c r="J33" s="22">
        <f>J$20*Inputs!$D20</f>
        <v>5.4176086698992814</v>
      </c>
      <c r="K33" s="22">
        <f>K$20*Inputs!$D20</f>
        <v>5.4176086698992814</v>
      </c>
      <c r="L33" s="22">
        <f>L$20*Inputs!$D20</f>
        <v>5.4176086698992814</v>
      </c>
      <c r="M33" s="22">
        <f>M$20*Inputs!$D20</f>
        <v>5.4176086698992814</v>
      </c>
      <c r="N33" s="22">
        <f>N$20*Inputs!$D20</f>
        <v>5.4176086698992814</v>
      </c>
      <c r="O33" s="15">
        <f t="shared" si="10"/>
        <v>65.01130403879138</v>
      </c>
      <c r="Q33" s="25" t="s">
        <v>37</v>
      </c>
      <c r="R33" s="5">
        <f>SUM(I27,H28,G29,F30,E31,D32,C33,J26,K25,L24,M23)</f>
        <v>11089.844947283829</v>
      </c>
      <c r="S33" s="5">
        <f t="shared" si="8"/>
        <v>5.4162860115326072</v>
      </c>
      <c r="T33" s="5">
        <f t="shared" si="9"/>
        <v>1.3223354520343279E-3</v>
      </c>
      <c r="U33" s="5">
        <f>SUM(K61,L60,M59,N58)</f>
        <v>3.0273247528258421E-7</v>
      </c>
    </row>
    <row r="34" spans="2:33" x14ac:dyDescent="0.25">
      <c r="B34" s="1" t="s">
        <v>56</v>
      </c>
      <c r="C34" s="21">
        <f>C$20*Inputs!$D21</f>
        <v>2.7088043349496407</v>
      </c>
      <c r="D34" s="22">
        <f>D$20*Inputs!$D21</f>
        <v>2.7088043349496407</v>
      </c>
      <c r="E34" s="22">
        <f>E$20*Inputs!$D21</f>
        <v>2.7088043349496407</v>
      </c>
      <c r="F34" s="22">
        <f>F$20*Inputs!$D21</f>
        <v>2.7088043349496407</v>
      </c>
      <c r="G34" s="22">
        <f>G$20*Inputs!$D21</f>
        <v>2.7088043349496407</v>
      </c>
      <c r="H34" s="22">
        <f>H$20*Inputs!$D21</f>
        <v>2.7088043349496407</v>
      </c>
      <c r="I34" s="22">
        <f>I$20*Inputs!$D21</f>
        <v>2.7088043349496407</v>
      </c>
      <c r="J34" s="22">
        <f>J$20*Inputs!$D21</f>
        <v>2.7088043349496407</v>
      </c>
      <c r="K34" s="22">
        <f>K$20*Inputs!$D21</f>
        <v>2.7088043349496407</v>
      </c>
      <c r="L34" s="22">
        <f>L$20*Inputs!$D21</f>
        <v>2.7088043349496407</v>
      </c>
      <c r="M34" s="22">
        <f>M$20*Inputs!$D21</f>
        <v>2.7088043349496407</v>
      </c>
      <c r="N34" s="22">
        <f>N$20*Inputs!$D21</f>
        <v>2.7088043349496407</v>
      </c>
      <c r="O34" s="15">
        <f t="shared" si="10"/>
        <v>32.50565201939569</v>
      </c>
      <c r="Q34" s="25" t="s">
        <v>38</v>
      </c>
      <c r="R34" s="5">
        <f>SUM(I28,H29,G30,F31,E32,D33,C34,J27,K26,L25,M24,N23)</f>
        <v>11092.55375161878</v>
      </c>
      <c r="S34" s="5">
        <f t="shared" si="8"/>
        <v>2.7081430057663036</v>
      </c>
      <c r="T34" s="5">
        <f t="shared" si="9"/>
        <v>6.6116772601716397E-4</v>
      </c>
      <c r="U34" s="5">
        <f>SUM(,L61,M60,N59)</f>
        <v>1.4127515513187263E-7</v>
      </c>
    </row>
    <row r="35" spans="2:33" x14ac:dyDescent="0.25">
      <c r="B35" s="1" t="s">
        <v>57</v>
      </c>
      <c r="C35" s="22">
        <f>C$20*Inputs!$D22</f>
        <v>1.3544021674748203</v>
      </c>
      <c r="D35" s="22">
        <f>D$20*Inputs!$D22</f>
        <v>1.3544021674748203</v>
      </c>
      <c r="E35" s="22">
        <f>E$20*Inputs!$D22</f>
        <v>1.3544021674748203</v>
      </c>
      <c r="F35" s="22">
        <f>F$20*Inputs!$D22</f>
        <v>1.3544021674748203</v>
      </c>
      <c r="G35" s="22">
        <f>G$20*Inputs!$D22</f>
        <v>1.3544021674748203</v>
      </c>
      <c r="H35" s="22">
        <f>H$20*Inputs!$D22</f>
        <v>1.3544021674748203</v>
      </c>
      <c r="I35" s="22">
        <f>I$20*Inputs!$D22</f>
        <v>1.3544021674748203</v>
      </c>
      <c r="J35" s="22">
        <f>J$20*Inputs!$D22</f>
        <v>1.3544021674748203</v>
      </c>
      <c r="K35" s="22">
        <f>K$20*Inputs!$D22</f>
        <v>1.3544021674748203</v>
      </c>
      <c r="L35" s="22">
        <f>L$20*Inputs!$D22</f>
        <v>1.3544021674748203</v>
      </c>
      <c r="M35" s="22">
        <f>M$20*Inputs!$D22</f>
        <v>1.3544021674748203</v>
      </c>
      <c r="N35" s="22">
        <f>N$20*Inputs!$D22</f>
        <v>1.3544021674748203</v>
      </c>
      <c r="O35" s="15">
        <f t="shared" si="10"/>
        <v>16.252826009697845</v>
      </c>
      <c r="Q35" s="56" t="s">
        <v>39</v>
      </c>
      <c r="R35" s="57">
        <f>SUM(R23:R34)</f>
        <v>122050.59691982594</v>
      </c>
      <c r="S35" s="57">
        <f t="shared" ref="S35:U35" si="11">SUM(S23:S34)</f>
        <v>11089.845608613014</v>
      </c>
      <c r="T35" s="57">
        <f t="shared" si="11"/>
        <v>2.7074818380402865</v>
      </c>
      <c r="U35" s="57">
        <f t="shared" si="11"/>
        <v>6.6084481137686257E-4</v>
      </c>
    </row>
    <row r="36" spans="2:33" x14ac:dyDescent="0.25">
      <c r="B36" s="1" t="s">
        <v>58</v>
      </c>
      <c r="C36" s="22">
        <f>C$20*Inputs!$D23</f>
        <v>0.67720108373741017</v>
      </c>
      <c r="D36" s="22">
        <f>D$20*Inputs!$D23</f>
        <v>0.67720108373741017</v>
      </c>
      <c r="E36" s="22">
        <f>E$20*Inputs!$D23</f>
        <v>0.67720108373741017</v>
      </c>
      <c r="F36" s="22">
        <f>F$20*Inputs!$D23</f>
        <v>0.67720108373741017</v>
      </c>
      <c r="G36" s="22">
        <f>G$20*Inputs!$D23</f>
        <v>0.67720108373741017</v>
      </c>
      <c r="H36" s="22">
        <f>H$20*Inputs!$D23</f>
        <v>0.67720108373741017</v>
      </c>
      <c r="I36" s="22">
        <f>I$20*Inputs!$D23</f>
        <v>0.67720108373741017</v>
      </c>
      <c r="J36" s="22">
        <f>J$20*Inputs!$D23</f>
        <v>0.67720108373741017</v>
      </c>
      <c r="K36" s="22">
        <f>K$20*Inputs!$D23</f>
        <v>0.67720108373741017</v>
      </c>
      <c r="L36" s="22">
        <f>L$20*Inputs!$D23</f>
        <v>0.67720108373741017</v>
      </c>
      <c r="M36" s="22">
        <f>M$20*Inputs!$D23</f>
        <v>0.67720108373741017</v>
      </c>
      <c r="N36" s="27">
        <f>N$20*Inputs!$D23</f>
        <v>0.67720108373741017</v>
      </c>
      <c r="O36" s="15">
        <f t="shared" si="10"/>
        <v>8.1264130048489225</v>
      </c>
    </row>
    <row r="37" spans="2:33" x14ac:dyDescent="0.25">
      <c r="B37" s="1" t="s">
        <v>59</v>
      </c>
      <c r="C37" s="22">
        <f>C$20*Inputs!$D24</f>
        <v>0.33860054186870508</v>
      </c>
      <c r="D37" s="22">
        <f>D$20*Inputs!$D24</f>
        <v>0.33860054186870508</v>
      </c>
      <c r="E37" s="22">
        <f>E$20*Inputs!$D24</f>
        <v>0.33860054186870508</v>
      </c>
      <c r="F37" s="22">
        <f>F$20*Inputs!$D24</f>
        <v>0.33860054186870508</v>
      </c>
      <c r="G37" s="22">
        <f>G$20*Inputs!$D24</f>
        <v>0.33860054186870508</v>
      </c>
      <c r="H37" s="22">
        <f>H$20*Inputs!$D24</f>
        <v>0.33860054186870508</v>
      </c>
      <c r="I37" s="22">
        <f>I$20*Inputs!$D24</f>
        <v>0.33860054186870508</v>
      </c>
      <c r="J37" s="22">
        <f>J$20*Inputs!$D24</f>
        <v>0.33860054186870508</v>
      </c>
      <c r="K37" s="22">
        <f>K$20*Inputs!$D24</f>
        <v>0.33860054186870508</v>
      </c>
      <c r="L37" s="22">
        <f>L$20*Inputs!$D24</f>
        <v>0.33860054186870508</v>
      </c>
      <c r="M37" s="27">
        <f>M$20*Inputs!$D24</f>
        <v>0.33860054186870508</v>
      </c>
      <c r="N37" s="27">
        <f>N$20*Inputs!$D24</f>
        <v>0.33860054186870508</v>
      </c>
      <c r="O37" s="15">
        <f t="shared" si="10"/>
        <v>4.0632065024244612</v>
      </c>
    </row>
    <row r="38" spans="2:33" x14ac:dyDescent="0.25">
      <c r="B38" s="1" t="s">
        <v>60</v>
      </c>
      <c r="C38" s="22">
        <f>C$20*Inputs!$D25</f>
        <v>0.16930027093435254</v>
      </c>
      <c r="D38" s="22">
        <f>D$20*Inputs!$D25</f>
        <v>0.16930027093435254</v>
      </c>
      <c r="E38" s="22">
        <f>E$20*Inputs!$D25</f>
        <v>0.16930027093435254</v>
      </c>
      <c r="F38" s="22">
        <f>F$20*Inputs!$D25</f>
        <v>0.16930027093435254</v>
      </c>
      <c r="G38" s="22">
        <f>G$20*Inputs!$D25</f>
        <v>0.16930027093435254</v>
      </c>
      <c r="H38" s="22">
        <f>H$20*Inputs!$D25</f>
        <v>0.16930027093435254</v>
      </c>
      <c r="I38" s="22">
        <f>I$20*Inputs!$D25</f>
        <v>0.16930027093435254</v>
      </c>
      <c r="J38" s="22">
        <f>J$20*Inputs!$D25</f>
        <v>0.16930027093435254</v>
      </c>
      <c r="K38" s="22">
        <f>K$20*Inputs!$D25</f>
        <v>0.16930027093435254</v>
      </c>
      <c r="L38" s="27">
        <f>L$20*Inputs!$D25</f>
        <v>0.16930027093435254</v>
      </c>
      <c r="M38" s="27">
        <f>M$20*Inputs!$D25</f>
        <v>0.16930027093435254</v>
      </c>
      <c r="N38" s="27">
        <f>N$20*Inputs!$D25</f>
        <v>0.16930027093435254</v>
      </c>
      <c r="O38" s="15">
        <f t="shared" si="10"/>
        <v>2.0316032512122306</v>
      </c>
      <c r="Q38" t="s">
        <v>89</v>
      </c>
      <c r="R38" s="67" t="s">
        <v>90</v>
      </c>
      <c r="S38" s="68"/>
      <c r="T38" s="68"/>
      <c r="U38" s="68"/>
      <c r="V38" s="67" t="s">
        <v>96</v>
      </c>
      <c r="W38" s="68"/>
      <c r="X38" s="68"/>
      <c r="Y38" s="69"/>
      <c r="Z38" s="67" t="s">
        <v>97</v>
      </c>
      <c r="AA38" s="68"/>
      <c r="AB38" s="68"/>
      <c r="AC38" s="69"/>
      <c r="AD38" s="67"/>
      <c r="AE38" s="68"/>
      <c r="AF38" s="68"/>
      <c r="AG38" s="69"/>
    </row>
    <row r="39" spans="2:33" x14ac:dyDescent="0.25">
      <c r="B39" s="1" t="s">
        <v>61</v>
      </c>
      <c r="C39" s="22">
        <f>C$20*Inputs!$D26</f>
        <v>8.4650135467176271E-2</v>
      </c>
      <c r="D39" s="22">
        <f>D$20*Inputs!$D26</f>
        <v>8.4650135467176271E-2</v>
      </c>
      <c r="E39" s="22">
        <f>E$20*Inputs!$D26</f>
        <v>8.4650135467176271E-2</v>
      </c>
      <c r="F39" s="22">
        <f>F$20*Inputs!$D26</f>
        <v>8.4650135467176271E-2</v>
      </c>
      <c r="G39" s="22">
        <f>G$20*Inputs!$D26</f>
        <v>8.4650135467176271E-2</v>
      </c>
      <c r="H39" s="22">
        <f>H$20*Inputs!$D26</f>
        <v>8.4650135467176271E-2</v>
      </c>
      <c r="I39" s="22">
        <f>I$20*Inputs!$D26</f>
        <v>8.4650135467176271E-2</v>
      </c>
      <c r="J39" s="22">
        <f>J$20*Inputs!$D26</f>
        <v>8.4650135467176271E-2</v>
      </c>
      <c r="K39" s="27">
        <f>K$20*Inputs!$D26</f>
        <v>8.4650135467176271E-2</v>
      </c>
      <c r="L39" s="27">
        <f>L$20*Inputs!$D26</f>
        <v>8.4650135467176271E-2</v>
      </c>
      <c r="M39" s="27">
        <f>M$20*Inputs!$D26</f>
        <v>8.4650135467176271E-2</v>
      </c>
      <c r="N39" s="27">
        <f>N$20*Inputs!$D26</f>
        <v>8.4650135467176271E-2</v>
      </c>
      <c r="O39" s="15">
        <f t="shared" si="10"/>
        <v>1.0158016256061153</v>
      </c>
      <c r="Q39" t="s">
        <v>91</v>
      </c>
      <c r="R39" s="37" t="s">
        <v>92</v>
      </c>
      <c r="S39" s="38" t="s">
        <v>93</v>
      </c>
      <c r="T39" s="38" t="s">
        <v>94</v>
      </c>
      <c r="U39" s="38" t="s">
        <v>95</v>
      </c>
      <c r="V39" s="37" t="s">
        <v>93</v>
      </c>
      <c r="W39" s="38" t="s">
        <v>94</v>
      </c>
      <c r="X39" s="38" t="s">
        <v>95</v>
      </c>
      <c r="Y39" s="39" t="s">
        <v>98</v>
      </c>
      <c r="Z39" s="37" t="s">
        <v>94</v>
      </c>
      <c r="AA39" s="38" t="s">
        <v>95</v>
      </c>
      <c r="AB39" s="38" t="s">
        <v>98</v>
      </c>
      <c r="AC39" s="39" t="s">
        <v>99</v>
      </c>
      <c r="AD39" s="37" t="s">
        <v>95</v>
      </c>
      <c r="AE39" s="38" t="s">
        <v>98</v>
      </c>
      <c r="AF39" s="38" t="s">
        <v>99</v>
      </c>
      <c r="AG39" s="39" t="s">
        <v>100</v>
      </c>
    </row>
    <row r="40" spans="2:33" x14ac:dyDescent="0.25">
      <c r="B40" s="1" t="s">
        <v>62</v>
      </c>
      <c r="C40" s="22">
        <f>C$20*Inputs!$D27</f>
        <v>4.2325067733588136E-2</v>
      </c>
      <c r="D40" s="22">
        <f>D$20*Inputs!$D27</f>
        <v>4.2325067733588136E-2</v>
      </c>
      <c r="E40" s="22">
        <f>E$20*Inputs!$D27</f>
        <v>4.2325067733588136E-2</v>
      </c>
      <c r="F40" s="22">
        <f>F$20*Inputs!$D27</f>
        <v>4.2325067733588136E-2</v>
      </c>
      <c r="G40" s="22">
        <f>G$20*Inputs!$D27</f>
        <v>4.2325067733588136E-2</v>
      </c>
      <c r="H40" s="22">
        <f>H$20*Inputs!$D27</f>
        <v>4.2325067733588136E-2</v>
      </c>
      <c r="I40" s="22">
        <f>I$20*Inputs!$D27</f>
        <v>4.2325067733588136E-2</v>
      </c>
      <c r="J40" s="27">
        <f>J$20*Inputs!$D27</f>
        <v>4.2325067733588136E-2</v>
      </c>
      <c r="K40" s="27">
        <f>K$20*Inputs!$D27</f>
        <v>4.2325067733588136E-2</v>
      </c>
      <c r="L40" s="27">
        <f>L$20*Inputs!$D27</f>
        <v>4.2325067733588136E-2</v>
      </c>
      <c r="M40" s="27">
        <f>M$20*Inputs!$D27</f>
        <v>4.2325067733588136E-2</v>
      </c>
      <c r="N40" s="27">
        <f>N$20*Inputs!$D27</f>
        <v>4.2325067733588136E-2</v>
      </c>
      <c r="O40" s="15">
        <f t="shared" si="10"/>
        <v>0.50790081280305766</v>
      </c>
      <c r="Q40" s="25" t="s">
        <v>27</v>
      </c>
      <c r="R40" s="41">
        <f>$R23*Adherence!BB3*Inputs!$C$6</f>
        <v>3544497.7617308632</v>
      </c>
      <c r="S40" s="42">
        <f>$R23*Adherence!BC3*Inputs!$C$6</f>
        <v>2205236.258905807</v>
      </c>
      <c r="T40" s="42">
        <f>$R23*Adherence!BD3*Inputs!$C$6</f>
        <v>1694513.9148241605</v>
      </c>
      <c r="U40" s="42">
        <f>$R23*Adherence!BE3*Inputs!$C$6</f>
        <v>0</v>
      </c>
      <c r="V40" s="41">
        <f>$S23*Adherence!BB3*Inputs!$C$6</f>
        <v>3543632.4058320033</v>
      </c>
      <c r="W40" s="42">
        <f>$S23*Adherence!BC3*Inputs!$C$6</f>
        <v>2204697.8711472852</v>
      </c>
      <c r="X40" s="42">
        <f>$S23*Adherence!BD3*Inputs!$C$6</f>
        <v>1694100.2151379241</v>
      </c>
      <c r="Y40" s="43">
        <f>$S23*Adherence!BE3*Inputs!$C$6</f>
        <v>0</v>
      </c>
      <c r="Z40" s="41">
        <f>$T23*Adherence!BB3*Inputs!$C$6</f>
        <v>865.14463033007894</v>
      </c>
      <c r="AA40" s="42">
        <f>$T23*Adherence!BC3*Inputs!$C$6</f>
        <v>538.25631619806768</v>
      </c>
      <c r="AB40" s="42">
        <f>$T23*Adherence!BD3*Inputs!$C$6</f>
        <v>413.59868533640724</v>
      </c>
      <c r="AC40" s="43">
        <f>$T23*Adherence!BE3*Inputs!$C$6</f>
        <v>0</v>
      </c>
      <c r="AD40" s="41">
        <f>$U23*Adherence!BB3*Inputs!$C$6</f>
        <v>0.21121695076417943</v>
      </c>
      <c r="AE40" s="42">
        <f>$U23*Adherence!BC3*Inputs!$C$6</f>
        <v>0.13141023344679387</v>
      </c>
      <c r="AF40" s="42">
        <f>$U23*Adherence!BD3*Inputs!$C$6</f>
        <v>0.1009762415372088</v>
      </c>
      <c r="AG40" s="43">
        <f>$U23*Adherence!BE3*Inputs!$C$6</f>
        <v>0</v>
      </c>
    </row>
    <row r="41" spans="2:33" x14ac:dyDescent="0.25">
      <c r="B41" s="1" t="s">
        <v>63</v>
      </c>
      <c r="C41" s="22">
        <f>C$20*Inputs!$D28</f>
        <v>2.1162533866794068E-2</v>
      </c>
      <c r="D41" s="22">
        <f>D$20*Inputs!$D28</f>
        <v>2.1162533866794068E-2</v>
      </c>
      <c r="E41" s="22">
        <f>E$20*Inputs!$D28</f>
        <v>2.1162533866794068E-2</v>
      </c>
      <c r="F41" s="22">
        <f>F$20*Inputs!$D28</f>
        <v>2.1162533866794068E-2</v>
      </c>
      <c r="G41" s="22">
        <f>G$20*Inputs!$D28</f>
        <v>2.1162533866794068E-2</v>
      </c>
      <c r="H41" s="22">
        <f>H$20*Inputs!$D28</f>
        <v>2.1162533866794068E-2</v>
      </c>
      <c r="I41" s="27">
        <f>I$20*Inputs!$D28</f>
        <v>2.1162533866794068E-2</v>
      </c>
      <c r="J41" s="27">
        <f>J$20*Inputs!$D28</f>
        <v>2.1162533866794068E-2</v>
      </c>
      <c r="K41" s="27">
        <f>K$20*Inputs!$D28</f>
        <v>2.1162533866794068E-2</v>
      </c>
      <c r="L41" s="27">
        <f>L$20*Inputs!$D28</f>
        <v>2.1162533866794068E-2</v>
      </c>
      <c r="M41" s="27">
        <f>M$20*Inputs!$D28</f>
        <v>2.1162533866794068E-2</v>
      </c>
      <c r="N41" s="27">
        <f>N$20*Inputs!$D28</f>
        <v>2.1162533866794068E-2</v>
      </c>
      <c r="O41" s="15">
        <f t="shared" si="10"/>
        <v>0.25395040640152883</v>
      </c>
      <c r="Q41" s="25" t="s">
        <v>28</v>
      </c>
      <c r="R41" s="41">
        <f>$R24*Adherence!BB4*Inputs!$C$6</f>
        <v>5010847.1835158113</v>
      </c>
      <c r="S41" s="42">
        <f>$R24*Adherence!BC4*Inputs!$C$6</f>
        <v>3367726.3073078231</v>
      </c>
      <c r="T41" s="42">
        <f>$R24*Adherence!BD4*Inputs!$C$6</f>
        <v>2670260.7927609896</v>
      </c>
      <c r="U41" s="42">
        <f>$R24*Adherence!BE4*Inputs!$C$6</f>
        <v>117537.619606625</v>
      </c>
      <c r="V41" s="41">
        <f>$S24*Adherence!BB4*Inputs!$C$6</f>
        <v>1669874.6107175495</v>
      </c>
      <c r="W41" s="42">
        <f>$S24*Adherence!BC4*Inputs!$C$6</f>
        <v>1122301.3695007763</v>
      </c>
      <c r="X41" s="42">
        <f>$S24*Adherence!BD4*Inputs!$C$6</f>
        <v>889869.62454071071</v>
      </c>
      <c r="Y41" s="43">
        <f>$S24*Adherence!BE4*Inputs!$C$6</f>
        <v>39169.641299571078</v>
      </c>
      <c r="Z41" s="41">
        <f>$T24*Adherence!BB4*Inputs!$C$6</f>
        <v>407.68423113221422</v>
      </c>
      <c r="AA41" s="42">
        <f>$T24*Adherence!BC4*Inputs!$C$6</f>
        <v>273.99935778827546</v>
      </c>
      <c r="AB41" s="42">
        <f>$T24*Adherence!BD4*Inputs!$C$6</f>
        <v>217.25332630388445</v>
      </c>
      <c r="AC41" s="43">
        <f>$T24*Adherence!BE4*Inputs!$C$6</f>
        <v>9.5629007079030952</v>
      </c>
      <c r="AD41" s="41">
        <f>$U24*Adherence!BB4*Inputs!$C$6</f>
        <v>9.9532282991263238E-2</v>
      </c>
      <c r="AE41" s="42">
        <f>$U24*Adherence!BC4*Inputs!$C$6</f>
        <v>6.6894374460028189E-2</v>
      </c>
      <c r="AF41" s="42">
        <f>$U24*Adherence!BD4*Inputs!$C$6</f>
        <v>5.3040362867159289E-2</v>
      </c>
      <c r="AG41" s="43">
        <f>$U24*Adherence!BE4*Inputs!$C$6</f>
        <v>2.3346925556404041E-3</v>
      </c>
    </row>
    <row r="42" spans="2:33" x14ac:dyDescent="0.25">
      <c r="B42" s="1" t="s">
        <v>64</v>
      </c>
      <c r="C42" s="22">
        <f>C$20*Inputs!$D29</f>
        <v>1.0581266933397034E-2</v>
      </c>
      <c r="D42" s="22">
        <f>D$20*Inputs!$D29</f>
        <v>1.0581266933397034E-2</v>
      </c>
      <c r="E42" s="22">
        <f>E$20*Inputs!$D29</f>
        <v>1.0581266933397034E-2</v>
      </c>
      <c r="F42" s="22">
        <f>F$20*Inputs!$D29</f>
        <v>1.0581266933397034E-2</v>
      </c>
      <c r="G42" s="22">
        <f>G$20*Inputs!$D29</f>
        <v>1.0581266933397034E-2</v>
      </c>
      <c r="H42" s="27">
        <f>H$20*Inputs!$D29</f>
        <v>1.0581266933397034E-2</v>
      </c>
      <c r="I42" s="27">
        <f>I$20*Inputs!$D29</f>
        <v>1.0581266933397034E-2</v>
      </c>
      <c r="J42" s="27">
        <f>J$20*Inputs!$D29</f>
        <v>1.0581266933397034E-2</v>
      </c>
      <c r="K42" s="27">
        <f>K$20*Inputs!$D29</f>
        <v>1.0581266933397034E-2</v>
      </c>
      <c r="L42" s="27">
        <f>L$20*Inputs!$D29</f>
        <v>1.0581266933397034E-2</v>
      </c>
      <c r="M42" s="27">
        <f>M$20*Inputs!$D29</f>
        <v>1.0581266933397034E-2</v>
      </c>
      <c r="N42" s="27">
        <f>N$20*Inputs!$D29</f>
        <v>1.0581266933397034E-2</v>
      </c>
      <c r="O42" s="15">
        <f t="shared" si="10"/>
        <v>0.12697520320076441</v>
      </c>
      <c r="Q42" s="25" t="s">
        <v>29</v>
      </c>
      <c r="R42" s="41">
        <f>$R25*Adherence!BB5*Inputs!$C$6</f>
        <v>5470205.2333462797</v>
      </c>
      <c r="S42" s="42">
        <f>$R25*Adherence!BC5*Inputs!$C$6</f>
        <v>4005666.8436739356</v>
      </c>
      <c r="T42" s="42">
        <f>$R25*Adherence!BD5*Inputs!$C$6</f>
        <v>3213058.417808135</v>
      </c>
      <c r="U42" s="42">
        <f>$R25*Adherence!BE5*Inputs!$C$6</f>
        <v>338503.39222810272</v>
      </c>
      <c r="V42" s="41">
        <f>$S25*Adherence!BB5*Inputs!$C$6</f>
        <v>781267.10486024758</v>
      </c>
      <c r="W42" s="42">
        <f>$S25*Adherence!BC5*Inputs!$C$6</f>
        <v>572098.41395245423</v>
      </c>
      <c r="X42" s="42">
        <f>$S25*Adherence!BD5*Inputs!$C$6</f>
        <v>458896.28281683568</v>
      </c>
      <c r="Y42" s="43">
        <f>$S25*Adherence!BE5*Inputs!$C$6</f>
        <v>48345.821399765642</v>
      </c>
      <c r="Z42" s="41">
        <f>$T25*Adherence!BB5*Inputs!$C$6</f>
        <v>190.73903927252138</v>
      </c>
      <c r="AA42" s="42">
        <f>$T25*Adherence!BC5*Inputs!$C$6</f>
        <v>139.6724643438609</v>
      </c>
      <c r="AB42" s="42">
        <f>$T25*Adherence!BD5*Inputs!$C$6</f>
        <v>112.03522529707902</v>
      </c>
      <c r="AC42" s="43">
        <f>$T25*Adherence!BE5*Inputs!$C$6</f>
        <v>11.803179052677159</v>
      </c>
      <c r="AD42" s="41">
        <f>$U25*Adherence!BB5*Inputs!$C$6</f>
        <v>4.6567148259892915E-2</v>
      </c>
      <c r="AE42" s="42">
        <f>$U25*Adherence!BC5*Inputs!$C$6</f>
        <v>3.4099722740200414E-2</v>
      </c>
      <c r="AF42" s="42">
        <f>$U25*Adherence!BD5*Inputs!$C$6</f>
        <v>2.7352349926044683E-2</v>
      </c>
      <c r="AG42" s="43">
        <f>$U25*Adherence!BE5*Inputs!$C$6</f>
        <v>2.8816355109075095E-3</v>
      </c>
    </row>
    <row r="43" spans="2:33" x14ac:dyDescent="0.25">
      <c r="B43" s="1" t="s">
        <v>65</v>
      </c>
      <c r="C43" s="22">
        <f>C$20*Inputs!$D30</f>
        <v>5.290633466698517E-3</v>
      </c>
      <c r="D43" s="22">
        <f>D$20*Inputs!$D30</f>
        <v>5.290633466698517E-3</v>
      </c>
      <c r="E43" s="22">
        <f>E$20*Inputs!$D30</f>
        <v>5.290633466698517E-3</v>
      </c>
      <c r="F43" s="22">
        <f>F$20*Inputs!$D30</f>
        <v>5.290633466698517E-3</v>
      </c>
      <c r="G43" s="27">
        <f>G$20*Inputs!$D30</f>
        <v>5.290633466698517E-3</v>
      </c>
      <c r="H43" s="27">
        <f>H$20*Inputs!$D30</f>
        <v>5.290633466698517E-3</v>
      </c>
      <c r="I43" s="27">
        <f>I$20*Inputs!$D30</f>
        <v>5.290633466698517E-3</v>
      </c>
      <c r="J43" s="27">
        <f>J$20*Inputs!$D30</f>
        <v>5.290633466698517E-3</v>
      </c>
      <c r="K43" s="27">
        <f>K$20*Inputs!$D30</f>
        <v>5.290633466698517E-3</v>
      </c>
      <c r="L43" s="27">
        <f>L$20*Inputs!$D30</f>
        <v>5.290633466698517E-3</v>
      </c>
      <c r="M43" s="27">
        <f>M$20*Inputs!$D30</f>
        <v>5.290633466698517E-3</v>
      </c>
      <c r="N43" s="27">
        <f>N$20*Inputs!$D30</f>
        <v>5.290633466698517E-3</v>
      </c>
      <c r="O43" s="15">
        <f t="shared" si="10"/>
        <v>6.3487601600382207E-2</v>
      </c>
      <c r="Q43" s="25" t="s">
        <v>30</v>
      </c>
      <c r="R43" s="41">
        <f>$R26*Adherence!BB6*Inputs!$C$6</f>
        <v>5440492.1346731139</v>
      </c>
      <c r="S43" s="42">
        <f>$R26*Adherence!BC6*Inputs!$C$6</f>
        <v>4384525.510004377</v>
      </c>
      <c r="T43" s="42">
        <f>$R26*Adherence!BD6*Inputs!$C$6</f>
        <v>3512810.0818116702</v>
      </c>
      <c r="U43" s="42">
        <f>$R26*Adherence!BE6*Inputs!$C$6</f>
        <v>620137.15249989729</v>
      </c>
      <c r="V43" s="41">
        <f>$S26*Adherence!BB6*Inputs!$C$6</f>
        <v>362610.92596820323</v>
      </c>
      <c r="W43" s="42">
        <f>$S26*Adherence!BC6*Inputs!$C$6</f>
        <v>292230.33794706914</v>
      </c>
      <c r="X43" s="42">
        <f>$S26*Adherence!BD6*Inputs!$C$6</f>
        <v>234130.16414418604</v>
      </c>
      <c r="Y43" s="43">
        <f>$S26*Adherence!BE6*Inputs!$C$6</f>
        <v>41332.383455193347</v>
      </c>
      <c r="Z43" s="41">
        <f>$T26*Adherence!BB6*Inputs!$C$6</f>
        <v>88.528058097705866</v>
      </c>
      <c r="AA43" s="42">
        <f>$T26*Adherence!BC6*Inputs!$C$6</f>
        <v>71.345297350358678</v>
      </c>
      <c r="AB43" s="42">
        <f>$T26*Adherence!BD6*Inputs!$C$6</f>
        <v>57.16068460551417</v>
      </c>
      <c r="AC43" s="43">
        <f>$T26*Adherence!BE6*Inputs!$C$6</f>
        <v>10.090913929490563</v>
      </c>
      <c r="AD43" s="41">
        <f>$U26*Adherence!BB6*Inputs!$C$6</f>
        <v>2.1608017461987261E-2</v>
      </c>
      <c r="AE43" s="42">
        <f>$U26*Adherence!BC6*Inputs!$C$6</f>
        <v>1.7414031936358196E-2</v>
      </c>
      <c r="AF43" s="42">
        <f>$U26*Adherence!BD6*Inputs!$C$6</f>
        <v>1.3951837390716515E-2</v>
      </c>
      <c r="AG43" s="43">
        <f>$U26*Adherence!BE6*Inputs!$C$6</f>
        <v>2.4630004213488225E-3</v>
      </c>
    </row>
    <row r="44" spans="2:33" x14ac:dyDescent="0.25">
      <c r="B44" s="1" t="s">
        <v>66</v>
      </c>
      <c r="C44" s="22">
        <f>C$20*Inputs!$D31</f>
        <v>2.6453167333492585E-3</v>
      </c>
      <c r="D44" s="22">
        <f>D$20*Inputs!$D31</f>
        <v>2.6453167333492585E-3</v>
      </c>
      <c r="E44" s="22">
        <f>E$20*Inputs!$D31</f>
        <v>2.6453167333492585E-3</v>
      </c>
      <c r="F44" s="27">
        <f>F$20*Inputs!$D31</f>
        <v>2.6453167333492585E-3</v>
      </c>
      <c r="G44" s="27">
        <f>G$20*Inputs!$D31</f>
        <v>2.6453167333492585E-3</v>
      </c>
      <c r="H44" s="27">
        <f>H$20*Inputs!$D31</f>
        <v>2.6453167333492585E-3</v>
      </c>
      <c r="I44" s="27">
        <f>I$20*Inputs!$D31</f>
        <v>2.6453167333492585E-3</v>
      </c>
      <c r="J44" s="27">
        <f>J$20*Inputs!$D31</f>
        <v>2.6453167333492585E-3</v>
      </c>
      <c r="K44" s="27">
        <f>K$20*Inputs!$D31</f>
        <v>2.6453167333492585E-3</v>
      </c>
      <c r="L44" s="27">
        <f>L$20*Inputs!$D31</f>
        <v>2.6453167333492585E-3</v>
      </c>
      <c r="M44" s="27">
        <f>M$20*Inputs!$D31</f>
        <v>2.6453167333492585E-3</v>
      </c>
      <c r="N44" s="27">
        <f>N$20*Inputs!$D31</f>
        <v>2.6453167333492585E-3</v>
      </c>
      <c r="O44" s="15">
        <f t="shared" si="10"/>
        <v>3.1743800800191103E-2</v>
      </c>
      <c r="Q44" s="25" t="s">
        <v>31</v>
      </c>
      <c r="R44" s="41">
        <f>$R27*Adherence!BB7*Inputs!$C$6</f>
        <v>5171611.5849074805</v>
      </c>
      <c r="S44" s="42">
        <f>$R27*Adherence!BC7*Inputs!$C$6</f>
        <v>4642550.6810397422</v>
      </c>
      <c r="T44" s="42">
        <f>$R27*Adherence!BD7*Inputs!$C$6</f>
        <v>3693618.6470131441</v>
      </c>
      <c r="U44" s="42">
        <f>$R27*Adherence!BE7*Inputs!$C$6</f>
        <v>915449.46199499129</v>
      </c>
      <c r="V44" s="41">
        <f>$S27*Adherence!BB7*Inputs!$C$6</f>
        <v>166785.45111041566</v>
      </c>
      <c r="W44" s="42">
        <f>$S27*Adherence!BC7*Inputs!$C$6</f>
        <v>149723.1369617703</v>
      </c>
      <c r="X44" s="42">
        <f>$S27*Adherence!BD7*Inputs!$C$6</f>
        <v>119119.89950477908</v>
      </c>
      <c r="Y44" s="43">
        <f>$S27*Adherence!BE7*Inputs!$C$6</f>
        <v>29523.418180360775</v>
      </c>
      <c r="Z44" s="41">
        <f>$T27*Adherence!BB7*Inputs!$C$6</f>
        <v>40.719104275003822</v>
      </c>
      <c r="AA44" s="42">
        <f>$T27*Adherence!BC7*Inputs!$C$6</f>
        <v>36.553500234807203</v>
      </c>
      <c r="AB44" s="42">
        <f>$T27*Adherence!BD7*Inputs!$C$6</f>
        <v>29.082006715033955</v>
      </c>
      <c r="AC44" s="43">
        <f>$T27*Adherence!BE7*Inputs!$C$6</f>
        <v>7.2078657666896424</v>
      </c>
      <c r="AD44" s="41">
        <f>$U27*Adherence!BB7*Inputs!$C$6</f>
        <v>9.9339046458449959E-3</v>
      </c>
      <c r="AE44" s="42">
        <f>$U27*Adherence!BC7*Inputs!$C$6</f>
        <v>8.9176565219131008E-3</v>
      </c>
      <c r="AF44" s="42">
        <f>$U27*Adherence!BD7*Inputs!$C$6</f>
        <v>7.0948977577170447E-3</v>
      </c>
      <c r="AG44" s="43">
        <f>$U27*Adherence!BE7*Inputs!$C$6</f>
        <v>1.7584436716182805E-3</v>
      </c>
    </row>
    <row r="45" spans="2:33" x14ac:dyDescent="0.25">
      <c r="B45" s="1" t="s">
        <v>67</v>
      </c>
      <c r="C45" s="22">
        <f>C$20*Inputs!$D32</f>
        <v>1.3226583666746292E-3</v>
      </c>
      <c r="D45" s="22">
        <f>D$20*Inputs!$D32</f>
        <v>1.3226583666746292E-3</v>
      </c>
      <c r="E45" s="27">
        <f>E$20*Inputs!$D32</f>
        <v>1.3226583666746292E-3</v>
      </c>
      <c r="F45" s="27">
        <f>F$20*Inputs!$D32</f>
        <v>1.3226583666746292E-3</v>
      </c>
      <c r="G45" s="27">
        <f>G$20*Inputs!$D32</f>
        <v>1.3226583666746292E-3</v>
      </c>
      <c r="H45" s="27">
        <f>H$20*Inputs!$D32</f>
        <v>1.3226583666746292E-3</v>
      </c>
      <c r="I45" s="27">
        <f>I$20*Inputs!$D32</f>
        <v>1.3226583666746292E-3</v>
      </c>
      <c r="J45" s="27">
        <f>J$20*Inputs!$D32</f>
        <v>1.3226583666746292E-3</v>
      </c>
      <c r="K45" s="27">
        <f>K$20*Inputs!$D32</f>
        <v>1.3226583666746292E-3</v>
      </c>
      <c r="L45" s="27">
        <f>L$20*Inputs!$D32</f>
        <v>1.3226583666746292E-3</v>
      </c>
      <c r="M45" s="27">
        <f>M$20*Inputs!$D32</f>
        <v>1.3226583666746292E-3</v>
      </c>
      <c r="N45" s="27">
        <f>N$20*Inputs!$D32</f>
        <v>1.3226583666746292E-3</v>
      </c>
      <c r="O45" s="15">
        <f t="shared" si="10"/>
        <v>1.5871900400095552E-2</v>
      </c>
      <c r="Q45" s="25" t="s">
        <v>32</v>
      </c>
      <c r="R45" s="41">
        <f>$R28*Adherence!BB8*Inputs!$C$6</f>
        <v>4772587.6141776331</v>
      </c>
      <c r="S45" s="42">
        <f>$R28*Adherence!BC8*Inputs!$C$6</f>
        <v>4843847.4750264492</v>
      </c>
      <c r="T45" s="42">
        <f>$R28*Adherence!BD8*Inputs!$C$6</f>
        <v>3825236.060965775</v>
      </c>
      <c r="U45" s="42">
        <f>$R28*Adherence!BE8*Inputs!$C$6</f>
        <v>1214191.972768653</v>
      </c>
      <c r="V45" s="41">
        <f>$S28*Adherence!BB8*Inputs!$C$6</f>
        <v>75736.863994518091</v>
      </c>
      <c r="W45" s="42">
        <f>$S28*Adherence!BC8*Inputs!$C$6</f>
        <v>76867.696747245907</v>
      </c>
      <c r="X45" s="42">
        <f>$S28*Adherence!BD8*Inputs!$C$6</f>
        <v>60703.208975286965</v>
      </c>
      <c r="Y45" s="43">
        <f>$S28*Adherence!BE8*Inputs!$C$6</f>
        <v>19268.183161611927</v>
      </c>
      <c r="Z45" s="41">
        <f>$T28*Adherence!BB8*Inputs!$C$6</f>
        <v>18.490445311161643</v>
      </c>
      <c r="AA45" s="42">
        <f>$T28*Adherence!BC8*Inputs!$C$6</f>
        <v>18.766527526183083</v>
      </c>
      <c r="AB45" s="42">
        <f>$T28*Adherence!BD8*Inputs!$C$6</f>
        <v>14.820119378732169</v>
      </c>
      <c r="AC45" s="43">
        <f>$T28*Adherence!BE8*Inputs!$C$6</f>
        <v>4.7041462796904119</v>
      </c>
      <c r="AD45" s="41">
        <f>$U28*Adherence!BB8*Inputs!$C$6</f>
        <v>4.5065521758640486E-3</v>
      </c>
      <c r="AE45" s="42">
        <f>$U28*Adherence!BC8*Inputs!$C$6</f>
        <v>4.573839841784738E-3</v>
      </c>
      <c r="AF45" s="42">
        <f>$U28*Adherence!BD8*Inputs!$C$6</f>
        <v>3.6120082620440977E-3</v>
      </c>
      <c r="AG45" s="43">
        <f>$U28*Adherence!BE8*Inputs!$C$6</f>
        <v>1.1465100107418537E-3</v>
      </c>
    </row>
    <row r="46" spans="2:33" x14ac:dyDescent="0.25">
      <c r="B46" s="1" t="s">
        <v>68</v>
      </c>
      <c r="C46" s="22">
        <f>C$20*Inputs!$D33</f>
        <v>6.6132918333731462E-4</v>
      </c>
      <c r="D46" s="27">
        <f>D$20*Inputs!$D33</f>
        <v>6.6132918333731462E-4</v>
      </c>
      <c r="E46" s="27">
        <f>E$20*Inputs!$D33</f>
        <v>6.6132918333731462E-4</v>
      </c>
      <c r="F46" s="27">
        <f>F$20*Inputs!$D33</f>
        <v>6.6132918333731462E-4</v>
      </c>
      <c r="G46" s="27">
        <f>G$20*Inputs!$D33</f>
        <v>6.6132918333731462E-4</v>
      </c>
      <c r="H46" s="27">
        <f>H$20*Inputs!$D33</f>
        <v>6.6132918333731462E-4</v>
      </c>
      <c r="I46" s="27">
        <f>I$20*Inputs!$D33</f>
        <v>6.6132918333731462E-4</v>
      </c>
      <c r="J46" s="27">
        <f>J$20*Inputs!$D33</f>
        <v>6.6132918333731462E-4</v>
      </c>
      <c r="K46" s="27">
        <f>K$20*Inputs!$D33</f>
        <v>6.6132918333731462E-4</v>
      </c>
      <c r="L46" s="27">
        <f>L$20*Inputs!$D33</f>
        <v>6.6132918333731462E-4</v>
      </c>
      <c r="M46" s="27">
        <f>M$20*Inputs!$D33</f>
        <v>6.6132918333731462E-4</v>
      </c>
      <c r="N46" s="27">
        <f>N$20*Inputs!$D33</f>
        <v>6.6132918333731462E-4</v>
      </c>
      <c r="O46" s="15">
        <f t="shared" si="10"/>
        <v>7.9359502000477759E-3</v>
      </c>
      <c r="Q46" s="25" t="s">
        <v>33</v>
      </c>
      <c r="R46" s="41">
        <f>$R29*Adherence!BB9*Inputs!$C$6</f>
        <v>4318703.4555502124</v>
      </c>
      <c r="S46" s="42">
        <f>$R29*Adherence!BC9*Inputs!$C$6</f>
        <v>5011019.0207688669</v>
      </c>
      <c r="T46" s="42">
        <f>$R29*Adherence!BD9*Inputs!$C$6</f>
        <v>3929469.6010511676</v>
      </c>
      <c r="U46" s="42">
        <f>$R29*Adherence!BE9*Inputs!$C$6</f>
        <v>1512987.4195598431</v>
      </c>
      <c r="V46" s="41">
        <f>$S29*Adherence!BB9*Inputs!$C$6</f>
        <v>33997.236886530583</v>
      </c>
      <c r="W46" s="42">
        <f>$S29*Adherence!BC9*Inputs!$C$6</f>
        <v>39447.209664986207</v>
      </c>
      <c r="X46" s="42">
        <f>$S29*Adherence!BD9*Inputs!$C$6</f>
        <v>30933.151636904317</v>
      </c>
      <c r="Y46" s="43">
        <f>$S29*Adherence!BE9*Inputs!$C$6</f>
        <v>11910.378250910351</v>
      </c>
      <c r="Z46" s="41">
        <f>$T29*Adherence!BB9*Inputs!$C$6</f>
        <v>8.3001066617506307</v>
      </c>
      <c r="AA46" s="42">
        <f>$T29*Adherence!BC9*Inputs!$C$6</f>
        <v>9.6306664221157732</v>
      </c>
      <c r="AB46" s="42">
        <f>$T29*Adherence!BD9*Inputs!$C$6</f>
        <v>7.5520389738535929</v>
      </c>
      <c r="AC46" s="43">
        <f>$T29*Adherence!BE9*Inputs!$C$6</f>
        <v>2.90780719016366</v>
      </c>
      <c r="AD46" s="41">
        <f>$U29*Adherence!BB9*Inputs!$C$6</f>
        <v>2.0189705421497358E-3</v>
      </c>
      <c r="AE46" s="42">
        <f>$U29*Adherence!BC9*Inputs!$C$6</f>
        <v>2.3426243300132808E-3</v>
      </c>
      <c r="AF46" s="42">
        <f>$U29*Adherence!BD9*Inputs!$C$6</f>
        <v>1.8370058172434622E-3</v>
      </c>
      <c r="AG46" s="43">
        <f>$U29*Adherence!BE9*Inputs!$C$6</f>
        <v>7.0731344769892144E-4</v>
      </c>
    </row>
    <row r="47" spans="2:33" x14ac:dyDescent="0.25">
      <c r="B47" s="1" t="s">
        <v>69</v>
      </c>
      <c r="C47" s="27">
        <f>C$20*Inputs!$D34</f>
        <v>3.3066459166865731E-4</v>
      </c>
      <c r="D47" s="27">
        <f>D$20*Inputs!$D34</f>
        <v>3.3066459166865731E-4</v>
      </c>
      <c r="E47" s="27">
        <f>E$20*Inputs!$D34</f>
        <v>3.3066459166865731E-4</v>
      </c>
      <c r="F47" s="27">
        <f>F$20*Inputs!$D34</f>
        <v>3.3066459166865731E-4</v>
      </c>
      <c r="G47" s="27">
        <f>G$20*Inputs!$D34</f>
        <v>3.3066459166865731E-4</v>
      </c>
      <c r="H47" s="27">
        <f>H$20*Inputs!$D34</f>
        <v>3.3066459166865731E-4</v>
      </c>
      <c r="I47" s="27">
        <f>I$20*Inputs!$D34</f>
        <v>3.3066459166865731E-4</v>
      </c>
      <c r="J47" s="27">
        <f>J$20*Inputs!$D34</f>
        <v>3.3066459166865731E-4</v>
      </c>
      <c r="K47" s="27">
        <f>K$20*Inputs!$D34</f>
        <v>3.3066459166865731E-4</v>
      </c>
      <c r="L47" s="27">
        <f>L$20*Inputs!$D34</f>
        <v>3.3066459166865731E-4</v>
      </c>
      <c r="M47" s="27">
        <f>M$20*Inputs!$D34</f>
        <v>3.3066459166865731E-4</v>
      </c>
      <c r="N47" s="27">
        <f>N$20*Inputs!$D34</f>
        <v>3.3066459166865731E-4</v>
      </c>
      <c r="O47" s="15">
        <f t="shared" si="10"/>
        <v>3.9679751000238879E-3</v>
      </c>
      <c r="Q47" s="25" t="s">
        <v>34</v>
      </c>
      <c r="R47" s="41">
        <f>$R30*Adherence!BB10*Inputs!$C$6</f>
        <v>3816808.8115613428</v>
      </c>
      <c r="S47" s="42">
        <f>$R30*Adherence!BC10*Inputs!$C$6</f>
        <v>5175669.9708584873</v>
      </c>
      <c r="T47" s="42">
        <f>$R30*Adherence!BD10*Inputs!$C$6</f>
        <v>4020832.9045076752</v>
      </c>
      <c r="U47" s="42">
        <f>$R30*Adherence!BE10*Inputs!$C$6</f>
        <v>1817025.9969983709</v>
      </c>
      <c r="V47" s="41">
        <f>$S30*Adherence!BB10*Inputs!$C$6</f>
        <v>14964.223425382679</v>
      </c>
      <c r="W47" s="42">
        <f>$S30*Adherence!BC10*Inputs!$C$6</f>
        <v>20291.789723752976</v>
      </c>
      <c r="X47" s="42">
        <f>$S30*Adherence!BD10*Inputs!$C$6</f>
        <v>15764.122571958229</v>
      </c>
      <c r="Y47" s="43">
        <f>$S30*Adherence!BE10*Inputs!$C$6</f>
        <v>7123.8524985718532</v>
      </c>
      <c r="Z47" s="41">
        <f>$T30*Adherence!BB10*Inputs!$C$6</f>
        <v>3.6533748597125681</v>
      </c>
      <c r="AA47" s="42">
        <f>$T30*Adherence!BC10*Inputs!$C$6</f>
        <v>4.9540502255256289</v>
      </c>
      <c r="AB47" s="42">
        <f>$T30*Adherence!BD10*Inputs!$C$6</f>
        <v>3.8486627372944895</v>
      </c>
      <c r="AC47" s="43">
        <f>$T30*Adherence!BE10*Inputs!$C$6</f>
        <v>1.7392218014091438</v>
      </c>
      <c r="AD47" s="41">
        <f>$U30*Adherence!BB10*Inputs!$C$6</f>
        <v>8.8518507170233518E-4</v>
      </c>
      <c r="AE47" s="42">
        <f>$U30*Adherence!BC10*Inputs!$C$6</f>
        <v>1.2003288664563393E-3</v>
      </c>
      <c r="AF47" s="42">
        <f>$U30*Adherence!BD10*Inputs!$C$6</f>
        <v>9.3250184607066554E-4</v>
      </c>
      <c r="AG47" s="43">
        <f>$U30*Adherence!BE10*Inputs!$C$6</f>
        <v>4.2140027621138823E-4</v>
      </c>
    </row>
    <row r="48" spans="2:33" x14ac:dyDescent="0.25">
      <c r="B48" s="1" t="s">
        <v>70</v>
      </c>
      <c r="C48" s="27">
        <f>C$20*Inputs!$D35</f>
        <v>1.6533229583432865E-4</v>
      </c>
      <c r="D48" s="27">
        <f>D$20*Inputs!$D35</f>
        <v>1.6533229583432865E-4</v>
      </c>
      <c r="E48" s="27">
        <f>E$20*Inputs!$D35</f>
        <v>1.6533229583432865E-4</v>
      </c>
      <c r="F48" s="27">
        <f>F$20*Inputs!$D35</f>
        <v>1.6533229583432865E-4</v>
      </c>
      <c r="G48" s="27">
        <f>G$20*Inputs!$D35</f>
        <v>1.6533229583432865E-4</v>
      </c>
      <c r="H48" s="27">
        <f>H$20*Inputs!$D35</f>
        <v>1.6533229583432865E-4</v>
      </c>
      <c r="I48" s="27">
        <f>I$20*Inputs!$D35</f>
        <v>1.6533229583432865E-4</v>
      </c>
      <c r="J48" s="27">
        <f>J$20*Inputs!$D35</f>
        <v>1.6533229583432865E-4</v>
      </c>
      <c r="K48" s="27">
        <f>K$20*Inputs!$D35</f>
        <v>1.6533229583432865E-4</v>
      </c>
      <c r="L48" s="27">
        <f>L$20*Inputs!$D35</f>
        <v>1.6533229583432865E-4</v>
      </c>
      <c r="M48" s="27">
        <f>M$20*Inputs!$D35</f>
        <v>1.6533229583432865E-4</v>
      </c>
      <c r="N48" s="26">
        <f>N$20*Inputs!$D35</f>
        <v>1.6533229583432865E-4</v>
      </c>
      <c r="O48" s="15">
        <f t="shared" si="10"/>
        <v>1.983987550011944E-3</v>
      </c>
      <c r="Q48" s="25" t="s">
        <v>35</v>
      </c>
      <c r="R48" s="41">
        <f>$R31*Adherence!BB11*Inputs!$C$6</f>
        <v>3272875.191307636</v>
      </c>
      <c r="S48" s="42">
        <f>$R31*Adherence!BC11*Inputs!$C$6</f>
        <v>5357478.4031773703</v>
      </c>
      <c r="T48" s="42">
        <f>$R31*Adherence!BD11*Inputs!$C$6</f>
        <v>4109360.3090983257</v>
      </c>
      <c r="U48" s="42">
        <f>$R31*Adherence!BE11*Inputs!$C$6</f>
        <v>2119702.8738404382</v>
      </c>
      <c r="V48" s="41">
        <f>$S31*Adherence!BB11*Inputs!$C$6</f>
        <v>6403.2801360330404</v>
      </c>
      <c r="W48" s="42">
        <f>$S31*Adherence!BC11*Inputs!$C$6</f>
        <v>10481.742514778072</v>
      </c>
      <c r="X48" s="42">
        <f>$S31*Adherence!BD11*Inputs!$C$6</f>
        <v>8039.8376659571677</v>
      </c>
      <c r="Y48" s="43">
        <f>$S31*Adherence!BE11*Inputs!$C$6</f>
        <v>4147.1337930645896</v>
      </c>
      <c r="Z48" s="41">
        <f>$T31*Adherence!BB11*Inputs!$C$6</f>
        <v>1.5633008144611915</v>
      </c>
      <c r="AA48" s="42">
        <f>$T31*Adherence!BC11*Inputs!$C$6</f>
        <v>2.5590191686469903</v>
      </c>
      <c r="AB48" s="42">
        <f>$T31*Adherence!BD11*Inputs!$C$6</f>
        <v>1.9628509926653241</v>
      </c>
      <c r="AC48" s="43">
        <f>$T31*Adherence!BE11*Inputs!$C$6</f>
        <v>1.0124838361974096</v>
      </c>
      <c r="AD48" s="41">
        <f>$U31*Adherence!BB11*Inputs!$C$6</f>
        <v>3.7579346501470944E-4</v>
      </c>
      <c r="AE48" s="42">
        <f>$U31*Adherence!BC11*Inputs!$C$6</f>
        <v>6.1514883861706505E-4</v>
      </c>
      <c r="AF48" s="42">
        <f>$U31*Adherence!BD11*Inputs!$C$6</f>
        <v>4.7183918092916444E-4</v>
      </c>
      <c r="AG48" s="43">
        <f>$U31*Adherence!BE11*Inputs!$C$6</f>
        <v>2.4338553754745418E-4</v>
      </c>
    </row>
    <row r="49" spans="2:33" x14ac:dyDescent="0.25">
      <c r="B49" s="1" t="s">
        <v>71</v>
      </c>
      <c r="C49" s="27">
        <f>C$20*Inputs!$D36</f>
        <v>8.2666147917164327E-5</v>
      </c>
      <c r="D49" s="27">
        <f>D$20*Inputs!$D36</f>
        <v>8.2666147917164327E-5</v>
      </c>
      <c r="E49" s="27">
        <f>E$20*Inputs!$D36</f>
        <v>8.2666147917164327E-5</v>
      </c>
      <c r="F49" s="27">
        <f>F$20*Inputs!$D36</f>
        <v>8.2666147917164327E-5</v>
      </c>
      <c r="G49" s="27">
        <f>G$20*Inputs!$D36</f>
        <v>8.2666147917164327E-5</v>
      </c>
      <c r="H49" s="27">
        <f>H$20*Inputs!$D36</f>
        <v>8.2666147917164327E-5</v>
      </c>
      <c r="I49" s="27">
        <f>I$20*Inputs!$D36</f>
        <v>8.2666147917164327E-5</v>
      </c>
      <c r="J49" s="27">
        <f>J$20*Inputs!$D36</f>
        <v>8.2666147917164327E-5</v>
      </c>
      <c r="K49" s="27">
        <f>K$20*Inputs!$D36</f>
        <v>8.2666147917164327E-5</v>
      </c>
      <c r="L49" s="27">
        <f>L$20*Inputs!$D36</f>
        <v>8.2666147917164327E-5</v>
      </c>
      <c r="M49" s="26">
        <f>M$20*Inputs!$D36</f>
        <v>8.2666147917164327E-5</v>
      </c>
      <c r="N49" s="26">
        <f>N$20*Inputs!$D36</f>
        <v>8.2666147917164327E-5</v>
      </c>
      <c r="O49" s="15">
        <f t="shared" si="10"/>
        <v>9.9199377500597198E-4</v>
      </c>
      <c r="Q49" s="25" t="s">
        <v>36</v>
      </c>
      <c r="R49" s="41">
        <f>$R32*Adherence!BB12*Inputs!$C$6</f>
        <v>2622062.5755452258</v>
      </c>
      <c r="S49" s="42">
        <f>$R32*Adherence!BC12*Inputs!$C$6</f>
        <v>5637614.9417885095</v>
      </c>
      <c r="T49" s="42">
        <f>$R32*Adherence!BD12*Inputs!$C$6</f>
        <v>4184701.0256115026</v>
      </c>
      <c r="U49" s="42">
        <f>$R32*Adherence!BE12*Inputs!$C$6</f>
        <v>2429577.781227475</v>
      </c>
      <c r="V49" s="41">
        <f>$S32*Adherence!BB12*Inputs!$C$6</f>
        <v>2562.48526251148</v>
      </c>
      <c r="W49" s="42">
        <f>$S32*Adherence!BC12*Inputs!$C$6</f>
        <v>5509.5196197000123</v>
      </c>
      <c r="X49" s="42">
        <f>$S32*Adherence!BD12*Inputs!$C$6</f>
        <v>4089.61815257837</v>
      </c>
      <c r="Y49" s="43">
        <f>$S32*Adherence!BE12*Inputs!$C$6</f>
        <v>2374.3740201265696</v>
      </c>
      <c r="Z49" s="41">
        <f>$T32*Adherence!BB12*Inputs!$C$6</f>
        <v>0.62560675354284179</v>
      </c>
      <c r="AA49" s="42">
        <f>$T32*Adherence!BC12*Inputs!$C$6</f>
        <v>1.3450975634033233</v>
      </c>
      <c r="AB49" s="42">
        <f>$T32*Adherence!BD12*Inputs!$C$6</f>
        <v>0.99844193178182861</v>
      </c>
      <c r="AC49" s="43">
        <f>$T32*Adherence!BE12*Inputs!$C$6</f>
        <v>0.57968115725746328</v>
      </c>
      <c r="AD49" s="41">
        <f>$U32*Adherence!BB12*Inputs!$C$6</f>
        <v>1.4799915567634381E-4</v>
      </c>
      <c r="AE49" s="42">
        <f>$U32*Adherence!BC12*Inputs!$C$6</f>
        <v>3.1820836741073731E-4</v>
      </c>
      <c r="AF49" s="42">
        <f>$U32*Adherence!BD12*Inputs!$C$6</f>
        <v>2.3620039594960838E-4</v>
      </c>
      <c r="AG49" s="43">
        <f>$U32*Adherence!BE12*Inputs!$C$6</f>
        <v>1.3713458390553538E-4</v>
      </c>
    </row>
    <row r="50" spans="2:33" x14ac:dyDescent="0.25">
      <c r="B50" s="1" t="s">
        <v>72</v>
      </c>
      <c r="C50" s="27">
        <f>C$20*Inputs!$D37</f>
        <v>4.1333073958582164E-5</v>
      </c>
      <c r="D50" s="27">
        <f>D$20*Inputs!$D37</f>
        <v>4.1333073958582164E-5</v>
      </c>
      <c r="E50" s="27">
        <f>E$20*Inputs!$D37</f>
        <v>4.1333073958582164E-5</v>
      </c>
      <c r="F50" s="27">
        <f>F$20*Inputs!$D37</f>
        <v>4.1333073958582164E-5</v>
      </c>
      <c r="G50" s="27">
        <f>G$20*Inputs!$D37</f>
        <v>4.1333073958582164E-5</v>
      </c>
      <c r="H50" s="27">
        <f>H$20*Inputs!$D37</f>
        <v>4.1333073958582164E-5</v>
      </c>
      <c r="I50" s="27">
        <f>I$20*Inputs!$D37</f>
        <v>4.1333073958582164E-5</v>
      </c>
      <c r="J50" s="27">
        <f>J$20*Inputs!$D37</f>
        <v>4.1333073958582164E-5</v>
      </c>
      <c r="K50" s="27">
        <f>K$20*Inputs!$D37</f>
        <v>4.1333073958582164E-5</v>
      </c>
      <c r="L50" s="26">
        <f>L$20*Inputs!$D37</f>
        <v>4.1333073958582164E-5</v>
      </c>
      <c r="M50" s="26">
        <f>M$20*Inputs!$D37</f>
        <v>4.1333073958582164E-5</v>
      </c>
      <c r="N50" s="26">
        <f>N$20*Inputs!$D37</f>
        <v>4.1333073958582164E-5</v>
      </c>
      <c r="O50" s="15">
        <f t="shared" si="10"/>
        <v>4.9599688750298599E-4</v>
      </c>
      <c r="Q50" s="25" t="s">
        <v>37</v>
      </c>
      <c r="R50" s="41">
        <f>$R33*Adherence!BB13*Inputs!$C$6</f>
        <v>1945024.895415491</v>
      </c>
      <c r="S50" s="42">
        <f>$R33*Adherence!BC13*Inputs!$C$6</f>
        <v>5930151.8667002367</v>
      </c>
      <c r="T50" s="42">
        <f>$R33*Adherence!BD13*Inputs!$C$6</f>
        <v>4264843.3905478353</v>
      </c>
      <c r="U50" s="42">
        <f>$R33*Adherence!BE13*Inputs!$C$6</f>
        <v>2741205.9448836241</v>
      </c>
      <c r="V50" s="41">
        <f>$S33*Adherence!BB13*Inputs!$C$6</f>
        <v>949.95116552119384</v>
      </c>
      <c r="W50" s="42">
        <f>$S33*Adherence!BC13*Inputs!$C$6</f>
        <v>2896.28924070208</v>
      </c>
      <c r="X50" s="42">
        <f>$S33*Adherence!BD13*Inputs!$C$6</f>
        <v>2082.9517191093992</v>
      </c>
      <c r="Y50" s="43">
        <f>$S33*Adherence!BE13*Inputs!$C$6</f>
        <v>1338.8064021255432</v>
      </c>
      <c r="Z50" s="41">
        <f>$T33*Adherence!BB13*Inputs!$C$6</f>
        <v>0.23192167126982272</v>
      </c>
      <c r="AA50" s="42">
        <f>$T33*Adherence!BC13*Inputs!$C$6</f>
        <v>0.70710186540578124</v>
      </c>
      <c r="AB50" s="42">
        <f>$T33*Adherence!BD13*Inputs!$C$6</f>
        <v>0.50853313454819316</v>
      </c>
      <c r="AC50" s="43">
        <f>$T33*Adherence!BE13*Inputs!$C$6</f>
        <v>0.32685703176893144</v>
      </c>
      <c r="AD50" s="41">
        <f>$U33*Adherence!BB13*Inputs!$C$6</f>
        <v>5.3095620711955751E-5</v>
      </c>
      <c r="AE50" s="42">
        <f>$U33*Adherence!BC13*Inputs!$C$6</f>
        <v>1.618822951936312E-4</v>
      </c>
      <c r="AF50" s="42">
        <f>$U33*Adherence!BD13*Inputs!$C$6</f>
        <v>1.1642242091304788E-4</v>
      </c>
      <c r="AG50" s="43">
        <f>$U33*Adherence!BE13*Inputs!$C$6</f>
        <v>7.4829906540506275E-5</v>
      </c>
    </row>
    <row r="51" spans="2:33" x14ac:dyDescent="0.25">
      <c r="B51" s="1" t="s">
        <v>73</v>
      </c>
      <c r="C51" s="27">
        <f>C$20*Inputs!$D38</f>
        <v>2.0666536979291082E-5</v>
      </c>
      <c r="D51" s="27">
        <f>D$20*Inputs!$D38</f>
        <v>2.0666536979291082E-5</v>
      </c>
      <c r="E51" s="27">
        <f>E$20*Inputs!$D38</f>
        <v>2.0666536979291082E-5</v>
      </c>
      <c r="F51" s="27">
        <f>F$20*Inputs!$D38</f>
        <v>2.0666536979291082E-5</v>
      </c>
      <c r="G51" s="27">
        <f>G$20*Inputs!$D38</f>
        <v>2.0666536979291082E-5</v>
      </c>
      <c r="H51" s="27">
        <f>H$20*Inputs!$D38</f>
        <v>2.0666536979291082E-5</v>
      </c>
      <c r="I51" s="27">
        <f>I$20*Inputs!$D38</f>
        <v>2.0666536979291082E-5</v>
      </c>
      <c r="J51" s="27">
        <f>J$20*Inputs!$D38</f>
        <v>2.0666536979291082E-5</v>
      </c>
      <c r="K51" s="26">
        <f>K$20*Inputs!$D38</f>
        <v>2.0666536979291082E-5</v>
      </c>
      <c r="L51" s="26">
        <f>L$20*Inputs!$D38</f>
        <v>2.0666536979291082E-5</v>
      </c>
      <c r="M51" s="26">
        <f>M$20*Inputs!$D38</f>
        <v>2.0666536979291082E-5</v>
      </c>
      <c r="N51" s="26">
        <f>N$20*Inputs!$D38</f>
        <v>2.0666536979291082E-5</v>
      </c>
      <c r="O51" s="15">
        <f t="shared" si="10"/>
        <v>2.47998443751493E-4</v>
      </c>
      <c r="Q51" s="25" t="s">
        <v>38</v>
      </c>
      <c r="R51" s="44">
        <f>$R34*Adherence!BB14*Inputs!$C$6</f>
        <v>1020667.5156493636</v>
      </c>
      <c r="S51" s="45">
        <f>$R34*Adherence!BC14*Inputs!$C$6</f>
        <v>6465608.3276426727</v>
      </c>
      <c r="T51" s="45">
        <f>$R34*Adherence!BD14*Inputs!$C$6</f>
        <v>4340561.1364301108</v>
      </c>
      <c r="U51" s="45">
        <f>$R34*Adherence!BE14*Inputs!$C$6</f>
        <v>3058024.0045122807</v>
      </c>
      <c r="V51" s="44">
        <f>$S34*Adherence!BB14*Inputs!$C$6</f>
        <v>249.18640518783292</v>
      </c>
      <c r="W51" s="45">
        <f>$S34*Adherence!BC14*Inputs!$C$6</f>
        <v>1578.5176581158869</v>
      </c>
      <c r="X51" s="45">
        <f>$S34*Adherence!BD14*Inputs!$C$6</f>
        <v>1059.7073086987575</v>
      </c>
      <c r="Y51" s="46">
        <f>$S34*Adherence!BE14*Inputs!$C$6</f>
        <v>746.58789172663103</v>
      </c>
      <c r="Z51" s="44">
        <f>$T34*Adherence!BB14*Inputs!$C$6</f>
        <v>6.0836524704060771E-2</v>
      </c>
      <c r="AA51" s="45">
        <f>$T34*Adherence!BC14*Inputs!$C$6</f>
        <v>0.38538028762594895</v>
      </c>
      <c r="AB51" s="45">
        <f>$T34*Adherence!BD14*Inputs!$C$6</f>
        <v>0.2587176046627826</v>
      </c>
      <c r="AC51" s="46">
        <f>$T34*Adherence!BE14*Inputs!$C$6</f>
        <v>0.18227243450357203</v>
      </c>
      <c r="AD51" s="44">
        <f>$U34*Adherence!BB14*Inputs!$C$6</f>
        <v>1.2999257415397599E-5</v>
      </c>
      <c r="AE51" s="45">
        <f>$U34*Adherence!BC14*Inputs!$C$6</f>
        <v>8.234621530468993E-5</v>
      </c>
      <c r="AF51" s="45">
        <f>$U34*Adherence!BD14*Inputs!$C$6</f>
        <v>5.5281539457859522E-5</v>
      </c>
      <c r="AG51" s="46">
        <f>$U34*Adherence!BE14*Inputs!$C$6</f>
        <v>3.8947101389652138E-5</v>
      </c>
    </row>
    <row r="52" spans="2:33" x14ac:dyDescent="0.25">
      <c r="B52" s="1" t="s">
        <v>74</v>
      </c>
      <c r="C52" s="27">
        <f>C$20*Inputs!$D39</f>
        <v>1.0333268489645541E-5</v>
      </c>
      <c r="D52" s="27">
        <f>D$20*Inputs!$D39</f>
        <v>1.0333268489645541E-5</v>
      </c>
      <c r="E52" s="27">
        <f>E$20*Inputs!$D39</f>
        <v>1.0333268489645541E-5</v>
      </c>
      <c r="F52" s="27">
        <f>F$20*Inputs!$D39</f>
        <v>1.0333268489645541E-5</v>
      </c>
      <c r="G52" s="27">
        <f>G$20*Inputs!$D39</f>
        <v>1.0333268489645541E-5</v>
      </c>
      <c r="H52" s="27">
        <f>H$20*Inputs!$D39</f>
        <v>1.0333268489645541E-5</v>
      </c>
      <c r="I52" s="27">
        <f>I$20*Inputs!$D39</f>
        <v>1.0333268489645541E-5</v>
      </c>
      <c r="J52" s="26">
        <f>J$20*Inputs!$D39</f>
        <v>1.0333268489645541E-5</v>
      </c>
      <c r="K52" s="26">
        <f>K$20*Inputs!$D39</f>
        <v>1.0333268489645541E-5</v>
      </c>
      <c r="L52" s="26">
        <f>L$20*Inputs!$D39</f>
        <v>1.0333268489645541E-5</v>
      </c>
      <c r="M52" s="26">
        <f>M$20*Inputs!$D39</f>
        <v>1.0333268489645541E-5</v>
      </c>
      <c r="N52" s="26">
        <f>N$20*Inputs!$D39</f>
        <v>1.0333268489645541E-5</v>
      </c>
      <c r="O52" s="15">
        <f t="shared" si="10"/>
        <v>1.239992218757465E-4</v>
      </c>
    </row>
    <row r="53" spans="2:33" x14ac:dyDescent="0.25">
      <c r="B53" s="1" t="s">
        <v>75</v>
      </c>
      <c r="C53" s="27">
        <f>C$20*Inputs!$D40</f>
        <v>5.1666342448227705E-6</v>
      </c>
      <c r="D53" s="27">
        <f>D$20*Inputs!$D40</f>
        <v>5.1666342448227705E-6</v>
      </c>
      <c r="E53" s="27">
        <f>E$20*Inputs!$D40</f>
        <v>5.1666342448227705E-6</v>
      </c>
      <c r="F53" s="27">
        <f>F$20*Inputs!$D40</f>
        <v>5.1666342448227705E-6</v>
      </c>
      <c r="G53" s="27">
        <f>G$20*Inputs!$D40</f>
        <v>5.1666342448227705E-6</v>
      </c>
      <c r="H53" s="27">
        <f>H$20*Inputs!$D40</f>
        <v>5.1666342448227705E-6</v>
      </c>
      <c r="I53" s="26">
        <f>I$20*Inputs!$D40</f>
        <v>5.1666342448227705E-6</v>
      </c>
      <c r="J53" s="26">
        <f>J$20*Inputs!$D40</f>
        <v>5.1666342448227705E-6</v>
      </c>
      <c r="K53" s="26">
        <f>K$20*Inputs!$D40</f>
        <v>5.1666342448227705E-6</v>
      </c>
      <c r="L53" s="26">
        <f>L$20*Inputs!$D40</f>
        <v>5.1666342448227705E-6</v>
      </c>
      <c r="M53" s="26">
        <f>M$20*Inputs!$D40</f>
        <v>5.1666342448227705E-6</v>
      </c>
      <c r="N53" s="26">
        <f>N$20*Inputs!$D40</f>
        <v>5.1666342448227705E-6</v>
      </c>
      <c r="O53" s="15">
        <f t="shared" si="10"/>
        <v>6.1999610937873249E-5</v>
      </c>
      <c r="Q53" s="38" t="s">
        <v>101</v>
      </c>
      <c r="R53" s="40" t="s">
        <v>102</v>
      </c>
    </row>
    <row r="54" spans="2:33" x14ac:dyDescent="0.25">
      <c r="B54" s="1" t="s">
        <v>76</v>
      </c>
      <c r="C54" s="27">
        <f>C$20*Inputs!$D41</f>
        <v>2.5833171224113852E-6</v>
      </c>
      <c r="D54" s="27">
        <f>D$20*Inputs!$D41</f>
        <v>2.5833171224113852E-6</v>
      </c>
      <c r="E54" s="27">
        <f>E$20*Inputs!$D41</f>
        <v>2.5833171224113852E-6</v>
      </c>
      <c r="F54" s="27">
        <f>F$20*Inputs!$D41</f>
        <v>2.5833171224113852E-6</v>
      </c>
      <c r="G54" s="27">
        <f>G$20*Inputs!$D41</f>
        <v>2.5833171224113852E-6</v>
      </c>
      <c r="H54" s="26">
        <f>H$20*Inputs!$D41</f>
        <v>2.5833171224113852E-6</v>
      </c>
      <c r="I54" s="26">
        <f>I$20*Inputs!$D41</f>
        <v>2.5833171224113852E-6</v>
      </c>
      <c r="J54" s="26">
        <f>J$20*Inputs!$D41</f>
        <v>2.5833171224113852E-6</v>
      </c>
      <c r="K54" s="26">
        <f>K$20*Inputs!$D41</f>
        <v>2.5833171224113852E-6</v>
      </c>
      <c r="L54" s="26">
        <f>L$20*Inputs!$D41</f>
        <v>2.5833171224113852E-6</v>
      </c>
      <c r="M54" s="26">
        <f>M$20*Inputs!$D41</f>
        <v>2.5833171224113852E-6</v>
      </c>
      <c r="N54" s="26">
        <f>N$20*Inputs!$D41</f>
        <v>2.5833171224113852E-6</v>
      </c>
      <c r="O54" s="15">
        <f t="shared" si="10"/>
        <v>3.0999805468936624E-5</v>
      </c>
      <c r="Q54" s="1">
        <v>2014</v>
      </c>
      <c r="R54" s="10">
        <f>SUM(R40:R51)</f>
        <v>46406383.957380459</v>
      </c>
    </row>
    <row r="55" spans="2:33" x14ac:dyDescent="0.25">
      <c r="B55" s="1" t="s">
        <v>77</v>
      </c>
      <c r="C55" s="27">
        <f>C$20*Inputs!$D42</f>
        <v>1.2916585612056926E-6</v>
      </c>
      <c r="D55" s="27">
        <f>D$20*Inputs!$D42</f>
        <v>1.2916585612056926E-6</v>
      </c>
      <c r="E55" s="27">
        <f>E$20*Inputs!$D42</f>
        <v>1.2916585612056926E-6</v>
      </c>
      <c r="F55" s="27">
        <f>F$20*Inputs!$D42</f>
        <v>1.2916585612056926E-6</v>
      </c>
      <c r="G55" s="26">
        <f>G$20*Inputs!$D42</f>
        <v>1.2916585612056926E-6</v>
      </c>
      <c r="H55" s="26">
        <f>H$20*Inputs!$D42</f>
        <v>1.2916585612056926E-6</v>
      </c>
      <c r="I55" s="26">
        <f>I$20*Inputs!$D42</f>
        <v>1.2916585612056926E-6</v>
      </c>
      <c r="J55" s="26">
        <f>J$20*Inputs!$D42</f>
        <v>1.2916585612056926E-6</v>
      </c>
      <c r="K55" s="26">
        <f>K$20*Inputs!$D42</f>
        <v>1.2916585612056926E-6</v>
      </c>
      <c r="L55" s="26">
        <f>L$20*Inputs!$D42</f>
        <v>1.2916585612056926E-6</v>
      </c>
      <c r="M55" s="26">
        <f>M$20*Inputs!$D42</f>
        <v>1.2916585612056926E-6</v>
      </c>
      <c r="N55" s="26">
        <f>N$20*Inputs!$D42</f>
        <v>1.2916585612056926E-6</v>
      </c>
      <c r="O55" s="15">
        <f t="shared" si="10"/>
        <v>1.5499902734468312E-5</v>
      </c>
      <c r="Q55" s="1">
        <v>2015</v>
      </c>
      <c r="R55" s="10">
        <f>SUM(S40:S51,V40:V51)</f>
        <v>63686129.332658373</v>
      </c>
    </row>
    <row r="56" spans="2:33" x14ac:dyDescent="0.25">
      <c r="B56" s="1" t="s">
        <v>78</v>
      </c>
      <c r="C56" s="27">
        <f>C$20*Inputs!$D43</f>
        <v>6.4582928060284631E-7</v>
      </c>
      <c r="D56" s="27">
        <f>D$20*Inputs!$D43</f>
        <v>6.4582928060284631E-7</v>
      </c>
      <c r="E56" s="27">
        <f>E$20*Inputs!$D43</f>
        <v>6.4582928060284631E-7</v>
      </c>
      <c r="F56" s="26">
        <f>F$20*Inputs!$D43</f>
        <v>6.4582928060284631E-7</v>
      </c>
      <c r="G56" s="26">
        <f>G$20*Inputs!$D43</f>
        <v>6.4582928060284631E-7</v>
      </c>
      <c r="H56" s="26">
        <f>H$20*Inputs!$D43</f>
        <v>6.4582928060284631E-7</v>
      </c>
      <c r="I56" s="26">
        <f>I$20*Inputs!$D43</f>
        <v>6.4582928060284631E-7</v>
      </c>
      <c r="J56" s="26">
        <f>J$20*Inputs!$D43</f>
        <v>6.4582928060284631E-7</v>
      </c>
      <c r="K56" s="26">
        <f>K$20*Inputs!$D43</f>
        <v>6.4582928060284631E-7</v>
      </c>
      <c r="L56" s="26">
        <f>L$20*Inputs!$D43</f>
        <v>6.4582928060284631E-7</v>
      </c>
      <c r="M56" s="26">
        <f>M$20*Inputs!$D43</f>
        <v>6.4582928060284631E-7</v>
      </c>
      <c r="N56" s="26">
        <f>N$20*Inputs!$D43</f>
        <v>6.4582928060284631E-7</v>
      </c>
      <c r="O56" s="15">
        <f t="shared" si="10"/>
        <v>7.7499513672341561E-6</v>
      </c>
      <c r="Q56" s="1">
        <v>2016</v>
      </c>
      <c r="R56" s="10">
        <f>SUM(T40:T51,W40:W51,Z40:Z51)</f>
        <v>47959015.91776482</v>
      </c>
    </row>
    <row r="57" spans="2:33" x14ac:dyDescent="0.25">
      <c r="B57" s="1" t="s">
        <v>79</v>
      </c>
      <c r="C57" s="27">
        <f>C$20*Inputs!$D44</f>
        <v>3.2291464030142315E-7</v>
      </c>
      <c r="D57" s="27">
        <f>D$20*Inputs!$D44</f>
        <v>3.2291464030142315E-7</v>
      </c>
      <c r="E57" s="26">
        <f>E$20*Inputs!$D44</f>
        <v>3.2291464030142315E-7</v>
      </c>
      <c r="F57" s="26">
        <f>F$20*Inputs!$D44</f>
        <v>3.2291464030142315E-7</v>
      </c>
      <c r="G57" s="26">
        <f>G$20*Inputs!$D44</f>
        <v>3.2291464030142315E-7</v>
      </c>
      <c r="H57" s="26">
        <f>H$20*Inputs!$D44</f>
        <v>3.2291464030142315E-7</v>
      </c>
      <c r="I57" s="26">
        <f>I$20*Inputs!$D44</f>
        <v>3.2291464030142315E-7</v>
      </c>
      <c r="J57" s="26">
        <f>J$20*Inputs!$D44</f>
        <v>3.2291464030142315E-7</v>
      </c>
      <c r="K57" s="26">
        <f>K$20*Inputs!$D44</f>
        <v>3.2291464030142315E-7</v>
      </c>
      <c r="L57" s="26">
        <f>L$20*Inputs!$D44</f>
        <v>3.2291464030142315E-7</v>
      </c>
      <c r="M57" s="26">
        <f>M$20*Inputs!$D44</f>
        <v>3.2291464030142315E-7</v>
      </c>
      <c r="N57" s="26">
        <f>N$20*Inputs!$D44</f>
        <v>3.2291464030142315E-7</v>
      </c>
      <c r="O57" s="15">
        <f t="shared" si="10"/>
        <v>3.8749756836170781E-6</v>
      </c>
      <c r="Q57" s="1" t="s">
        <v>105</v>
      </c>
      <c r="R57" s="10">
        <f>SUM(U40:U51,X40:Y51,AA40:AC51,AD40:AG51)</f>
        <v>20610421.242822971</v>
      </c>
    </row>
    <row r="58" spans="2:33" x14ac:dyDescent="0.25">
      <c r="B58" s="1" t="s">
        <v>80</v>
      </c>
      <c r="C58" s="27">
        <f>C$20*Inputs!$D45</f>
        <v>1.6145732015071158E-7</v>
      </c>
      <c r="D58" s="26">
        <f>D$20*Inputs!$D45</f>
        <v>1.6145732015071158E-7</v>
      </c>
      <c r="E58" s="26">
        <f>E$20*Inputs!$D45</f>
        <v>1.6145732015071158E-7</v>
      </c>
      <c r="F58" s="26">
        <f>F$20*Inputs!$D45</f>
        <v>1.6145732015071158E-7</v>
      </c>
      <c r="G58" s="26">
        <f>G$20*Inputs!$D45</f>
        <v>1.6145732015071158E-7</v>
      </c>
      <c r="H58" s="26">
        <f>H$20*Inputs!$D45</f>
        <v>1.6145732015071158E-7</v>
      </c>
      <c r="I58" s="26">
        <f>I$20*Inputs!$D45</f>
        <v>1.6145732015071158E-7</v>
      </c>
      <c r="J58" s="26">
        <f>J$20*Inputs!$D45</f>
        <v>1.6145732015071158E-7</v>
      </c>
      <c r="K58" s="26">
        <f>K$20*Inputs!$D45</f>
        <v>1.6145732015071158E-7</v>
      </c>
      <c r="L58" s="26">
        <f>L$20*Inputs!$D45</f>
        <v>1.6145732015071158E-7</v>
      </c>
      <c r="M58" s="26">
        <f>M$20*Inputs!$D45</f>
        <v>1.6145732015071158E-7</v>
      </c>
      <c r="N58" s="26">
        <f>N$20*Inputs!$D45</f>
        <v>1.6145732015071158E-7</v>
      </c>
      <c r="O58" s="15">
        <f t="shared" si="10"/>
        <v>1.937487841808539E-6</v>
      </c>
      <c r="Q58" s="47" t="s">
        <v>103</v>
      </c>
      <c r="R58" s="48">
        <f>SUM(R54:R57)</f>
        <v>178661950.45062661</v>
      </c>
    </row>
    <row r="59" spans="2:33" x14ac:dyDescent="0.25">
      <c r="B59" s="1" t="s">
        <v>81</v>
      </c>
      <c r="C59" s="26">
        <f>C$20*Inputs!$D46</f>
        <v>8.0728660075355788E-8</v>
      </c>
      <c r="D59" s="26">
        <f>D$20*Inputs!$D46</f>
        <v>8.0728660075355788E-8</v>
      </c>
      <c r="E59" s="26">
        <f>E$20*Inputs!$D46</f>
        <v>8.0728660075355788E-8</v>
      </c>
      <c r="F59" s="26">
        <f>F$20*Inputs!$D46</f>
        <v>8.0728660075355788E-8</v>
      </c>
      <c r="G59" s="26">
        <f>G$20*Inputs!$D46</f>
        <v>8.0728660075355788E-8</v>
      </c>
      <c r="H59" s="26">
        <f>H$20*Inputs!$D46</f>
        <v>8.0728660075355788E-8</v>
      </c>
      <c r="I59" s="26">
        <f>I$20*Inputs!$D46</f>
        <v>8.0728660075355788E-8</v>
      </c>
      <c r="J59" s="26">
        <f>J$20*Inputs!$D46</f>
        <v>8.0728660075355788E-8</v>
      </c>
      <c r="K59" s="26">
        <f>K$20*Inputs!$D46</f>
        <v>8.0728660075355788E-8</v>
      </c>
      <c r="L59" s="26">
        <f>L$20*Inputs!$D46</f>
        <v>8.0728660075355788E-8</v>
      </c>
      <c r="M59" s="26">
        <f>M$20*Inputs!$D46</f>
        <v>8.0728660075355788E-8</v>
      </c>
      <c r="N59" s="26">
        <f>N$20*Inputs!$D46</f>
        <v>8.0728660075355788E-8</v>
      </c>
      <c r="O59" s="15">
        <f t="shared" si="10"/>
        <v>9.6874392090426951E-7</v>
      </c>
    </row>
    <row r="60" spans="2:33" x14ac:dyDescent="0.25">
      <c r="B60" s="1" t="s">
        <v>82</v>
      </c>
      <c r="C60" s="26">
        <f>C$20*Inputs!$D47</f>
        <v>4.0364330037677894E-8</v>
      </c>
      <c r="D60" s="26">
        <f>D$20*Inputs!$D47</f>
        <v>4.0364330037677894E-8</v>
      </c>
      <c r="E60" s="26">
        <f>E$20*Inputs!$D47</f>
        <v>4.0364330037677894E-8</v>
      </c>
      <c r="F60" s="26">
        <f>F$20*Inputs!$D47</f>
        <v>4.0364330037677894E-8</v>
      </c>
      <c r="G60" s="26">
        <f>G$20*Inputs!$D47</f>
        <v>4.0364330037677894E-8</v>
      </c>
      <c r="H60" s="26">
        <f>H$20*Inputs!$D47</f>
        <v>4.0364330037677894E-8</v>
      </c>
      <c r="I60" s="26">
        <f>I$20*Inputs!$D47</f>
        <v>4.0364330037677894E-8</v>
      </c>
      <c r="J60" s="26">
        <f>J$20*Inputs!$D47</f>
        <v>4.0364330037677894E-8</v>
      </c>
      <c r="K60" s="26">
        <f>K$20*Inputs!$D47</f>
        <v>4.0364330037677894E-8</v>
      </c>
      <c r="L60" s="26">
        <f>L$20*Inputs!$D47</f>
        <v>4.0364330037677894E-8</v>
      </c>
      <c r="M60" s="26">
        <f>M$20*Inputs!$D47</f>
        <v>4.0364330037677894E-8</v>
      </c>
      <c r="N60" s="26">
        <f>N$20*Inputs!$D47</f>
        <v>4.0364330037677894E-8</v>
      </c>
      <c r="O60" s="15">
        <f t="shared" si="10"/>
        <v>4.8437196045213476E-7</v>
      </c>
    </row>
    <row r="61" spans="2:33" x14ac:dyDescent="0.25">
      <c r="B61" s="1" t="s">
        <v>83</v>
      </c>
      <c r="C61" s="26">
        <f>C$20*Inputs!$D48</f>
        <v>2.0182165018838947E-8</v>
      </c>
      <c r="D61" s="26">
        <f>D$20*Inputs!$D48</f>
        <v>2.0182165018838947E-8</v>
      </c>
      <c r="E61" s="26">
        <f>E$20*Inputs!$D48</f>
        <v>2.0182165018838947E-8</v>
      </c>
      <c r="F61" s="26">
        <f>F$20*Inputs!$D48</f>
        <v>2.0182165018838947E-8</v>
      </c>
      <c r="G61" s="26">
        <f>G$20*Inputs!$D48</f>
        <v>2.0182165018838947E-8</v>
      </c>
      <c r="H61" s="26">
        <f>H$20*Inputs!$D48</f>
        <v>2.0182165018838947E-8</v>
      </c>
      <c r="I61" s="26">
        <f>I$20*Inputs!$D48</f>
        <v>2.0182165018838947E-8</v>
      </c>
      <c r="J61" s="26">
        <f>J$20*Inputs!$D48</f>
        <v>2.0182165018838947E-8</v>
      </c>
      <c r="K61" s="26">
        <f>K$20*Inputs!$D48</f>
        <v>2.0182165018838947E-8</v>
      </c>
      <c r="L61" s="26">
        <f>L$20*Inputs!$D48</f>
        <v>2.0182165018838947E-8</v>
      </c>
      <c r="M61" s="26">
        <f>M$20*Inputs!$D48</f>
        <v>2.0182165018838947E-8</v>
      </c>
      <c r="N61" s="26">
        <f>N$20*Inputs!$D48</f>
        <v>2.0182165018838947E-8</v>
      </c>
      <c r="O61" s="15">
        <f t="shared" si="10"/>
        <v>2.4218598022606738E-7</v>
      </c>
    </row>
    <row r="62" spans="2:33" x14ac:dyDescent="0.25">
      <c r="B62" s="18" t="s">
        <v>39</v>
      </c>
      <c r="C62" s="14">
        <f>SUM(C23:C61)</f>
        <v>11095.262555933547</v>
      </c>
      <c r="D62" s="14">
        <f t="shared" ref="D62:O62" si="12">SUM(D23:D61)</f>
        <v>11095.262555933547</v>
      </c>
      <c r="E62" s="14">
        <f t="shared" si="12"/>
        <v>11095.262555933547</v>
      </c>
      <c r="F62" s="14">
        <f t="shared" si="12"/>
        <v>11095.262555933547</v>
      </c>
      <c r="G62" s="14">
        <f t="shared" si="12"/>
        <v>11095.262555933547</v>
      </c>
      <c r="H62" s="14">
        <f t="shared" si="12"/>
        <v>11095.262555933547</v>
      </c>
      <c r="I62" s="14">
        <f t="shared" si="12"/>
        <v>11095.262555933547</v>
      </c>
      <c r="J62" s="14">
        <f t="shared" si="12"/>
        <v>11095.262555933547</v>
      </c>
      <c r="K62" s="14">
        <f t="shared" si="12"/>
        <v>11095.262555933547</v>
      </c>
      <c r="L62" s="14">
        <f t="shared" si="12"/>
        <v>11095.262555933547</v>
      </c>
      <c r="M62" s="14">
        <f t="shared" si="12"/>
        <v>11095.262555933547</v>
      </c>
      <c r="N62" s="14">
        <f t="shared" si="12"/>
        <v>11095.262555933547</v>
      </c>
      <c r="O62" s="15">
        <f t="shared" si="12"/>
        <v>133143.15067120254</v>
      </c>
    </row>
  </sheetData>
  <mergeCells count="4">
    <mergeCell ref="R38:U38"/>
    <mergeCell ref="V38:Y38"/>
    <mergeCell ref="Z38:AC38"/>
    <mergeCell ref="AD38:A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Inputs</vt:lpstr>
      <vt:lpstr>Adherence</vt:lpstr>
      <vt:lpstr>$5MM Scenario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Merck &amp; Co., Inc.</cp:lastModifiedBy>
  <dcterms:created xsi:type="dcterms:W3CDTF">2013-10-16T16:06:38Z</dcterms:created>
  <dcterms:modified xsi:type="dcterms:W3CDTF">2013-10-17T22:08:31Z</dcterms:modified>
</cp:coreProperties>
</file>