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pushh01\dinfopln\Marketing Mix PI\InvOpt\P12 2024 AB\Products\G9\"/>
    </mc:Choice>
  </mc:AlternateContent>
  <xr:revisionPtr revIDLastSave="0" documentId="13_ncr:1_{B00024C6-6BD9-4117-BFD7-EF31DB43FCFB}" xr6:coauthVersionLast="47" xr6:coauthVersionMax="47" xr10:uidLastSave="{00000000-0000-0000-0000-000000000000}"/>
  <bookViews>
    <workbookView xWindow="-120" yWindow="-120" windowWidth="20730" windowHeight="11160" activeTab="2" xr2:uid="{798B4B96-EEF8-47E1-8762-C8A7D16CC7F2}"/>
  </bookViews>
  <sheets>
    <sheet name="Adult" sheetId="1" r:id="rId1"/>
    <sheet name="Adolescent" sheetId="2" r:id="rId2"/>
    <sheet name="Sheet1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3" l="1"/>
  <c r="E17" i="3"/>
  <c r="E15" i="3"/>
  <c r="D17" i="3"/>
  <c r="D16" i="3"/>
  <c r="D15" i="3"/>
  <c r="C14" i="3" l="1"/>
  <c r="C4" i="3"/>
  <c r="C5" i="3"/>
  <c r="C6" i="3"/>
  <c r="C7" i="3"/>
  <c r="C8" i="3"/>
  <c r="C11" i="3"/>
  <c r="C12" i="3"/>
  <c r="C3" i="3"/>
  <c r="G4" i="3" l="1"/>
  <c r="G5" i="3"/>
  <c r="G6" i="3"/>
  <c r="G7" i="3"/>
  <c r="G8" i="3"/>
  <c r="G9" i="3"/>
  <c r="G10" i="3"/>
  <c r="G11" i="3"/>
  <c r="G12" i="3"/>
  <c r="F4" i="3"/>
  <c r="F5" i="3"/>
  <c r="F6" i="3"/>
  <c r="F7" i="3"/>
  <c r="F8" i="3"/>
  <c r="F9" i="3"/>
  <c r="F10" i="3"/>
  <c r="F11" i="3"/>
  <c r="F12" i="3"/>
  <c r="D14" i="3"/>
  <c r="E12" i="3"/>
  <c r="E4" i="3"/>
  <c r="E5" i="3"/>
  <c r="E6" i="3"/>
  <c r="E7" i="3"/>
  <c r="E8" i="3"/>
  <c r="E9" i="3"/>
  <c r="E10" i="3"/>
  <c r="E11" i="3"/>
  <c r="F14" i="3" l="1"/>
  <c r="G14" i="3"/>
  <c r="E14" i="3"/>
  <c r="C15" i="1" l="1"/>
  <c r="C14" i="1" l="1"/>
  <c r="C12" i="2" l="1"/>
</calcChain>
</file>

<file path=xl/sharedStrings.xml><?xml version="1.0" encoding="utf-8"?>
<sst xmlns="http://schemas.openxmlformats.org/spreadsheetml/2006/main" count="79" uniqueCount="45">
  <si>
    <t>Channel</t>
  </si>
  <si>
    <t>Budget</t>
  </si>
  <si>
    <t>TV</t>
  </si>
  <si>
    <t>HCP</t>
  </si>
  <si>
    <t>HCC Pharmacy</t>
  </si>
  <si>
    <t>HCP Pharmacy</t>
  </si>
  <si>
    <t>TOTAL</t>
  </si>
  <si>
    <t>Category</t>
  </si>
  <si>
    <t>Linear TV</t>
  </si>
  <si>
    <t>Non-TV HCC</t>
  </si>
  <si>
    <t>Pharmacy (HCC In-Store and Digital)</t>
  </si>
  <si>
    <t>Pharmacy (HCP)</t>
  </si>
  <si>
    <t>Streaming</t>
  </si>
  <si>
    <t>Online Video</t>
  </si>
  <si>
    <t>Display</t>
  </si>
  <si>
    <t>Social</t>
  </si>
  <si>
    <t>Paid Search</t>
  </si>
  <si>
    <t>POC</t>
  </si>
  <si>
    <t>Radio</t>
  </si>
  <si>
    <t>MCM</t>
  </si>
  <si>
    <t>Audio</t>
  </si>
  <si>
    <t>70+10</t>
  </si>
  <si>
    <t>70+20</t>
  </si>
  <si>
    <t xml:space="preserve">tv and pharama is constant </t>
  </si>
  <si>
    <t>HCC In Office</t>
  </si>
  <si>
    <t>Scurve Est. [Base Adjusted]</t>
  </si>
  <si>
    <t>HCP MCM</t>
  </si>
  <si>
    <t>HCC Social</t>
  </si>
  <si>
    <t>Power Curve</t>
  </si>
  <si>
    <t>HCC Online Video</t>
  </si>
  <si>
    <t>HCC Streaming Video</t>
  </si>
  <si>
    <t>HCC Display</t>
  </si>
  <si>
    <t>HCC Paid Search</t>
  </si>
  <si>
    <t>HCC Audio</t>
  </si>
  <si>
    <t>HCC Linear TV</t>
  </si>
  <si>
    <t xml:space="preserve">S and e max </t>
  </si>
  <si>
    <t xml:space="preserve">HCP Pharmacy </t>
  </si>
  <si>
    <t>HCC In-office</t>
  </si>
  <si>
    <t>-</t>
  </si>
  <si>
    <t>Min</t>
  </si>
  <si>
    <t>Stretch Max</t>
  </si>
  <si>
    <t>Extreme Max</t>
  </si>
  <si>
    <t>Total</t>
  </si>
  <si>
    <t>2023 Budget</t>
  </si>
  <si>
    <t>2024 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</si>
</sst>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left" indent="1"/>
    </xf>
    <xf numFmtId="0" fontId="3" fillId="0" borderId="2" xfId="0" applyFont="1" applyBorder="1"/>
    <xf numFmtId="9" fontId="3" fillId="0" borderId="1" xfId="0" applyNumberFormat="1" applyFont="1" applyBorder="1" applyAlignment="1">
      <alignment horizontal="center"/>
    </xf>
    <xf numFmtId="5" fontId="3" fillId="2" borderId="1" xfId="1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left" indent="1"/>
    </xf>
    <xf numFmtId="9" fontId="3" fillId="0" borderId="2" xfId="0" applyNumberFormat="1" applyFont="1" applyBorder="1" applyAlignment="1">
      <alignment horizontal="center"/>
    </xf>
    <xf numFmtId="5" fontId="3" fillId="2" borderId="2" xfId="1" applyNumberFormat="1" applyFont="1" applyFill="1" applyBorder="1" applyAlignment="1">
      <alignment horizontal="center"/>
    </xf>
    <xf numFmtId="164" fontId="0" fillId="0" borderId="0" xfId="0" applyNumberFormat="1"/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64" fontId="6" fillId="0" borderId="3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rdasil9_ScenarioPlanning_MediaSpend_8.25.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DULT/Optimize/Custom/GARDADULT_2024_Spend_Alloc_New_SCs_SA_Incr_Doses_2b__v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olescent"/>
      <sheetName val="Adult"/>
      <sheetName val="Adult - for slides"/>
    </sheetNames>
    <sheetDataSet>
      <sheetData sheetId="0"/>
      <sheetData sheetId="1">
        <row r="29">
          <cell r="J29" t="str">
            <v>HCC In-Office</v>
          </cell>
          <cell r="K29">
            <v>900000</v>
          </cell>
          <cell r="L29">
            <v>6500000</v>
          </cell>
          <cell r="R29" t="str">
            <v>HCC In-Office</v>
          </cell>
          <cell r="S29">
            <v>900000</v>
          </cell>
          <cell r="T29">
            <v>11700000</v>
          </cell>
        </row>
        <row r="30">
          <cell r="J30" t="str">
            <v>HCP MCM</v>
          </cell>
          <cell r="K30">
            <v>10500000</v>
          </cell>
          <cell r="L30">
            <v>21000000</v>
          </cell>
          <cell r="R30" t="str">
            <v>HCP MCM</v>
          </cell>
          <cell r="S30">
            <v>10500000</v>
          </cell>
          <cell r="T30">
            <v>28000000</v>
          </cell>
        </row>
        <row r="31">
          <cell r="J31" t="str">
            <v>HCC Social</v>
          </cell>
          <cell r="K31">
            <v>1800000</v>
          </cell>
          <cell r="L31">
            <v>7000000</v>
          </cell>
          <cell r="R31" t="str">
            <v>HCC Social</v>
          </cell>
          <cell r="S31">
            <v>1800000</v>
          </cell>
          <cell r="T31">
            <v>13500000</v>
          </cell>
        </row>
        <row r="32">
          <cell r="J32" t="str">
            <v>HCC Online Video</v>
          </cell>
          <cell r="K32">
            <v>1100000</v>
          </cell>
          <cell r="L32">
            <v>3500000</v>
          </cell>
          <cell r="R32" t="str">
            <v>HCC Online Video</v>
          </cell>
          <cell r="S32">
            <v>1100000</v>
          </cell>
          <cell r="T32">
            <v>6000000</v>
          </cell>
        </row>
        <row r="33">
          <cell r="J33" t="str">
            <v>HCC Streaming Video</v>
          </cell>
          <cell r="K33">
            <v>8306901</v>
          </cell>
          <cell r="L33">
            <v>27304858</v>
          </cell>
          <cell r="R33" t="str">
            <v>HCC Streaming Video</v>
          </cell>
          <cell r="S33">
            <v>8306901</v>
          </cell>
          <cell r="T33">
            <v>41359920</v>
          </cell>
        </row>
        <row r="34">
          <cell r="J34" t="str">
            <v>HCC Display</v>
          </cell>
          <cell r="K34">
            <v>2900000</v>
          </cell>
          <cell r="L34">
            <v>5000000</v>
          </cell>
          <cell r="R34" t="str">
            <v>HCC Display</v>
          </cell>
          <cell r="S34">
            <v>2900000</v>
          </cell>
          <cell r="T34">
            <v>10000000</v>
          </cell>
        </row>
        <row r="35">
          <cell r="J35" t="str">
            <v>HCC Paid Search</v>
          </cell>
          <cell r="K35">
            <v>100000</v>
          </cell>
          <cell r="L35">
            <v>200000</v>
          </cell>
          <cell r="R35" t="str">
            <v>HCC Paid Search</v>
          </cell>
          <cell r="S35">
            <v>100000</v>
          </cell>
          <cell r="T35">
            <v>240000</v>
          </cell>
        </row>
        <row r="36">
          <cell r="J36" t="str">
            <v>HCC Audio</v>
          </cell>
          <cell r="K36">
            <v>500000</v>
          </cell>
          <cell r="L36">
            <v>2200000</v>
          </cell>
          <cell r="R36" t="str">
            <v>HCC Audio</v>
          </cell>
          <cell r="S36">
            <v>500000</v>
          </cell>
          <cell r="T36">
            <v>4800000</v>
          </cell>
        </row>
        <row r="37">
          <cell r="J37" t="str">
            <v>HCC Linear TV</v>
          </cell>
          <cell r="K37">
            <v>20273404</v>
          </cell>
          <cell r="L37">
            <v>53783542</v>
          </cell>
          <cell r="R37" t="str">
            <v>HCC Linear TV</v>
          </cell>
          <cell r="S37">
            <v>20273404</v>
          </cell>
          <cell r="T37">
            <v>81623530</v>
          </cell>
        </row>
        <row r="38">
          <cell r="J38" t="str">
            <v>HCC Pharmacy</v>
          </cell>
          <cell r="K38">
            <v>3200000</v>
          </cell>
          <cell r="L38">
            <v>3200000</v>
          </cell>
          <cell r="R38" t="str">
            <v>HCC Pharmacy</v>
          </cell>
          <cell r="S38">
            <v>3200000</v>
          </cell>
          <cell r="T38">
            <v>3200000</v>
          </cell>
        </row>
        <row r="48">
          <cell r="B48" t="str">
            <v>HCC In-Office</v>
          </cell>
          <cell r="C48">
            <v>900000</v>
          </cell>
        </row>
        <row r="49">
          <cell r="B49" t="str">
            <v>HCP MCM</v>
          </cell>
          <cell r="C49">
            <v>10500000</v>
          </cell>
        </row>
        <row r="50">
          <cell r="B50" t="str">
            <v>HCC Social</v>
          </cell>
          <cell r="C50">
            <v>1800000</v>
          </cell>
        </row>
        <row r="51">
          <cell r="B51" t="str">
            <v>HCC Online Video</v>
          </cell>
          <cell r="C51">
            <v>1100000</v>
          </cell>
        </row>
        <row r="52">
          <cell r="B52" t="str">
            <v>HCC Streaming Video</v>
          </cell>
          <cell r="C52">
            <v>8306901</v>
          </cell>
        </row>
        <row r="53">
          <cell r="B53" t="str">
            <v>HCC Display</v>
          </cell>
          <cell r="C53">
            <v>2900000</v>
          </cell>
        </row>
        <row r="54">
          <cell r="B54" t="str">
            <v>HCC Paid Search</v>
          </cell>
          <cell r="C54">
            <v>100000</v>
          </cell>
        </row>
        <row r="55">
          <cell r="B55" t="str">
            <v>HCC Audio</v>
          </cell>
          <cell r="C55">
            <v>500000</v>
          </cell>
        </row>
        <row r="56">
          <cell r="B56" t="str">
            <v>HCC Linear TV</v>
          </cell>
          <cell r="C56">
            <v>20273404</v>
          </cell>
        </row>
        <row r="57">
          <cell r="B57" t="str">
            <v>HCC Pharmacy</v>
          </cell>
          <cell r="C57">
            <v>3200000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itivity - Template"/>
      <sheetName val="Scenario summary"/>
      <sheetName val="Chart - Combined"/>
      <sheetName val="Sensitivity"/>
      <sheetName val="Contribution, promo eff, ROI"/>
      <sheetName val="Scenario deep dive"/>
      <sheetName val="doses_contrib"/>
      <sheetName val="VAC_Optim_Scenario"/>
      <sheetName val="Current Constraints"/>
      <sheetName val="GINOFF"/>
      <sheetName val="GMCM"/>
      <sheetName val="GSOCIAL"/>
      <sheetName val="GOLV"/>
      <sheetName val="GSTRTV"/>
      <sheetName val="GDISP"/>
      <sheetName val="GPDSRCH"/>
      <sheetName val="GAUDIO"/>
      <sheetName val="GLINEARTV"/>
      <sheetName val="GPRNT"/>
      <sheetName val="GPHRMCY"/>
      <sheetName val="Fn.Templates ==&gt;"/>
      <sheetName val="FT_SCurveEst"/>
      <sheetName val="FT_Equation"/>
      <sheetName val="FT_Interpolate"/>
      <sheetName val="FT_SCurve3E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7">
          <cell r="B17" t="str">
            <v>HCC InOffice</v>
          </cell>
          <cell r="C17" t="str">
            <v>Scurve Est. [Base Adjusted]</v>
          </cell>
          <cell r="D17">
            <v>1</v>
          </cell>
          <cell r="E17">
            <v>1134710</v>
          </cell>
        </row>
        <row r="18">
          <cell r="B18" t="str">
            <v>HCP MCM</v>
          </cell>
          <cell r="C18" t="str">
            <v>Scurve Est. [Base Adjusted]</v>
          </cell>
          <cell r="D18">
            <v>1</v>
          </cell>
          <cell r="E18">
            <v>10503728.719999999</v>
          </cell>
        </row>
        <row r="19">
          <cell r="B19" t="str">
            <v>HCC Social</v>
          </cell>
          <cell r="C19" t="str">
            <v>Power</v>
          </cell>
          <cell r="D19">
            <v>1</v>
          </cell>
          <cell r="E19">
            <v>1751000</v>
          </cell>
        </row>
        <row r="20">
          <cell r="B20" t="str">
            <v>HCC Online Video</v>
          </cell>
          <cell r="C20" t="str">
            <v>Scurve Est. [Base Adjusted]</v>
          </cell>
          <cell r="D20">
            <v>1</v>
          </cell>
          <cell r="E20">
            <v>1111779.04</v>
          </cell>
        </row>
        <row r="21">
          <cell r="B21" t="str">
            <v>HCC Streaming Video</v>
          </cell>
          <cell r="C21" t="str">
            <v>Power</v>
          </cell>
          <cell r="D21">
            <v>1</v>
          </cell>
          <cell r="E21">
            <v>13418576</v>
          </cell>
        </row>
        <row r="22">
          <cell r="B22" t="str">
            <v>HCC Display</v>
          </cell>
          <cell r="C22" t="str">
            <v>Power</v>
          </cell>
          <cell r="D22">
            <v>1</v>
          </cell>
          <cell r="E22">
            <v>2859426.82</v>
          </cell>
        </row>
        <row r="23">
          <cell r="B23" t="str">
            <v>HCC Paid Search</v>
          </cell>
          <cell r="C23" t="str">
            <v>Power</v>
          </cell>
          <cell r="D23">
            <v>1</v>
          </cell>
          <cell r="E23">
            <v>50000</v>
          </cell>
        </row>
        <row r="24">
          <cell r="B24" t="str">
            <v>HCC Radio</v>
          </cell>
          <cell r="C24" t="str">
            <v>Power</v>
          </cell>
          <cell r="D24">
            <v>1</v>
          </cell>
          <cell r="E24">
            <v>923975</v>
          </cell>
        </row>
        <row r="25">
          <cell r="B25" t="str">
            <v>HCC Linear TV</v>
          </cell>
          <cell r="C25" t="str">
            <v>Power</v>
          </cell>
          <cell r="D25">
            <v>1</v>
          </cell>
          <cell r="E25">
            <v>25810928.600000001</v>
          </cell>
        </row>
        <row r="26">
          <cell r="B26" t="str">
            <v>HCC Pharmacy</v>
          </cell>
          <cell r="C26" t="str">
            <v>Scurve Est. [Base Adjusted]</v>
          </cell>
          <cell r="D26">
            <v>1</v>
          </cell>
          <cell r="E26">
            <v>2411968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C7656-93BB-46AA-B0BB-450E891D9689}">
  <dimension ref="A1:J15"/>
  <sheetViews>
    <sheetView workbookViewId="0">
      <selection activeCell="H4" sqref="H4"/>
    </sheetView>
  </sheetViews>
  <sheetFormatPr defaultRowHeight="15" x14ac:dyDescent="0.25"/>
  <cols>
    <col min="1" max="1" width="13" bestFit="1" customWidth="1"/>
    <col min="2" max="2" width="17.7109375" style="5" customWidth="1"/>
    <col min="3" max="3" width="15.5703125" style="1" bestFit="1" customWidth="1"/>
  </cols>
  <sheetData>
    <row r="1" spans="1:10" x14ac:dyDescent="0.25">
      <c r="A1" s="2" t="s">
        <v>7</v>
      </c>
      <c r="B1" s="4" t="s">
        <v>0</v>
      </c>
      <c r="C1" s="3" t="s">
        <v>1</v>
      </c>
    </row>
    <row r="2" spans="1:10" x14ac:dyDescent="0.25">
      <c r="A2" t="s">
        <v>2</v>
      </c>
      <c r="B2" s="5" t="s">
        <v>8</v>
      </c>
      <c r="C2" s="1">
        <v>28089211</v>
      </c>
      <c r="F2" t="s">
        <v>23</v>
      </c>
      <c r="J2" t="s">
        <v>35</v>
      </c>
    </row>
    <row r="3" spans="1:10" x14ac:dyDescent="0.25">
      <c r="A3" s="6" t="s">
        <v>9</v>
      </c>
      <c r="B3" s="5" t="s">
        <v>12</v>
      </c>
      <c r="C3" s="1">
        <v>10268452</v>
      </c>
    </row>
    <row r="4" spans="1:10" x14ac:dyDescent="0.25">
      <c r="A4" s="6"/>
      <c r="B4" s="5" t="s">
        <v>13</v>
      </c>
      <c r="C4" s="1">
        <v>1500000</v>
      </c>
      <c r="F4">
        <v>70</v>
      </c>
      <c r="G4" t="s">
        <v>21</v>
      </c>
      <c r="H4" t="s">
        <v>22</v>
      </c>
    </row>
    <row r="5" spans="1:10" x14ac:dyDescent="0.25">
      <c r="A5" s="6"/>
      <c r="B5" s="5" t="s">
        <v>14</v>
      </c>
      <c r="C5" s="1">
        <v>4000000</v>
      </c>
    </row>
    <row r="6" spans="1:10" x14ac:dyDescent="0.25">
      <c r="A6" s="6"/>
      <c r="B6" s="5" t="s">
        <v>15</v>
      </c>
      <c r="C6" s="1">
        <v>2200000</v>
      </c>
    </row>
    <row r="7" spans="1:10" x14ac:dyDescent="0.25">
      <c r="A7" s="6"/>
      <c r="B7" s="5" t="s">
        <v>16</v>
      </c>
      <c r="C7" s="1">
        <v>200000</v>
      </c>
    </row>
    <row r="8" spans="1:10" x14ac:dyDescent="0.25">
      <c r="A8" s="6"/>
      <c r="B8" s="5" t="s">
        <v>17</v>
      </c>
      <c r="C8" s="1">
        <v>1000000</v>
      </c>
    </row>
    <row r="9" spans="1:10" x14ac:dyDescent="0.25">
      <c r="A9" s="6"/>
      <c r="B9" s="5" t="s">
        <v>18</v>
      </c>
      <c r="C9" s="1">
        <v>1500000</v>
      </c>
    </row>
    <row r="10" spans="1:10" x14ac:dyDescent="0.25">
      <c r="A10" t="s">
        <v>3</v>
      </c>
      <c r="B10" s="5" t="s">
        <v>19</v>
      </c>
      <c r="C10" s="1">
        <v>16948000</v>
      </c>
    </row>
    <row r="11" spans="1:10" ht="30" x14ac:dyDescent="0.25">
      <c r="A11" t="s">
        <v>4</v>
      </c>
      <c r="B11" s="5" t="s">
        <v>10</v>
      </c>
      <c r="C11" s="1">
        <v>3200000</v>
      </c>
    </row>
    <row r="12" spans="1:10" x14ac:dyDescent="0.25">
      <c r="A12" t="s">
        <v>5</v>
      </c>
      <c r="B12" s="5" t="s">
        <v>11</v>
      </c>
      <c r="C12" s="1">
        <v>515000</v>
      </c>
    </row>
    <row r="14" spans="1:10" x14ac:dyDescent="0.25">
      <c r="A14" s="2" t="s">
        <v>6</v>
      </c>
      <c r="B14" s="4"/>
      <c r="C14" s="3">
        <f>SUM(C2:C12)</f>
        <v>69420663</v>
      </c>
    </row>
    <row r="15" spans="1:10" x14ac:dyDescent="0.25">
      <c r="C15" s="1">
        <f>C14-C12</f>
        <v>68905663</v>
      </c>
    </row>
  </sheetData>
  <mergeCells count="1">
    <mergeCell ref="A3:A9"/>
  </mergeCells>
  <pageMargins left="0.7" right="0.7" top="0.75" bottom="0.75" header="0.3" footer="0.3"/>
  <pageSetup orientation="portrait" horizontalDpi="1200" verticalDpi="1200" r:id="rId1"/>
  <headerFooter>
    <oddHeader>&amp;L&amp;"Calibri"&amp;12&amp;K8E6A00Confidential&amp;1#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7321-E041-4A3C-B40A-5554FF15BC64}">
  <dimension ref="A1:M12"/>
  <sheetViews>
    <sheetView workbookViewId="0">
      <selection activeCell="L2" sqref="L2:M13"/>
    </sheetView>
  </sheetViews>
  <sheetFormatPr defaultRowHeight="15" x14ac:dyDescent="0.25"/>
  <cols>
    <col min="1" max="1" width="13" bestFit="1" customWidth="1"/>
    <col min="2" max="2" width="17.7109375" style="5" customWidth="1"/>
    <col min="3" max="3" width="15.5703125" style="1" bestFit="1" customWidth="1"/>
    <col min="4" max="4" width="11.42578125" bestFit="1" customWidth="1"/>
    <col min="8" max="8" width="18.85546875" bestFit="1" customWidth="1"/>
    <col min="11" max="11" width="11.42578125" bestFit="1" customWidth="1"/>
    <col min="12" max="12" width="36" customWidth="1"/>
  </cols>
  <sheetData>
    <row r="1" spans="1:13" x14ac:dyDescent="0.25">
      <c r="A1" s="2" t="s">
        <v>7</v>
      </c>
      <c r="B1" s="4" t="s">
        <v>0</v>
      </c>
      <c r="C1" s="3" t="s">
        <v>1</v>
      </c>
    </row>
    <row r="2" spans="1:13" x14ac:dyDescent="0.25">
      <c r="A2" t="s">
        <v>2</v>
      </c>
      <c r="B2" s="5" t="s">
        <v>8</v>
      </c>
      <c r="C2" s="1">
        <v>16888801</v>
      </c>
      <c r="D2" s="13">
        <v>13503524.99</v>
      </c>
      <c r="H2" s="7" t="s">
        <v>24</v>
      </c>
      <c r="I2" s="8" t="s">
        <v>25</v>
      </c>
      <c r="J2" s="9">
        <v>1</v>
      </c>
      <c r="L2" s="5"/>
      <c r="M2" s="1"/>
    </row>
    <row r="3" spans="1:13" x14ac:dyDescent="0.25">
      <c r="A3" s="6" t="s">
        <v>9</v>
      </c>
      <c r="B3" s="5" t="s">
        <v>12</v>
      </c>
      <c r="C3" s="1">
        <v>4817798</v>
      </c>
      <c r="D3" s="13">
        <v>6180125</v>
      </c>
      <c r="H3" s="11" t="s">
        <v>26</v>
      </c>
      <c r="I3" s="8" t="s">
        <v>25</v>
      </c>
      <c r="J3" s="12">
        <v>1</v>
      </c>
      <c r="L3" s="5"/>
      <c r="M3" s="1"/>
    </row>
    <row r="4" spans="1:13" x14ac:dyDescent="0.25">
      <c r="A4" s="6"/>
      <c r="B4" s="5" t="s">
        <v>13</v>
      </c>
      <c r="C4" s="1">
        <v>1220000</v>
      </c>
      <c r="D4" s="13">
        <v>173076.94</v>
      </c>
      <c r="H4" s="11" t="s">
        <v>27</v>
      </c>
      <c r="I4" s="8" t="s">
        <v>28</v>
      </c>
      <c r="J4" s="12">
        <v>1</v>
      </c>
      <c r="L4" s="5"/>
      <c r="M4" s="1"/>
    </row>
    <row r="5" spans="1:13" x14ac:dyDescent="0.25">
      <c r="A5" s="6"/>
      <c r="B5" s="5" t="s">
        <v>14</v>
      </c>
      <c r="C5" s="1">
        <v>3540000</v>
      </c>
      <c r="D5" s="13">
        <v>1648357.37</v>
      </c>
      <c r="H5" s="11" t="s">
        <v>29</v>
      </c>
      <c r="I5" s="8" t="s">
        <v>25</v>
      </c>
      <c r="J5" s="12">
        <v>1</v>
      </c>
      <c r="L5" s="5"/>
      <c r="M5" s="1"/>
    </row>
    <row r="6" spans="1:13" x14ac:dyDescent="0.25">
      <c r="A6" s="6"/>
      <c r="B6" s="5" t="s">
        <v>15</v>
      </c>
      <c r="C6" s="1">
        <v>1840000</v>
      </c>
      <c r="D6" s="13">
        <v>1873000</v>
      </c>
      <c r="H6" s="11" t="s">
        <v>30</v>
      </c>
      <c r="I6" s="8" t="s">
        <v>28</v>
      </c>
      <c r="J6" s="12">
        <v>1</v>
      </c>
      <c r="L6" s="5"/>
      <c r="M6" s="1"/>
    </row>
    <row r="7" spans="1:13" x14ac:dyDescent="0.25">
      <c r="A7" s="6"/>
      <c r="B7" s="5" t="s">
        <v>16</v>
      </c>
      <c r="C7" s="1">
        <v>400000</v>
      </c>
      <c r="D7" s="13">
        <v>344707</v>
      </c>
      <c r="H7" s="11" t="s">
        <v>31</v>
      </c>
      <c r="I7" s="8" t="s">
        <v>25</v>
      </c>
      <c r="J7" s="12">
        <v>1</v>
      </c>
      <c r="L7" s="5"/>
      <c r="M7" s="1"/>
    </row>
    <row r="8" spans="1:13" x14ac:dyDescent="0.25">
      <c r="A8" s="6"/>
      <c r="B8" s="5" t="s">
        <v>17</v>
      </c>
      <c r="C8" s="1">
        <v>1000000</v>
      </c>
      <c r="D8" s="10">
        <v>1755293</v>
      </c>
      <c r="H8" s="11" t="s">
        <v>32</v>
      </c>
      <c r="I8" s="8" t="s">
        <v>28</v>
      </c>
      <c r="J8" s="12">
        <v>1</v>
      </c>
      <c r="L8" s="5"/>
      <c r="M8" s="1"/>
    </row>
    <row r="9" spans="1:13" x14ac:dyDescent="0.25">
      <c r="A9" s="6"/>
      <c r="B9" s="5" t="s">
        <v>20</v>
      </c>
      <c r="C9" s="1">
        <v>2220000</v>
      </c>
      <c r="D9" s="13">
        <v>1437048.41</v>
      </c>
      <c r="H9" s="11" t="s">
        <v>33</v>
      </c>
      <c r="I9" s="8" t="s">
        <v>28</v>
      </c>
      <c r="J9" s="12">
        <v>1</v>
      </c>
      <c r="L9" s="5"/>
      <c r="M9" s="1"/>
    </row>
    <row r="10" spans="1:13" x14ac:dyDescent="0.25">
      <c r="A10" t="s">
        <v>3</v>
      </c>
      <c r="B10" s="5" t="s">
        <v>19</v>
      </c>
      <c r="C10" s="1">
        <v>7775778</v>
      </c>
      <c r="D10" s="13">
        <v>5365372.8900000006</v>
      </c>
      <c r="H10" s="11" t="s">
        <v>34</v>
      </c>
      <c r="I10" s="8" t="s">
        <v>28</v>
      </c>
      <c r="J10" s="12">
        <v>1</v>
      </c>
      <c r="L10" s="5"/>
      <c r="M10" s="1"/>
    </row>
    <row r="11" spans="1:13" x14ac:dyDescent="0.25">
      <c r="L11" s="5"/>
      <c r="M11" s="1"/>
    </row>
    <row r="12" spans="1:13" x14ac:dyDescent="0.25">
      <c r="A12" s="2" t="s">
        <v>6</v>
      </c>
      <c r="B12" s="4"/>
      <c r="C12" s="3">
        <f>SUM(C2:C10)</f>
        <v>39702377</v>
      </c>
      <c r="L12" s="5"/>
      <c r="M12" s="1"/>
    </row>
  </sheetData>
  <mergeCells count="1">
    <mergeCell ref="A3:A9"/>
  </mergeCells>
  <pageMargins left="0.7" right="0.7" top="0.75" bottom="0.75" header="0.3" footer="0.3"/>
  <pageSetup orientation="portrait" horizontalDpi="1200" verticalDpi="1200" r:id="rId1"/>
  <headerFooter>
    <oddHeader>&amp;L&amp;"Calibri"&amp;12&amp;K8E6A00Confidential&amp;1#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EF90A-B3E6-4119-BA5B-9C4BA09F28C7}">
  <dimension ref="B2:G17"/>
  <sheetViews>
    <sheetView showGridLines="0" tabSelected="1" workbookViewId="0">
      <selection activeCell="E17" sqref="E17"/>
    </sheetView>
  </sheetViews>
  <sheetFormatPr defaultRowHeight="15" x14ac:dyDescent="0.25"/>
  <cols>
    <col min="2" max="2" width="19.42578125" bestFit="1" customWidth="1"/>
    <col min="3" max="3" width="14.7109375" bestFit="1" customWidth="1"/>
    <col min="4" max="5" width="14" bestFit="1" customWidth="1"/>
    <col min="6" max="7" width="15.140625" bestFit="1" customWidth="1"/>
    <col min="9" max="10" width="16" bestFit="1" customWidth="1"/>
  </cols>
  <sheetData>
    <row r="2" spans="2:7" x14ac:dyDescent="0.25">
      <c r="B2" s="16"/>
      <c r="C2" s="15" t="s">
        <v>43</v>
      </c>
      <c r="D2" s="15" t="s">
        <v>44</v>
      </c>
      <c r="E2" s="15" t="s">
        <v>39</v>
      </c>
      <c r="F2" s="15" t="s">
        <v>40</v>
      </c>
      <c r="G2" s="15" t="s">
        <v>41</v>
      </c>
    </row>
    <row r="3" spans="2:7" x14ac:dyDescent="0.25">
      <c r="B3" s="17" t="s">
        <v>34</v>
      </c>
      <c r="C3" s="18">
        <f>VLOOKUP($B3,[2]VAC_Optim_Scenario!$B$17:$E$26,4,0)</f>
        <v>25810928.600000001</v>
      </c>
      <c r="D3" s="18">
        <v>28089211</v>
      </c>
      <c r="E3" s="18">
        <v>28089211</v>
      </c>
      <c r="F3" s="18">
        <v>28089211</v>
      </c>
      <c r="G3" s="18">
        <v>28089211</v>
      </c>
    </row>
    <row r="4" spans="2:7" x14ac:dyDescent="0.25">
      <c r="B4" s="17" t="s">
        <v>30</v>
      </c>
      <c r="C4" s="18">
        <f>VLOOKUP($B4,[2]VAC_Optim_Scenario!$B$17:$E$26,4,0)</f>
        <v>13418576</v>
      </c>
      <c r="D4" s="18">
        <v>10268452</v>
      </c>
      <c r="E4" s="18">
        <f>VLOOKUP($B4,[1]Adult!B$48:C$57,2,0)</f>
        <v>8306901</v>
      </c>
      <c r="F4" s="18">
        <f>VLOOKUP($B4,[1]Adult!$J$29:$L$38,3,0)</f>
        <v>27304858</v>
      </c>
      <c r="G4" s="18">
        <f>VLOOKUP($B4,[1]Adult!$R$29:$T$38,3,0)</f>
        <v>41359920</v>
      </c>
    </row>
    <row r="5" spans="2:7" x14ac:dyDescent="0.25">
      <c r="B5" s="17" t="s">
        <v>29</v>
      </c>
      <c r="C5" s="18">
        <f>VLOOKUP($B5,[2]VAC_Optim_Scenario!$B$17:$E$26,4,0)</f>
        <v>1111779.04</v>
      </c>
      <c r="D5" s="18">
        <v>1500000</v>
      </c>
      <c r="E5" s="18">
        <f>VLOOKUP($B5,[1]Adult!B$48:C$57,2,0)</f>
        <v>1100000</v>
      </c>
      <c r="F5" s="18">
        <f>VLOOKUP($B5,[1]Adult!$J$29:$L$38,3,0)</f>
        <v>3500000</v>
      </c>
      <c r="G5" s="18">
        <f>VLOOKUP($B5,[1]Adult!$R$29:$T$38,3,0)</f>
        <v>6000000</v>
      </c>
    </row>
    <row r="6" spans="2:7" x14ac:dyDescent="0.25">
      <c r="B6" s="17" t="s">
        <v>31</v>
      </c>
      <c r="C6" s="18">
        <f>VLOOKUP($B6,[2]VAC_Optim_Scenario!$B$17:$E$26,4,0)</f>
        <v>2859426.82</v>
      </c>
      <c r="D6" s="18">
        <v>4000000</v>
      </c>
      <c r="E6" s="18">
        <f>VLOOKUP($B6,[1]Adult!B$48:C$57,2,0)</f>
        <v>2900000</v>
      </c>
      <c r="F6" s="18">
        <f>VLOOKUP($B6,[1]Adult!$J$29:$L$38,3,0)</f>
        <v>5000000</v>
      </c>
      <c r="G6" s="18">
        <f>VLOOKUP($B6,[1]Adult!$R$29:$T$38,3,0)</f>
        <v>10000000</v>
      </c>
    </row>
    <row r="7" spans="2:7" x14ac:dyDescent="0.25">
      <c r="B7" s="17" t="s">
        <v>27</v>
      </c>
      <c r="C7" s="18">
        <f>VLOOKUP($B7,[2]VAC_Optim_Scenario!$B$17:$E$26,4,0)</f>
        <v>1751000</v>
      </c>
      <c r="D7" s="18">
        <v>2200000</v>
      </c>
      <c r="E7" s="18">
        <f>VLOOKUP($B7,[1]Adult!B$48:C$57,2,0)</f>
        <v>1800000</v>
      </c>
      <c r="F7" s="18">
        <f>VLOOKUP($B7,[1]Adult!$J$29:$L$38,3,0)</f>
        <v>7000000</v>
      </c>
      <c r="G7" s="18">
        <f>VLOOKUP($B7,[1]Adult!$R$29:$T$38,3,0)</f>
        <v>13500000</v>
      </c>
    </row>
    <row r="8" spans="2:7" x14ac:dyDescent="0.25">
      <c r="B8" s="17" t="s">
        <v>32</v>
      </c>
      <c r="C8" s="18">
        <f>VLOOKUP($B8,[2]VAC_Optim_Scenario!$B$17:$E$26,4,0)</f>
        <v>50000</v>
      </c>
      <c r="D8" s="18">
        <v>200000</v>
      </c>
      <c r="E8" s="18">
        <f>VLOOKUP($B8,[1]Adult!B$48:C$57,2,0)</f>
        <v>100000</v>
      </c>
      <c r="F8" s="18">
        <f>VLOOKUP($B8,[1]Adult!$J$29:$L$38,3,0)</f>
        <v>200000</v>
      </c>
      <c r="G8" s="18">
        <f>VLOOKUP($B8,[1]Adult!$R$29:$T$38,3,0)</f>
        <v>240000</v>
      </c>
    </row>
    <row r="9" spans="2:7" x14ac:dyDescent="0.25">
      <c r="B9" s="17" t="s">
        <v>37</v>
      </c>
      <c r="C9" s="18">
        <v>1134710</v>
      </c>
      <c r="D9" s="18">
        <v>1000000</v>
      </c>
      <c r="E9" s="18">
        <f>VLOOKUP($B9,[1]Adult!B$48:C$57,2,0)</f>
        <v>900000</v>
      </c>
      <c r="F9" s="18">
        <f>VLOOKUP($B9,[1]Adult!$J$29:$L$38,3,0)</f>
        <v>6500000</v>
      </c>
      <c r="G9" s="18">
        <f>VLOOKUP($B9,[1]Adult!$R$29:$T$38,3,0)</f>
        <v>11700000</v>
      </c>
    </row>
    <row r="10" spans="2:7" x14ac:dyDescent="0.25">
      <c r="B10" s="17" t="s">
        <v>33</v>
      </c>
      <c r="C10" s="18">
        <v>923975</v>
      </c>
      <c r="D10" s="18">
        <v>1500000</v>
      </c>
      <c r="E10" s="18">
        <f>VLOOKUP($B10,[1]Adult!B$48:C$57,2,0)</f>
        <v>500000</v>
      </c>
      <c r="F10" s="18">
        <f>VLOOKUP($B10,[1]Adult!$J$29:$L$38,3,0)</f>
        <v>2200000</v>
      </c>
      <c r="G10" s="18">
        <f>VLOOKUP($B10,[1]Adult!$R$29:$T$38,3,0)</f>
        <v>4800000</v>
      </c>
    </row>
    <row r="11" spans="2:7" x14ac:dyDescent="0.25">
      <c r="B11" s="17" t="s">
        <v>26</v>
      </c>
      <c r="C11" s="18">
        <f>VLOOKUP($B11,[2]VAC_Optim_Scenario!$B$17:$E$26,4,0)</f>
        <v>10503728.719999999</v>
      </c>
      <c r="D11" s="18">
        <v>16948000</v>
      </c>
      <c r="E11" s="18">
        <f>VLOOKUP($B11,[1]Adult!B$48:C$57,2,0)</f>
        <v>10500000</v>
      </c>
      <c r="F11" s="18">
        <f>VLOOKUP($B11,[1]Adult!$J$29:$L$38,3,0)</f>
        <v>21000000</v>
      </c>
      <c r="G11" s="18">
        <f>VLOOKUP($B11,[1]Adult!$R$29:$T$38,3,0)</f>
        <v>28000000</v>
      </c>
    </row>
    <row r="12" spans="2:7" x14ac:dyDescent="0.25">
      <c r="B12" s="17" t="s">
        <v>4</v>
      </c>
      <c r="C12" s="18">
        <f>VLOOKUP($B12,[2]VAC_Optim_Scenario!$B$17:$E$26,4,0)</f>
        <v>2411968</v>
      </c>
      <c r="D12" s="18">
        <v>3200000</v>
      </c>
      <c r="E12" s="18">
        <f>VLOOKUP($B12,[1]Adult!B$48:C$57,2,0)</f>
        <v>3200000</v>
      </c>
      <c r="F12" s="18">
        <f>VLOOKUP($B12,[1]Adult!$J$29:$L$38,3,0)</f>
        <v>3200000</v>
      </c>
      <c r="G12" s="18">
        <f>VLOOKUP($B12,[1]Adult!$R$29:$T$38,3,0)</f>
        <v>3200000</v>
      </c>
    </row>
    <row r="13" spans="2:7" x14ac:dyDescent="0.25">
      <c r="B13" s="17" t="s">
        <v>36</v>
      </c>
      <c r="C13" s="18" t="s">
        <v>38</v>
      </c>
      <c r="D13" s="18">
        <v>515000</v>
      </c>
      <c r="E13" s="19" t="s">
        <v>38</v>
      </c>
      <c r="F13" s="19" t="s">
        <v>38</v>
      </c>
      <c r="G13" s="19" t="s">
        <v>38</v>
      </c>
    </row>
    <row r="14" spans="2:7" x14ac:dyDescent="0.25">
      <c r="B14" s="15" t="s">
        <v>42</v>
      </c>
      <c r="C14" s="20">
        <f>SUM(C3:C13)</f>
        <v>59976092.18</v>
      </c>
      <c r="D14" s="20">
        <f>SUM(D3:D13)</f>
        <v>69420663</v>
      </c>
      <c r="E14" s="20">
        <f>SUM(E3:E13)</f>
        <v>57396112</v>
      </c>
      <c r="F14" s="20">
        <f>SUM(F3:F13)</f>
        <v>103994069</v>
      </c>
      <c r="G14" s="20">
        <f>SUM(G3:G13)</f>
        <v>146889131</v>
      </c>
    </row>
    <row r="15" spans="2:7" x14ac:dyDescent="0.25">
      <c r="D15" s="14">
        <f>D14-D13</f>
        <v>68905663</v>
      </c>
      <c r="E15">
        <f>D15/$D$15</f>
        <v>1</v>
      </c>
    </row>
    <row r="16" spans="2:7" x14ac:dyDescent="0.25">
      <c r="D16" s="14">
        <f>D15+10000000</f>
        <v>78905663</v>
      </c>
      <c r="E16">
        <f t="shared" ref="E16:E17" si="0">D16/$D$15</f>
        <v>1.1451259528552828</v>
      </c>
    </row>
    <row r="17" spans="4:5" x14ac:dyDescent="0.25">
      <c r="D17" s="14">
        <f>D15+20000000</f>
        <v>88905663</v>
      </c>
      <c r="E17">
        <f t="shared" si="0"/>
        <v>1.2902519057105655</v>
      </c>
    </row>
  </sheetData>
  <pageMargins left="0.7" right="0.7" top="0.75" bottom="0.75" header="0.3" footer="0.3"/>
  <pageSetup paperSize="9" orientation="portrait" r:id="rId1"/>
  <headerFooter>
    <oddHeader>&amp;L&amp;"Calibri"&amp;12&amp;K8E6A00Confidential&amp;1#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Adult</vt:lpstr>
      <vt:lpstr>Adolescent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Rosenberg, Jacob</dc:creator>
  <cp:lastModifiedBy>Shukla, Hrithik</cp:lastModifiedBy>
  <dcterms:created xsi:type="dcterms:W3CDTF">2023-09-27T18:22:42Z</dcterms:created>
  <dcterms:modified xsi:type="dcterms:W3CDTF">2023-10-04T10:40:09Z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56a699-e9bd-437a-8412-901342082749_Enabled">
    <vt:lpwstr>true</vt:lpwstr>
  </property>
  <property fmtid="{D5CDD505-2E9C-101B-9397-08002B2CF9AE}" pid="3" name="MSIP_Label_2c56a699-e9bd-437a-8412-901342082749_SetDate">
    <vt:lpwstr>2023-09-27T18:36:50Z</vt:lpwstr>
  </property>
  <property fmtid="{D5CDD505-2E9C-101B-9397-08002B2CF9AE}" pid="4" name="MSIP_Label_2c56a699-e9bd-437a-8412-901342082749_Method">
    <vt:lpwstr>Privileged</vt:lpwstr>
  </property>
  <property fmtid="{D5CDD505-2E9C-101B-9397-08002B2CF9AE}" pid="5" name="MSIP_Label_2c56a699-e9bd-437a-8412-901342082749_Name">
    <vt:lpwstr>2c56a699-e9bd-437a-8412-901342082749</vt:lpwstr>
  </property>
  <property fmtid="{D5CDD505-2E9C-101B-9397-08002B2CF9AE}" pid="6" name="MSIP_Label_2c56a699-e9bd-437a-8412-901342082749_SiteId">
    <vt:lpwstr>a00de4ec-48a8-43a6-be74-e31274e2060d</vt:lpwstr>
  </property>
  <property fmtid="{D5CDD505-2E9C-101B-9397-08002B2CF9AE}" pid="7" name="MSIP_Label_2c56a699-e9bd-437a-8412-901342082749_ActionId">
    <vt:lpwstr>7ef31b07-4c51-4e42-8751-3270a6f23607</vt:lpwstr>
  </property>
  <property fmtid="{D5CDD505-2E9C-101B-9397-08002B2CF9AE}" pid="8" name="MSIP_Label_2c56a699-e9bd-437a-8412-901342082749_ContentBits">
    <vt:lpwstr>1</vt:lpwstr>
  </property>
  <property fmtid="{D5CDD505-2E9C-101B-9397-08002B2CF9AE}" pid="9" name="MerckAIPLabel">
    <vt:lpwstr>Confidential</vt:lpwstr>
  </property>
  <property fmtid="{D5CDD505-2E9C-101B-9397-08002B2CF9AE}" pid="10" name="MerckAIPDataExchange">
    <vt:lpwstr>!MRKMIP@Confidential</vt:lpwstr>
  </property>
  <property fmtid="{D5CDD505-2E9C-101B-9397-08002B2CF9AE}" pid="11" name="_AdHocReviewCycleID">
    <vt:i4>-1631470161</vt:i4>
  </property>
  <property fmtid="{D5CDD505-2E9C-101B-9397-08002B2CF9AE}" pid="12" name="_NewReviewCycle">
    <vt:lpwstr/>
  </property>
  <property fmtid="{D5CDD505-2E9C-101B-9397-08002B2CF9AE}" pid="13" name="_EmailSubject">
    <vt:lpwstr>[Confidential] RE: Profit plan follow up Round 1</vt:lpwstr>
  </property>
  <property fmtid="{D5CDD505-2E9C-101B-9397-08002B2CF9AE}" pid="14" name="_AuthorEmail">
    <vt:lpwstr>jacob.rosenberg@merck.com</vt:lpwstr>
  </property>
  <property fmtid="{D5CDD505-2E9C-101B-9397-08002B2CF9AE}" pid="15" name="_AuthorEmailDisplayName">
    <vt:lpwstr>Rosenberg, Jacob</vt:lpwstr>
  </property>
  <property fmtid="{D5CDD505-2E9C-101B-9397-08002B2CF9AE}" pid="16" name="_ReviewingToolsShownOnce">
    <vt:lpwstr/>
  </property>
</Properties>
</file>