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D57ED86E-59B0-495E-BB77-7398414E4D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play" sheetId="5" r:id="rId1"/>
    <sheet name="Data" sheetId="6" r:id="rId2"/>
    <sheet name="HCC Display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H4" i="5" s="1"/>
  <c r="H5" i="6" l="1"/>
  <c r="I5" i="6" l="1"/>
  <c r="F12" i="7" l="1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J5" i="6" l="1"/>
  <c r="C12" i="7"/>
  <c r="I12" i="7" s="1"/>
  <c r="K5" i="6"/>
  <c r="B12" i="7"/>
  <c r="C9" i="7" s="1"/>
  <c r="L5" i="6" l="1"/>
  <c r="M5" i="6" s="1"/>
  <c r="E12" i="7" s="1"/>
  <c r="J12" i="7" s="1"/>
  <c r="M12" i="7" s="1"/>
  <c r="G9" i="7"/>
  <c r="K12" i="7"/>
  <c r="B9" i="7"/>
  <c r="F9" i="7"/>
  <c r="D9" i="7" s="1"/>
  <c r="N12" i="7" l="1"/>
  <c r="O12" i="7"/>
  <c r="B47" i="7" s="1"/>
  <c r="B50" i="7"/>
  <c r="B33" i="7"/>
  <c r="B27" i="7"/>
  <c r="B32" i="7"/>
  <c r="B51" i="7"/>
  <c r="B23" i="7"/>
  <c r="B26" i="7"/>
  <c r="B39" i="7"/>
  <c r="B43" i="7"/>
  <c r="B28" i="7"/>
  <c r="B22" i="7"/>
  <c r="C22" i="7" s="1"/>
  <c r="E9" i="7"/>
  <c r="B36" i="7"/>
  <c r="B38" i="7"/>
  <c r="B40" i="7"/>
  <c r="B35" i="7"/>
  <c r="B44" i="7"/>
  <c r="B34" i="7"/>
  <c r="B52" i="7"/>
  <c r="B30" i="7"/>
  <c r="B24" i="7" l="1"/>
  <c r="B29" i="7"/>
  <c r="B49" i="7"/>
  <c r="B46" i="7"/>
  <c r="C46" i="7" s="1"/>
  <c r="E46" i="7" s="1"/>
  <c r="B31" i="7"/>
  <c r="B25" i="7"/>
  <c r="C25" i="7" s="1"/>
  <c r="E25" i="7" s="1"/>
  <c r="B48" i="7"/>
  <c r="C48" i="7" s="1"/>
  <c r="D48" i="7" s="1"/>
  <c r="B37" i="7"/>
  <c r="C37" i="7" s="1"/>
  <c r="D37" i="7" s="1"/>
  <c r="B45" i="7"/>
  <c r="C45" i="7" s="1"/>
  <c r="E45" i="7" s="1"/>
  <c r="B42" i="7"/>
  <c r="C42" i="7" s="1"/>
  <c r="E42" i="7" s="1"/>
  <c r="B41" i="7"/>
  <c r="C41" i="7" s="1"/>
  <c r="D41" i="7" s="1"/>
  <c r="C29" i="7"/>
  <c r="E29" i="7" s="1"/>
  <c r="C31" i="7"/>
  <c r="E31" i="7" s="1"/>
  <c r="C30" i="7"/>
  <c r="D30" i="7" s="1"/>
  <c r="C51" i="7"/>
  <c r="D51" i="7" s="1"/>
  <c r="C36" i="7"/>
  <c r="D36" i="7" s="1"/>
  <c r="C52" i="7"/>
  <c r="E52" i="7" s="1"/>
  <c r="C32" i="7"/>
  <c r="D32" i="7" s="1"/>
  <c r="C28" i="7"/>
  <c r="E28" i="7" s="1"/>
  <c r="C50" i="7"/>
  <c r="E50" i="7" s="1"/>
  <c r="C43" i="7"/>
  <c r="E43" i="7" s="1"/>
  <c r="C47" i="7"/>
  <c r="D47" i="7" s="1"/>
  <c r="C39" i="7"/>
  <c r="D39" i="7" s="1"/>
  <c r="C26" i="7"/>
  <c r="D26" i="7" s="1"/>
  <c r="C24" i="7"/>
  <c r="E24" i="7" s="1"/>
  <c r="C34" i="7"/>
  <c r="D34" i="7" s="1"/>
  <c r="C27" i="7"/>
  <c r="E27" i="7" s="1"/>
  <c r="C44" i="7"/>
  <c r="D44" i="7" s="1"/>
  <c r="C49" i="7"/>
  <c r="E49" i="7" s="1"/>
  <c r="C35" i="7"/>
  <c r="E35" i="7" s="1"/>
  <c r="C40" i="7"/>
  <c r="D40" i="7" s="1"/>
  <c r="C38" i="7"/>
  <c r="E38" i="7" s="1"/>
  <c r="C23" i="7"/>
  <c r="D23" i="7" s="1"/>
  <c r="C33" i="7"/>
  <c r="E33" i="7" s="1"/>
  <c r="D31" i="7" l="1"/>
  <c r="D25" i="7"/>
  <c r="E26" i="7"/>
  <c r="D29" i="7"/>
  <c r="D45" i="7"/>
  <c r="E34" i="7"/>
  <c r="D24" i="7"/>
  <c r="D42" i="7"/>
  <c r="E48" i="7"/>
  <c r="D27" i="7"/>
  <c r="E37" i="7"/>
  <c r="D33" i="7"/>
  <c r="D52" i="7"/>
  <c r="D43" i="7"/>
  <c r="E47" i="7"/>
  <c r="E51" i="7"/>
  <c r="E36" i="7"/>
  <c r="D50" i="7"/>
  <c r="E23" i="7"/>
  <c r="D35" i="7"/>
  <c r="E41" i="7"/>
  <c r="E30" i="7"/>
  <c r="D38" i="7"/>
  <c r="D49" i="7"/>
  <c r="E39" i="7"/>
  <c r="D28" i="7"/>
  <c r="D46" i="7"/>
  <c r="E40" i="7"/>
  <c r="E44" i="7"/>
  <c r="E32" i="7"/>
</calcChain>
</file>

<file path=xl/sharedStrings.xml><?xml version="1.0" encoding="utf-8"?>
<sst xmlns="http://schemas.openxmlformats.org/spreadsheetml/2006/main" count="78" uniqueCount="76">
  <si>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</si>
  <si>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</si>
  <si>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</si>
  <si>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</si>
  <si>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</si>
  <si>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</si>
  <si>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</si>
  <si>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</si>
  <si>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</si>
  <si>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</si>
  <si>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</si>
  <si>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</si>
  <si>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</si>
  <si>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</si>
  <si>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</si>
  <si>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</si>
  <si>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</si>
  <si>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</si>
  <si>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</si>
  <si>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</si>
  <si>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</si>
  <si>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</si>
  <si>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</si>
  <si>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</si>
  <si>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</si>
  <si>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</si>
  <si>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</si>
  <si>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</si>
  <si>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</si>
  <si>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</si>
  <si>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</si>
  <si>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</si>
  <si>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</si>
  <si>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</si>
  <si>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</si>
  <si>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</si>
  <si>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</si>
  <si>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</si>
  <si>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</si>
  <si>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</si>
  <si>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</si>
  <si>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</si>
  <si>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</si>
  <si>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</si>
  <si>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</si>
  <si>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</si>
  <si>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</si>
  <si>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</si>
  <si>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</si>
  <si>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</si>
  <si>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</si>
  <si>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After-tax</t>
  </si>
  <si>
    <t>Comments:</t>
  </si>
  <si>
    <t>Program</t>
  </si>
  <si>
    <t>Pre-tax cost</t>
  </si>
  <si>
    <t>Pre-tax ROI</t>
  </si>
  <si>
    <t>Parameters for back-calculation of Incremental Rx</t>
  </si>
  <si>
    <t>Incr. Rx</t>
  </si>
  <si>
    <t xml:space="preserve"> Rx</t>
  </si>
  <si>
    <t>GARDASIL 9</t>
  </si>
  <si>
    <t># Incr. Doses</t>
  </si>
  <si>
    <t>Pre-tax PGM</t>
  </si>
  <si>
    <t>Estimated Incr. Dose</t>
  </si>
  <si>
    <t>Estimated Incr. Dose (as % of NPA Dose)</t>
  </si>
  <si>
    <t>Spend per Dose</t>
  </si>
  <si>
    <t>Anticipated Max Incr. Dose (in %) when HCC spend is increased to infinity</t>
  </si>
  <si>
    <t>Anticipated Max Incr. Dose</t>
  </si>
  <si>
    <t>Merck GARDASIL Online Programs: Incremental doses per Tactic with ROI, Spend and Incremental Revenue</t>
  </si>
  <si>
    <t>HCC Display</t>
  </si>
  <si>
    <t>Display</t>
  </si>
  <si>
    <t>2022 Tax-rate</t>
  </si>
  <si>
    <t>2022 Pre-tax PGM/Rx</t>
  </si>
  <si>
    <t>2022 Pre-tax PGM/NPV</t>
  </si>
  <si>
    <t>2022 Pre-tax Pgm/Rx</t>
  </si>
  <si>
    <t>Total GARDASIL Doses in 2022</t>
  </si>
  <si>
    <t>2023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</si>
</sst>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\ \t\o\ \1"/>
    <numFmt numFmtId="168" formatCode="0.0"/>
    <numFmt numFmtId="169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6" fillId="7" borderId="2" xfId="0" applyFont="1" applyFill="1" applyBorder="1"/>
    <xf numFmtId="0" fontId="7" fillId="0" borderId="0" xfId="0" applyFont="1"/>
    <xf numFmtId="0" fontId="6" fillId="7" borderId="3" xfId="0" applyFont="1" applyFill="1" applyBorder="1"/>
    <xf numFmtId="0" fontId="7" fillId="8" borderId="4" xfId="0" applyFont="1" applyFill="1" applyBorder="1"/>
    <xf numFmtId="0" fontId="6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6" fillId="7" borderId="9" xfId="0" applyFont="1" applyFill="1" applyBorder="1"/>
    <xf numFmtId="0" fontId="7" fillId="8" borderId="2" xfId="0" applyFont="1" applyFill="1" applyBorder="1"/>
    <xf numFmtId="0" fontId="7" fillId="8" borderId="10" xfId="0" applyFont="1" applyFill="1" applyBorder="1"/>
    <xf numFmtId="0" fontId="6" fillId="7" borderId="11" xfId="0" applyFont="1" applyFill="1" applyBorder="1"/>
    <xf numFmtId="9" fontId="7" fillId="0" borderId="0" xfId="0" applyNumberFormat="1" applyFont="1"/>
    <xf numFmtId="0" fontId="6" fillId="7" borderId="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165" fontId="7" fillId="8" borderId="24" xfId="2" applyNumberFormat="1" applyFont="1" applyFill="1" applyBorder="1"/>
    <xf numFmtId="165" fontId="8" fillId="9" borderId="25" xfId="2" applyNumberFormat="1" applyFont="1" applyFill="1" applyBorder="1"/>
    <xf numFmtId="3" fontId="8" fillId="9" borderId="26" xfId="0" applyNumberFormat="1" applyFont="1" applyFill="1" applyBorder="1"/>
    <xf numFmtId="3" fontId="7" fillId="8" borderId="24" xfId="0" applyNumberFormat="1" applyFont="1" applyFill="1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8" borderId="24" xfId="0" applyFont="1" applyFill="1" applyBorder="1"/>
    <xf numFmtId="166" fontId="7" fillId="8" borderId="28" xfId="1" applyNumberFormat="1" applyFont="1" applyFill="1" applyBorder="1"/>
    <xf numFmtId="166" fontId="7" fillId="10" borderId="24" xfId="0" applyNumberFormat="1" applyFont="1" applyFill="1" applyBorder="1" applyAlignment="1">
      <alignment horizontal="center" vertical="center" wrapText="1"/>
    </xf>
    <xf numFmtId="165" fontId="7" fillId="10" borderId="24" xfId="2" applyNumberFormat="1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4" xfId="0" applyNumberFormat="1" applyFont="1" applyFill="1" applyBorder="1" applyAlignment="1">
      <alignment horizontal="center" vertical="center" wrapText="1"/>
    </xf>
    <xf numFmtId="166" fontId="7" fillId="10" borderId="28" xfId="0" applyNumberFormat="1" applyFont="1" applyFill="1" applyBorder="1" applyAlignment="1">
      <alignment horizontal="center" vertical="center" wrapText="1"/>
    </xf>
    <xf numFmtId="164" fontId="7" fillId="8" borderId="24" xfId="2" applyNumberFormat="1" applyFont="1" applyFill="1" applyBorder="1"/>
    <xf numFmtId="164" fontId="7" fillId="8" borderId="24" xfId="0" applyNumberFormat="1" applyFont="1" applyFill="1" applyBorder="1"/>
    <xf numFmtId="0" fontId="7" fillId="10" borderId="28" xfId="0" applyFont="1" applyFill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5" fontId="7" fillId="0" borderId="0" xfId="0" applyNumberFormat="1" applyFont="1"/>
    <xf numFmtId="0" fontId="7" fillId="0" borderId="0" xfId="0" applyNumberFormat="1" applyFont="1"/>
    <xf numFmtId="0" fontId="7" fillId="0" borderId="0" xfId="0" applyFont="1" applyAlignment="1">
      <alignment horizontal="center"/>
    </xf>
    <xf numFmtId="5" fontId="7" fillId="0" borderId="0" xfId="0" applyNumberFormat="1" applyFont="1" applyAlignment="1">
      <alignment horizontal="center"/>
    </xf>
    <xf numFmtId="0" fontId="14" fillId="0" borderId="0" xfId="0" applyFont="1"/>
    <xf numFmtId="0" fontId="15" fillId="2" borderId="0" xfId="4" applyFont="1"/>
    <xf numFmtId="0" fontId="16" fillId="6" borderId="1" xfId="0" applyFont="1" applyFill="1" applyBorder="1" applyAlignment="1">
      <alignment wrapText="1"/>
    </xf>
    <xf numFmtId="0" fontId="14" fillId="0" borderId="0" xfId="0" applyFont="1" applyFill="1"/>
    <xf numFmtId="5" fontId="15" fillId="2" borderId="0" xfId="4" applyNumberFormat="1" applyFont="1"/>
    <xf numFmtId="165" fontId="18" fillId="5" borderId="1" xfId="0" applyNumberFormat="1" applyFont="1" applyFill="1" applyBorder="1" applyAlignment="1">
      <alignment horizontal="center" vertical="center"/>
    </xf>
    <xf numFmtId="166" fontId="18" fillId="5" borderId="1" xfId="0" applyNumberFormat="1" applyFont="1" applyFill="1" applyBorder="1" applyAlignment="1">
      <alignment horizontal="center" vertical="center"/>
    </xf>
    <xf numFmtId="10" fontId="12" fillId="5" borderId="1" xfId="3" applyNumberFormat="1" applyFont="1" applyFill="1" applyBorder="1" applyAlignment="1">
      <alignment horizontal="center" vertical="center"/>
    </xf>
    <xf numFmtId="44" fontId="12" fillId="5" borderId="1" xfId="2" applyFont="1" applyFill="1" applyBorder="1" applyAlignment="1">
      <alignment horizontal="center" vertical="center"/>
    </xf>
    <xf numFmtId="9" fontId="18" fillId="5" borderId="1" xfId="0" applyNumberFormat="1" applyFont="1" applyFill="1" applyBorder="1" applyAlignment="1">
      <alignment horizontal="center" vertical="center"/>
    </xf>
    <xf numFmtId="166" fontId="18" fillId="5" borderId="1" xfId="1" applyNumberFormat="1" applyFont="1" applyFill="1" applyBorder="1" applyAlignment="1">
      <alignment horizontal="center" vertical="center"/>
    </xf>
    <xf numFmtId="0" fontId="15" fillId="0" borderId="0" xfId="4" applyFont="1" applyFill="1"/>
    <xf numFmtId="5" fontId="15" fillId="0" borderId="0" xfId="4" applyNumberFormat="1" applyFont="1" applyFill="1"/>
    <xf numFmtId="0" fontId="19" fillId="0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7" fillId="11" borderId="1" xfId="0" applyNumberFormat="1" applyFont="1" applyFill="1" applyBorder="1"/>
    <xf numFmtId="3" fontId="7" fillId="11" borderId="1" xfId="0" applyNumberFormat="1" applyFont="1" applyFill="1" applyBorder="1"/>
    <xf numFmtId="5" fontId="7" fillId="11" borderId="0" xfId="0" applyNumberFormat="1" applyFont="1" applyFill="1"/>
    <xf numFmtId="0" fontId="7" fillId="11" borderId="0" xfId="0" applyNumberFormat="1" applyFont="1" applyFill="1"/>
    <xf numFmtId="164" fontId="20" fillId="11" borderId="1" xfId="0" applyNumberFormat="1" applyFont="1" applyFill="1" applyBorder="1"/>
    <xf numFmtId="3" fontId="20" fillId="11" borderId="1" xfId="0" applyNumberFormat="1" applyFont="1" applyFill="1" applyBorder="1"/>
    <xf numFmtId="5" fontId="20" fillId="11" borderId="0" xfId="0" applyNumberFormat="1" applyFont="1" applyFill="1"/>
    <xf numFmtId="0" fontId="20" fillId="11" borderId="0" xfId="0" applyNumberFormat="1" applyFont="1" applyFill="1"/>
    <xf numFmtId="165" fontId="0" fillId="0" borderId="0" xfId="2" applyNumberFormat="1" applyFont="1"/>
    <xf numFmtId="0" fontId="11" fillId="0" borderId="0" xfId="0" applyFont="1" applyFill="1" applyBorder="1" applyAlignment="1">
      <alignment horizontal="left"/>
    </xf>
    <xf numFmtId="9" fontId="0" fillId="0" borderId="0" xfId="3" applyFont="1"/>
    <xf numFmtId="0" fontId="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3" fontId="17" fillId="0" borderId="1" xfId="0" applyNumberFormat="1" applyFont="1" applyBorder="1" applyAlignment="1">
      <alignment horizontal="center"/>
    </xf>
    <xf numFmtId="0" fontId="13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wrapText="1"/>
    </xf>
    <xf numFmtId="0" fontId="7" fillId="7" borderId="13" xfId="0" applyFont="1" applyFill="1" applyBorder="1" applyAlignment="1">
      <alignment horizont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Display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Display'!$B$12</c:f>
              <c:numCache>
                <c:formatCode>_("$"* #,##0_);_("$"* \(#,##0\);_("$"* "-"??_);_(@_)</c:formatCode>
                <c:ptCount val="1"/>
                <c:pt idx="0">
                  <c:v>1648357.37</c:v>
                </c:pt>
              </c:numCache>
            </c:numRef>
          </c:xVal>
          <c:yVal>
            <c:numRef>
              <c:f>'HCC Display'!$C$12</c:f>
              <c:numCache>
                <c:formatCode>#,##0</c:formatCode>
                <c:ptCount val="1"/>
                <c:pt idx="0">
                  <c:v>104116.3698638577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F7C-9406-3E73ED6DDCD9}"/>
            </c:ext>
          </c:extLst>
        </c:ser>
        <c:ser>
          <c:idx val="1"/>
          <c:order val="1"/>
          <c:tx>
            <c:strRef>
              <c:f>'HCC Display'!$D$3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Display'!$A$22:$A$52</c:f>
              <c:numCache>
                <c:formatCode>"$"#,##0</c:formatCode>
                <c:ptCount val="31"/>
                <c:pt idx="0">
                  <c:v>0</c:v>
                </c:pt>
                <c:pt idx="1">
                  <c:v>266666.66666666669</c:v>
                </c:pt>
                <c:pt idx="2">
                  <c:v>533333.33333333337</c:v>
                </c:pt>
                <c:pt idx="3">
                  <c:v>800000</c:v>
                </c:pt>
                <c:pt idx="4">
                  <c:v>1066666.6666666667</c:v>
                </c:pt>
                <c:pt idx="5">
                  <c:v>1333333.3333333335</c:v>
                </c:pt>
                <c:pt idx="6">
                  <c:v>1600000.0000000002</c:v>
                </c:pt>
                <c:pt idx="7">
                  <c:v>1866666.666666667</c:v>
                </c:pt>
                <c:pt idx="8">
                  <c:v>2133333.3333333335</c:v>
                </c:pt>
                <c:pt idx="9">
                  <c:v>2400000</c:v>
                </c:pt>
                <c:pt idx="10">
                  <c:v>2666666.6666666665</c:v>
                </c:pt>
                <c:pt idx="11">
                  <c:v>2933333.333333333</c:v>
                </c:pt>
                <c:pt idx="12">
                  <c:v>3199999.9999999995</c:v>
                </c:pt>
                <c:pt idx="13">
                  <c:v>3466666.666666666</c:v>
                </c:pt>
                <c:pt idx="14">
                  <c:v>3733333.3333333326</c:v>
                </c:pt>
                <c:pt idx="15">
                  <c:v>3999999.9999999991</c:v>
                </c:pt>
                <c:pt idx="16">
                  <c:v>4266666.666666666</c:v>
                </c:pt>
                <c:pt idx="17">
                  <c:v>4533333.333333333</c:v>
                </c:pt>
                <c:pt idx="18">
                  <c:v>4800000</c:v>
                </c:pt>
                <c:pt idx="19">
                  <c:v>5066666.666666667</c:v>
                </c:pt>
                <c:pt idx="20">
                  <c:v>5333333.333333334</c:v>
                </c:pt>
                <c:pt idx="21">
                  <c:v>5600000.0000000009</c:v>
                </c:pt>
                <c:pt idx="22">
                  <c:v>5866666.6666666679</c:v>
                </c:pt>
                <c:pt idx="23">
                  <c:v>6133333.3333333349</c:v>
                </c:pt>
                <c:pt idx="24">
                  <c:v>6400000.0000000019</c:v>
                </c:pt>
                <c:pt idx="25">
                  <c:v>6666666.6666666688</c:v>
                </c:pt>
                <c:pt idx="26">
                  <c:v>6933333.3333333358</c:v>
                </c:pt>
                <c:pt idx="27">
                  <c:v>7200000.0000000028</c:v>
                </c:pt>
                <c:pt idx="28">
                  <c:v>7466666.6666666698</c:v>
                </c:pt>
                <c:pt idx="29">
                  <c:v>7733333.3333333367</c:v>
                </c:pt>
                <c:pt idx="30">
                  <c:v>8000000.0000000037</c:v>
                </c:pt>
              </c:numCache>
            </c:numRef>
          </c:xVal>
          <c:yVal>
            <c:numRef>
              <c:f>'HCC Display'!$B$22:$B$52</c:f>
              <c:numCache>
                <c:formatCode>#,##0</c:formatCode>
                <c:ptCount val="31"/>
                <c:pt idx="0">
                  <c:v>0</c:v>
                </c:pt>
                <c:pt idx="1">
                  <c:v>20539.761190446094</c:v>
                </c:pt>
                <c:pt idx="2">
                  <c:v>39500.59245184809</c:v>
                </c:pt>
                <c:pt idx="3">
                  <c:v>56997.486703637987</c:v>
                </c:pt>
                <c:pt idx="4">
                  <c:v>73138.039248792455</c:v>
                </c:pt>
                <c:pt idx="5">
                  <c:v>88022.770401386544</c:v>
                </c:pt>
                <c:pt idx="6">
                  <c:v>101745.4602210708</c:v>
                </c:pt>
                <c:pt idx="7">
                  <c:v>114393.48944468237</c:v>
                </c:pt>
                <c:pt idx="8">
                  <c:v>126048.1817398537</c:v>
                </c:pt>
                <c:pt idx="9">
                  <c:v>136785.1433120314</c:v>
                </c:pt>
                <c:pt idx="10">
                  <c:v>146674.59668393061</c:v>
                </c:pt>
                <c:pt idx="11">
                  <c:v>155781.70614525303</c:v>
                </c:pt>
                <c:pt idx="12">
                  <c:v>164166.89295089245</c:v>
                </c:pt>
                <c:pt idx="13">
                  <c:v>171886.13883803599</c:v>
                </c:pt>
                <c:pt idx="14">
                  <c:v>178991.27684679441</c:v>
                </c:pt>
                <c:pt idx="15">
                  <c:v>185530.26877435111</c:v>
                </c:pt>
                <c:pt idx="16">
                  <c:v>191547.46887798421</c:v>
                </c:pt>
                <c:pt idx="17">
                  <c:v>197083.87367583066</c:v>
                </c:pt>
                <c:pt idx="18">
                  <c:v>202177.35788275115</c:v>
                </c:pt>
                <c:pt idx="19">
                  <c:v>206862.89666907117</c:v>
                </c:pt>
                <c:pt idx="20">
                  <c:v>211172.77454773337</c:v>
                </c:pt>
                <c:pt idx="21">
                  <c:v>215136.78128559701</c:v>
                </c:pt>
                <c:pt idx="22">
                  <c:v>218782.39530199766</c:v>
                </c:pt>
                <c:pt idx="23">
                  <c:v>222134.95506554842</c:v>
                </c:pt>
                <c:pt idx="24">
                  <c:v>225217.81903240271</c:v>
                </c:pt>
                <c:pt idx="25">
                  <c:v>228052.51468836889</c:v>
                </c:pt>
                <c:pt idx="26">
                  <c:v>230658.87726573087</c:v>
                </c:pt>
                <c:pt idx="27">
                  <c:v>233055.17870583385</c:v>
                </c:pt>
                <c:pt idx="28">
                  <c:v>235258.2474318184</c:v>
                </c:pt>
                <c:pt idx="29">
                  <c:v>237283.57948400639</c:v>
                </c:pt>
                <c:pt idx="30">
                  <c:v>239145.44155454822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5-4F7C-9406-3E73ED6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25376"/>
        <c:axId val="490090880"/>
      </c:scatterChart>
      <c:valAx>
        <c:axId val="492725376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0090880"/>
        <c:crosses val="autoZero"/>
        <c:crossBetween val="midCat"/>
        <c:majorUnit val="3000000"/>
        <c:dispUnits>
          <c:builtInUnit val="millions"/>
        </c:dispUnits>
      </c:valAx>
      <c:valAx>
        <c:axId val="49009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2725376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showGridLines="0" tabSelected="1" zoomScaleNormal="100" workbookViewId="0">
      <selection activeCell="D7" sqref="D7"/>
    </sheetView>
  </sheetViews>
  <sheetFormatPr defaultColWidth="11.85546875" defaultRowHeight="15" x14ac:dyDescent="0.25"/>
  <cols>
    <col min="1" max="1" width="3.7109375" customWidth="1"/>
    <col min="2" max="2" width="13.5703125" customWidth="1"/>
    <col min="3" max="3" width="12.42578125" customWidth="1"/>
    <col min="4" max="4" width="12.7109375" bestFit="1" customWidth="1"/>
    <col min="6" max="6" width="15.5703125" customWidth="1"/>
    <col min="7" max="7" width="12" customWidth="1"/>
    <col min="8" max="8" width="14.5703125" customWidth="1"/>
    <col min="9" max="9" width="26.28515625" customWidth="1"/>
    <col min="10" max="10" width="13.5703125" bestFit="1" customWidth="1"/>
  </cols>
  <sheetData>
    <row r="1" spans="2:11" ht="27.75" customHeight="1" x14ac:dyDescent="0.25"/>
    <row r="2" spans="2:11" x14ac:dyDescent="0.25">
      <c r="B2" s="69"/>
    </row>
    <row r="3" spans="2:11" ht="37.5" customHeight="1" x14ac:dyDescent="0.3">
      <c r="B3" s="75" t="s">
        <v>0</v>
      </c>
      <c r="C3" s="75" t="s">
        <v>53</v>
      </c>
      <c r="D3" s="75" t="s">
        <v>54</v>
      </c>
      <c r="E3" s="75" t="s">
        <v>55</v>
      </c>
      <c r="F3" s="75" t="s">
        <v>73</v>
      </c>
      <c r="G3" s="75" t="s">
        <v>61</v>
      </c>
      <c r="H3" s="75" t="s">
        <v>60</v>
      </c>
      <c r="I3" s="75" t="s">
        <v>52</v>
      </c>
    </row>
    <row r="4" spans="2:11" ht="46.15" customHeight="1" x14ac:dyDescent="0.3">
      <c r="B4" s="71" t="s">
        <v>59</v>
      </c>
      <c r="C4" s="71" t="s">
        <v>68</v>
      </c>
      <c r="D4" s="81">
        <v>1648357.37</v>
      </c>
      <c r="E4" s="73">
        <v>14.271209044334851</v>
      </c>
      <c r="F4" s="72">
        <v>225.94</v>
      </c>
      <c r="G4" s="72">
        <f>D4*E4</f>
        <v>23524052.60704001</v>
      </c>
      <c r="H4" s="74">
        <f>G4/F4</f>
        <v>104116.3698638577</v>
      </c>
      <c r="I4" s="76"/>
    </row>
    <row r="10" spans="2:11" x14ac:dyDescent="0.25">
      <c r="D10" s="70"/>
      <c r="F10" s="80"/>
      <c r="G10" s="80"/>
      <c r="H10" s="80"/>
      <c r="I10" s="80"/>
      <c r="J10" s="80"/>
      <c r="K10" s="80"/>
    </row>
    <row r="11" spans="2:11" x14ac:dyDescent="0.25">
      <c r="F11" s="68"/>
      <c r="G11" s="78"/>
      <c r="I11" s="79"/>
      <c r="J11" s="68"/>
      <c r="K11" s="77"/>
    </row>
    <row r="12" spans="2:11" x14ac:dyDescent="0.25">
      <c r="F12" s="68"/>
      <c r="G12" s="78"/>
      <c r="I12" s="79"/>
    </row>
    <row r="13" spans="2:11" x14ac:dyDescent="0.25">
      <c r="F13" s="68"/>
      <c r="G13" s="78"/>
      <c r="I13" s="79"/>
      <c r="J13" s="6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L6" sqref="L6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</row>
    <row r="3" spans="1:13" x14ac:dyDescent="0.3">
      <c r="B3" s="43" t="s">
        <v>56</v>
      </c>
      <c r="C3" s="43"/>
      <c r="D3" s="43"/>
      <c r="H3" s="84" t="s">
        <v>75</v>
      </c>
      <c r="I3" s="85"/>
      <c r="J3" s="85"/>
      <c r="K3" s="85"/>
      <c r="L3" s="85" t="s">
        <v>1</v>
      </c>
      <c r="M3" s="85"/>
    </row>
    <row r="4" spans="1:13" ht="82.5" x14ac:dyDescent="0.3">
      <c r="B4" s="43"/>
      <c r="C4" s="43" t="s">
        <v>70</v>
      </c>
      <c r="D4" s="43"/>
      <c r="F4" s="44" t="s">
        <v>74</v>
      </c>
      <c r="H4" s="56" t="s">
        <v>2</v>
      </c>
      <c r="I4" s="57" t="s">
        <v>62</v>
      </c>
      <c r="J4" s="58" t="s">
        <v>63</v>
      </c>
      <c r="K4" s="59" t="s">
        <v>64</v>
      </c>
      <c r="L4" s="58" t="s">
        <v>65</v>
      </c>
      <c r="M4" s="58" t="s">
        <v>66</v>
      </c>
    </row>
    <row r="5" spans="1:13" s="45" customFormat="1" ht="25.5" customHeight="1" x14ac:dyDescent="0.3">
      <c r="B5" s="43"/>
      <c r="C5" s="43" t="s">
        <v>71</v>
      </c>
      <c r="D5" s="46">
        <v>225.94</v>
      </c>
      <c r="F5" s="82">
        <v>8649234</v>
      </c>
      <c r="G5" s="42"/>
      <c r="H5" s="47">
        <f>Display!D4</f>
        <v>1648357.37</v>
      </c>
      <c r="I5" s="48">
        <f>Display!H4</f>
        <v>104116.3698638577</v>
      </c>
      <c r="J5" s="49">
        <f>I5/F5</f>
        <v>1.203764054294955E-2</v>
      </c>
      <c r="K5" s="50">
        <f>H5/I5</f>
        <v>15.831875161949922</v>
      </c>
      <c r="L5" s="51">
        <f>J5*2.5</f>
        <v>3.0094101357373875E-2</v>
      </c>
      <c r="M5" s="52">
        <f>L5*F5</f>
        <v>260290.92465964428</v>
      </c>
    </row>
    <row r="6" spans="1:13" s="45" customFormat="1" ht="26.25" customHeight="1" x14ac:dyDescent="0.3">
      <c r="B6" s="53"/>
      <c r="C6" s="43" t="s">
        <v>72</v>
      </c>
      <c r="D6" s="46"/>
      <c r="H6" s="55" t="s">
        <v>3</v>
      </c>
    </row>
    <row r="7" spans="1:13" s="45" customFormat="1" x14ac:dyDescent="0.3">
      <c r="B7" s="53"/>
      <c r="C7" s="53"/>
      <c r="D7" s="54"/>
    </row>
    <row r="8" spans="1:13" s="45" customFormat="1" x14ac:dyDescent="0.3">
      <c r="B8" s="53"/>
      <c r="C8" s="53"/>
      <c r="D8" s="54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52"/>
  <sheetViews>
    <sheetView showGridLines="0" workbookViewId="0">
      <selection activeCell="I28" sqref="I28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4.5703125" style="2" bestFit="1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2.4257812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2.42578125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69</v>
      </c>
      <c r="C3" s="1" t="s">
        <v>10</v>
      </c>
      <c r="D3" s="12" t="s">
        <v>57</v>
      </c>
      <c r="E3" s="1" t="s">
        <v>11</v>
      </c>
      <c r="F3" s="12" t="s">
        <v>58</v>
      </c>
    </row>
    <row r="4" spans="1:15" ht="15" customHeight="1" thickBot="1" x14ac:dyDescent="0.25">
      <c r="A4" s="13" t="s">
        <v>12</v>
      </c>
      <c r="B4" s="97" t="s">
        <v>13</v>
      </c>
      <c r="C4" s="97"/>
      <c r="D4" s="97"/>
      <c r="E4" s="97"/>
      <c r="F4" s="98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95" t="s">
        <v>16</v>
      </c>
      <c r="B7" s="100" t="s">
        <v>17</v>
      </c>
      <c r="C7" s="101"/>
      <c r="D7" s="102" t="s">
        <v>18</v>
      </c>
      <c r="E7" s="103"/>
      <c r="F7" s="104" t="s">
        <v>19</v>
      </c>
      <c r="G7" s="105"/>
    </row>
    <row r="8" spans="1:15" ht="25.5" x14ac:dyDescent="0.2">
      <c r="A8" s="99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96"/>
      <c r="B9" s="20">
        <f>B6*B12</f>
        <v>824178.68500000006</v>
      </c>
      <c r="C9" s="20">
        <f>C6*B12</f>
        <v>2472536.0550000002</v>
      </c>
      <c r="D9" s="21">
        <f>F9</f>
        <v>1648357.37</v>
      </c>
      <c r="E9" s="22">
        <f>(($O$12/(1+EXP($M$12+$N$12*D9)))-1) - ($F$12-$C$12)</f>
        <v>104116.36986385845</v>
      </c>
      <c r="F9" s="20">
        <f>B12</f>
        <v>1648357.37</v>
      </c>
      <c r="G9" s="23">
        <f>C12</f>
        <v>104116.3698638577</v>
      </c>
    </row>
    <row r="10" spans="1:15" ht="13.5" thickBot="1" x14ac:dyDescent="0.25"/>
    <row r="11" spans="1:15" ht="51.6" customHeight="1" x14ac:dyDescent="0.2">
      <c r="A11" s="95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86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96"/>
      <c r="B12" s="20">
        <f>Data!H5</f>
        <v>1648357.37</v>
      </c>
      <c r="C12" s="23">
        <f>Data!I5</f>
        <v>104116.3698638577</v>
      </c>
      <c r="D12" s="26">
        <v>0</v>
      </c>
      <c r="E12" s="23">
        <f>Data!M5</f>
        <v>260290.92465964428</v>
      </c>
      <c r="F12" s="27">
        <f>Data!F5</f>
        <v>8649234</v>
      </c>
      <c r="H12" s="87"/>
      <c r="I12" s="28">
        <f>F12-C12</f>
        <v>8545117.6301361416</v>
      </c>
      <c r="J12" s="28">
        <f>I12+E12</f>
        <v>8805408.5547957867</v>
      </c>
      <c r="K12" s="29">
        <f>B12</f>
        <v>1648357.37</v>
      </c>
      <c r="L12" s="28">
        <f>F12</f>
        <v>8649234</v>
      </c>
      <c r="M12" s="30">
        <f>LN((($J$12+1)/($I$12+1))-1)</f>
        <v>-3.4913155319754781</v>
      </c>
      <c r="N12" s="31">
        <f>(LN((($J$12+1)/($L$12+1))-1)-$M$12)/$K$12</f>
        <v>-3.1724692202688177E-7</v>
      </c>
      <c r="O12" s="32">
        <f>J12+1</f>
        <v>8805409.5547957867</v>
      </c>
    </row>
    <row r="13" spans="1:15" ht="34.15" customHeight="1" x14ac:dyDescent="0.2">
      <c r="A13" s="88" t="s">
        <v>40</v>
      </c>
      <c r="B13" s="89"/>
      <c r="C13" s="89"/>
      <c r="D13" s="89"/>
      <c r="E13" s="89"/>
      <c r="F13" s="90"/>
      <c r="H13" s="88" t="s">
        <v>41</v>
      </c>
      <c r="I13" s="89"/>
      <c r="J13" s="89"/>
      <c r="K13" s="89"/>
      <c r="L13" s="89"/>
      <c r="M13" s="89"/>
      <c r="N13" s="89"/>
      <c r="O13" s="90"/>
    </row>
    <row r="14" spans="1:15" ht="33.6" customHeight="1" x14ac:dyDescent="0.2">
      <c r="A14" s="91"/>
      <c r="B14" s="92"/>
      <c r="C14" s="92"/>
      <c r="D14" s="92"/>
      <c r="E14" s="92"/>
      <c r="F14" s="93"/>
      <c r="H14" s="91"/>
      <c r="I14" s="92"/>
      <c r="J14" s="92"/>
      <c r="K14" s="92"/>
      <c r="L14" s="92"/>
      <c r="M14" s="92"/>
      <c r="N14" s="92"/>
      <c r="O14" s="93"/>
    </row>
    <row r="16" spans="1:15" ht="13.5" thickBot="1" x14ac:dyDescent="0.25"/>
    <row r="17" spans="1:5" ht="16.899999999999999" customHeight="1" x14ac:dyDescent="0.2">
      <c r="A17" s="86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87"/>
      <c r="B18" s="33">
        <v>0</v>
      </c>
      <c r="C18" s="34">
        <v>8000000</v>
      </c>
      <c r="D18" s="35">
        <v>30</v>
      </c>
    </row>
    <row r="20" spans="1:5" x14ac:dyDescent="0.2">
      <c r="A20" s="94" t="s">
        <v>46</v>
      </c>
      <c r="B20" s="94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 t="s">
        <v>51</v>
      </c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266666.66666666669</v>
      </c>
      <c r="B23" s="36">
        <f t="shared" ref="B23:B42" si="0">(($O$12/(1+EXP($M$12+$N$12*A23)))-1) - ($F$12-$C$12)</f>
        <v>20539.761190446094</v>
      </c>
      <c r="C23" s="38">
        <f>B23*Data!$D$5</f>
        <v>4640753.6433693906</v>
      </c>
      <c r="D23" s="39">
        <f>C23/A23</f>
        <v>17.402826162635215</v>
      </c>
      <c r="E23" s="38">
        <f>C23*(1-Data!$D$4)</f>
        <v>4640753.6433693906</v>
      </c>
    </row>
    <row r="24" spans="1:5" x14ac:dyDescent="0.2">
      <c r="A24" s="37">
        <f t="shared" ref="A24:A52" si="1">A23+(($C$18-$B$18)/$D$18)</f>
        <v>533333.33333333337</v>
      </c>
      <c r="B24" s="36">
        <f t="shared" si="0"/>
        <v>39500.59245184809</v>
      </c>
      <c r="C24" s="38">
        <f>B24*Data!$D$5</f>
        <v>8924763.8585705571</v>
      </c>
      <c r="D24" s="39">
        <f t="shared" ref="D24:D42" si="2">C24/A24</f>
        <v>16.733932234819793</v>
      </c>
      <c r="E24" s="38">
        <f>C24*(1-Data!$D$4)</f>
        <v>8924763.8585705571</v>
      </c>
    </row>
    <row r="25" spans="1:5" x14ac:dyDescent="0.2">
      <c r="A25" s="37">
        <f t="shared" si="1"/>
        <v>800000</v>
      </c>
      <c r="B25" s="36">
        <f t="shared" si="0"/>
        <v>56997.486703637987</v>
      </c>
      <c r="C25" s="38">
        <f>B25*Data!$D$5</f>
        <v>12878012.145819968</v>
      </c>
      <c r="D25" s="39">
        <f t="shared" si="2"/>
        <v>16.097515182274961</v>
      </c>
      <c r="E25" s="38">
        <f>C25*(1-Data!$D$4)</f>
        <v>12878012.145819968</v>
      </c>
    </row>
    <row r="26" spans="1:5" x14ac:dyDescent="0.2">
      <c r="A26" s="37">
        <f t="shared" si="1"/>
        <v>1066666.6666666667</v>
      </c>
      <c r="B26" s="36">
        <f t="shared" si="0"/>
        <v>73138.039248792455</v>
      </c>
      <c r="C26" s="38">
        <f>B26*Data!$D$5</f>
        <v>16524808.587872166</v>
      </c>
      <c r="D26" s="39">
        <f t="shared" si="2"/>
        <v>15.492008051130155</v>
      </c>
      <c r="E26" s="38">
        <f>C26*(1-Data!$D$4)</f>
        <v>16524808.587872166</v>
      </c>
    </row>
    <row r="27" spans="1:5" x14ac:dyDescent="0.2">
      <c r="A27" s="37">
        <f t="shared" si="1"/>
        <v>1333333.3333333335</v>
      </c>
      <c r="B27" s="36">
        <f t="shared" si="0"/>
        <v>88022.770401386544</v>
      </c>
      <c r="C27" s="38">
        <f>B27*Data!$D$5</f>
        <v>19887864.744489275</v>
      </c>
      <c r="D27" s="39">
        <f t="shared" si="2"/>
        <v>14.915898558366955</v>
      </c>
      <c r="E27" s="38">
        <f>C27*(1-Data!$D$4)</f>
        <v>19887864.744489275</v>
      </c>
    </row>
    <row r="28" spans="1:5" x14ac:dyDescent="0.2">
      <c r="A28" s="60">
        <f t="shared" si="1"/>
        <v>1600000.0000000002</v>
      </c>
      <c r="B28" s="61">
        <f t="shared" si="0"/>
        <v>101745.4602210708</v>
      </c>
      <c r="C28" s="62">
        <f>B28*Data!$D$5</f>
        <v>22988369.282348737</v>
      </c>
      <c r="D28" s="63">
        <f t="shared" si="2"/>
        <v>14.367730801467959</v>
      </c>
      <c r="E28" s="62">
        <f>C28*(1-Data!$D$4)</f>
        <v>22988369.282348737</v>
      </c>
    </row>
    <row r="29" spans="1:5" x14ac:dyDescent="0.2">
      <c r="A29" s="37">
        <f t="shared" si="1"/>
        <v>1866666.666666667</v>
      </c>
      <c r="B29" s="36">
        <f t="shared" si="0"/>
        <v>114393.48944468237</v>
      </c>
      <c r="C29" s="38">
        <f>B29*Data!$D$5</f>
        <v>25846065.005131535</v>
      </c>
      <c r="D29" s="39">
        <f t="shared" si="2"/>
        <v>13.846106252749035</v>
      </c>
      <c r="E29" s="38">
        <f>C29*(1-Data!$D$4)</f>
        <v>25846065.005131535</v>
      </c>
    </row>
    <row r="30" spans="1:5" x14ac:dyDescent="0.2">
      <c r="A30" s="60">
        <f t="shared" si="1"/>
        <v>2133333.3333333335</v>
      </c>
      <c r="B30" s="61">
        <f t="shared" si="0"/>
        <v>126048.1817398537</v>
      </c>
      <c r="C30" s="62">
        <f>B30*Data!$D$5</f>
        <v>28479326.182302542</v>
      </c>
      <c r="D30" s="63">
        <f t="shared" si="2"/>
        <v>13.349684147954315</v>
      </c>
      <c r="E30" s="62">
        <f>C30*(1-Data!$D$4)</f>
        <v>28479326.182302542</v>
      </c>
    </row>
    <row r="31" spans="1:5" x14ac:dyDescent="0.2">
      <c r="A31" s="37">
        <f t="shared" si="1"/>
        <v>2400000</v>
      </c>
      <c r="B31" s="36">
        <f t="shared" si="0"/>
        <v>136785.1433120314</v>
      </c>
      <c r="C31" s="38">
        <f>B31*Data!$D$5</f>
        <v>30905235.279920373</v>
      </c>
      <c r="D31" s="39">
        <f t="shared" si="2"/>
        <v>12.877181366633488</v>
      </c>
      <c r="E31" s="38">
        <f>C31*(1-Data!$D$4)</f>
        <v>30905235.279920373</v>
      </c>
    </row>
    <row r="32" spans="1:5" x14ac:dyDescent="0.2">
      <c r="A32" s="37">
        <f t="shared" si="1"/>
        <v>2666666.6666666665</v>
      </c>
      <c r="B32" s="36">
        <f t="shared" si="0"/>
        <v>146674.59668393061</v>
      </c>
      <c r="C32" s="38">
        <f>B32*Data!$D$5</f>
        <v>33139658.374767281</v>
      </c>
      <c r="D32" s="39">
        <f t="shared" si="2"/>
        <v>12.427371890537732</v>
      </c>
      <c r="E32" s="38">
        <f>C32*(1-Data!$D$4)</f>
        <v>33139658.374767281</v>
      </c>
    </row>
    <row r="33" spans="1:5" x14ac:dyDescent="0.2">
      <c r="A33" s="60">
        <f t="shared" si="1"/>
        <v>2933333.333333333</v>
      </c>
      <c r="B33" s="61">
        <f t="shared" si="0"/>
        <v>155781.70614525303</v>
      </c>
      <c r="C33" s="62">
        <f>B33*Data!$D$5</f>
        <v>35197318.686458468</v>
      </c>
      <c r="D33" s="63">
        <f t="shared" si="2"/>
        <v>11.999085915838116</v>
      </c>
      <c r="E33" s="62">
        <f>C33*(1-Data!$D$4)</f>
        <v>35197318.686458468</v>
      </c>
    </row>
    <row r="34" spans="1:5" x14ac:dyDescent="0.2">
      <c r="A34" s="37">
        <f>A33+(($C$18-$B$18)/$D$18)</f>
        <v>3199999.9999999995</v>
      </c>
      <c r="B34" s="36">
        <f t="shared" si="0"/>
        <v>164166.89295089245</v>
      </c>
      <c r="C34" s="38">
        <f>B34*Data!$D$5</f>
        <v>37091867.793324642</v>
      </c>
      <c r="D34" s="39">
        <f t="shared" si="2"/>
        <v>11.591208685413953</v>
      </c>
      <c r="E34" s="38">
        <f>C34*(1-Data!$D$4)</f>
        <v>37091867.793324642</v>
      </c>
    </row>
    <row r="35" spans="1:5" x14ac:dyDescent="0.2">
      <c r="A35" s="37">
        <f t="shared" si="1"/>
        <v>3466666.666666666</v>
      </c>
      <c r="B35" s="36">
        <f t="shared" si="0"/>
        <v>171886.13883803599</v>
      </c>
      <c r="C35" s="38">
        <f>B35*Data!$D$5</f>
        <v>38835954.209065847</v>
      </c>
      <c r="D35" s="39">
        <f t="shared" si="2"/>
        <v>11.202679098768996</v>
      </c>
      <c r="E35" s="38">
        <f>C35*(1-Data!$D$4)</f>
        <v>38835954.209065847</v>
      </c>
    </row>
    <row r="36" spans="1:5" x14ac:dyDescent="0.2">
      <c r="A36" s="64">
        <f t="shared" si="1"/>
        <v>3733333.3333333326</v>
      </c>
      <c r="B36" s="65">
        <f t="shared" si="0"/>
        <v>178991.27684679441</v>
      </c>
      <c r="C36" s="66">
        <f>B36*Data!$D$5</f>
        <v>40441289.090764731</v>
      </c>
      <c r="D36" s="67">
        <f t="shared" si="2"/>
        <v>10.832488149311985</v>
      </c>
      <c r="E36" s="66">
        <f>C36*(1-Data!$D$4)</f>
        <v>40441289.090764731</v>
      </c>
    </row>
    <row r="37" spans="1:5" x14ac:dyDescent="0.2">
      <c r="A37" s="37">
        <f t="shared" si="1"/>
        <v>3999999.9999999991</v>
      </c>
      <c r="B37" s="36">
        <f t="shared" si="0"/>
        <v>185530.26877435111</v>
      </c>
      <c r="C37" s="38">
        <f>B37*Data!$D$5</f>
        <v>41918708.926876888</v>
      </c>
      <c r="D37" s="39">
        <f t="shared" si="2"/>
        <v>10.479677231719224</v>
      </c>
      <c r="E37" s="38">
        <f>C37*(1-Data!$D$4)</f>
        <v>41918708.926876888</v>
      </c>
    </row>
    <row r="38" spans="1:5" x14ac:dyDescent="0.2">
      <c r="A38" s="37">
        <f t="shared" si="1"/>
        <v>4266666.666666666</v>
      </c>
      <c r="B38" s="36">
        <f t="shared" si="0"/>
        <v>191547.46887798421</v>
      </c>
      <c r="C38" s="38">
        <f>B38*Data!$D$5</f>
        <v>43278235.118291751</v>
      </c>
      <c r="D38" s="39">
        <f t="shared" si="2"/>
        <v>10.14333635584963</v>
      </c>
      <c r="E38" s="38">
        <f>C38*(1-Data!$D$4)</f>
        <v>43278235.118291751</v>
      </c>
    </row>
    <row r="39" spans="1:5" x14ac:dyDescent="0.2">
      <c r="A39" s="37">
        <f t="shared" si="1"/>
        <v>4533333.333333333</v>
      </c>
      <c r="B39" s="36">
        <f t="shared" si="0"/>
        <v>197083.87367583066</v>
      </c>
      <c r="C39" s="38">
        <f>B39*Data!$D$5</f>
        <v>44529130.418317176</v>
      </c>
      <c r="D39" s="39">
        <f t="shared" si="2"/>
        <v>9.822602298158202</v>
      </c>
      <c r="E39" s="38">
        <f>C39*(1-Data!$D$4)</f>
        <v>44529130.418317176</v>
      </c>
    </row>
    <row r="40" spans="1:5" x14ac:dyDescent="0.2">
      <c r="A40" s="37">
        <f t="shared" si="1"/>
        <v>4800000</v>
      </c>
      <c r="B40" s="36">
        <f t="shared" si="0"/>
        <v>202177.35788275115</v>
      </c>
      <c r="C40" s="38">
        <f>B40*Data!$D$5</f>
        <v>45679952.240028791</v>
      </c>
      <c r="D40" s="39">
        <f t="shared" si="2"/>
        <v>9.5166567166726654</v>
      </c>
      <c r="E40" s="38">
        <f>C40*(1-Data!$D$4)</f>
        <v>45679952.240028791</v>
      </c>
    </row>
    <row r="41" spans="1:5" x14ac:dyDescent="0.2">
      <c r="A41" s="37">
        <f>A40+(($C$18-$B$18)/$D$18)</f>
        <v>5066666.666666667</v>
      </c>
      <c r="B41" s="36">
        <f t="shared" si="0"/>
        <v>206862.89666907117</v>
      </c>
      <c r="C41" s="38">
        <f>B41*Data!$D$5</f>
        <v>46738602.873409942</v>
      </c>
      <c r="D41" s="39">
        <f t="shared" si="2"/>
        <v>9.2247242513309082</v>
      </c>
      <c r="E41" s="38">
        <f>C41*(1-Data!$D$4)</f>
        <v>46738602.873409942</v>
      </c>
    </row>
    <row r="42" spans="1:5" x14ac:dyDescent="0.2">
      <c r="A42" s="37">
        <f t="shared" si="1"/>
        <v>5333333.333333334</v>
      </c>
      <c r="B42" s="36">
        <f t="shared" si="0"/>
        <v>211172.77454773337</v>
      </c>
      <c r="C42" s="38">
        <f>B42*Data!$D$5</f>
        <v>47712376.681314878</v>
      </c>
      <c r="D42" s="39">
        <f t="shared" si="2"/>
        <v>8.9460706277465381</v>
      </c>
      <c r="E42" s="38">
        <f>C42*(1-Data!$D$4)</f>
        <v>47712376.681314878</v>
      </c>
    </row>
    <row r="43" spans="1:5" x14ac:dyDescent="0.2">
      <c r="A43" s="37">
        <f t="shared" si="1"/>
        <v>5600000.0000000009</v>
      </c>
      <c r="B43" s="36">
        <f t="shared" ref="B43:B52" si="3">(($O$12/(1+EXP($M$12+$N$12*A43)))-1) - ($F$12-$C$12)</f>
        <v>215136.78128559701</v>
      </c>
      <c r="C43" s="38">
        <f>B43*Data!$D$5</f>
        <v>48608004.363667786</v>
      </c>
      <c r="D43" s="39">
        <f t="shared" ref="D43:D52" si="4">C43/A43</f>
        <v>8.6800007792263898</v>
      </c>
      <c r="E43" s="38">
        <f>C43*(1-Data!$D$4)</f>
        <v>48608004.363667786</v>
      </c>
    </row>
    <row r="44" spans="1:5" x14ac:dyDescent="0.2">
      <c r="A44" s="37">
        <f t="shared" si="1"/>
        <v>5866666.6666666679</v>
      </c>
      <c r="B44" s="36">
        <f t="shared" si="3"/>
        <v>218782.39530199766</v>
      </c>
      <c r="C44" s="38">
        <f>B44*Data!$D$5</f>
        <v>49431694.394533351</v>
      </c>
      <c r="D44" s="39">
        <f t="shared" si="4"/>
        <v>8.4258569990681824</v>
      </c>
      <c r="E44" s="38">
        <f>C44*(1-Data!$D$4)</f>
        <v>49431694.394533351</v>
      </c>
    </row>
    <row r="45" spans="1:5" x14ac:dyDescent="0.2">
      <c r="A45" s="37">
        <f t="shared" si="1"/>
        <v>6133333.3333333349</v>
      </c>
      <c r="B45" s="36">
        <f t="shared" si="3"/>
        <v>222134.95506554842</v>
      </c>
      <c r="C45" s="38">
        <f>B45*Data!$D$5</f>
        <v>50189171.747510009</v>
      </c>
      <c r="D45" s="39">
        <f t="shared" si="4"/>
        <v>8.1830171327461958</v>
      </c>
      <c r="E45" s="38">
        <f>C45*(1-Data!$D$4)</f>
        <v>50189171.747510009</v>
      </c>
    </row>
    <row r="46" spans="1:5" x14ac:dyDescent="0.2">
      <c r="A46" s="37">
        <f t="shared" si="1"/>
        <v>6400000.0000000019</v>
      </c>
      <c r="B46" s="36">
        <f t="shared" si="3"/>
        <v>225217.81903240271</v>
      </c>
      <c r="C46" s="38">
        <f>B46*Data!$D$5</f>
        <v>50885714.032181069</v>
      </c>
      <c r="D46" s="39">
        <f t="shared" si="4"/>
        <v>7.95089281752829</v>
      </c>
      <c r="E46" s="38">
        <f>C46*(1-Data!$D$4)</f>
        <v>50885714.032181069</v>
      </c>
    </row>
    <row r="47" spans="1:5" x14ac:dyDescent="0.2">
      <c r="A47" s="37">
        <f t="shared" si="1"/>
        <v>6666666.6666666688</v>
      </c>
      <c r="B47" s="36">
        <f t="shared" si="3"/>
        <v>228052.51468836889</v>
      </c>
      <c r="C47" s="38">
        <f>B47*Data!$D$5</f>
        <v>51526185.168690063</v>
      </c>
      <c r="D47" s="39">
        <f t="shared" si="4"/>
        <v>7.7289277753035073</v>
      </c>
      <c r="E47" s="38">
        <f>C47*(1-Data!$D$4)</f>
        <v>51526185.168690063</v>
      </c>
    </row>
    <row r="48" spans="1:5" x14ac:dyDescent="0.2">
      <c r="A48" s="37">
        <f t="shared" si="1"/>
        <v>6933333.3333333358</v>
      </c>
      <c r="B48" s="36">
        <f t="shared" si="3"/>
        <v>230658.87726573087</v>
      </c>
      <c r="C48" s="38">
        <f>B48*Data!$D$5</f>
        <v>52115066.729419231</v>
      </c>
      <c r="D48" s="39">
        <f t="shared" si="4"/>
        <v>7.5165961628970015</v>
      </c>
      <c r="E48" s="38">
        <f>C48*(1-Data!$D$4)</f>
        <v>52115066.729419231</v>
      </c>
    </row>
    <row r="49" spans="1:5" x14ac:dyDescent="0.2">
      <c r="A49" s="37">
        <f t="shared" si="1"/>
        <v>7200000.0000000028</v>
      </c>
      <c r="B49" s="36">
        <f t="shared" si="3"/>
        <v>233055.17870583385</v>
      </c>
      <c r="C49" s="38">
        <f>B49*Data!$D$5</f>
        <v>52656487.0767961</v>
      </c>
      <c r="D49" s="39">
        <f t="shared" si="4"/>
        <v>7.3134009828883446</v>
      </c>
      <c r="E49" s="38">
        <f>C49*(1-Data!$D$4)</f>
        <v>52656487.0767961</v>
      </c>
    </row>
    <row r="50" spans="1:5" x14ac:dyDescent="0.2">
      <c r="A50" s="37">
        <f>A49+(($C$18-$B$18)/$D$18)</f>
        <v>7466666.6666666698</v>
      </c>
      <c r="B50" s="36">
        <f t="shared" si="3"/>
        <v>235258.2474318184</v>
      </c>
      <c r="C50" s="38">
        <f>B50*Data!$D$5</f>
        <v>53154248.424745046</v>
      </c>
      <c r="D50" s="39">
        <f t="shared" si="4"/>
        <v>7.1188725568854938</v>
      </c>
      <c r="E50" s="38">
        <f>C50*(1-Data!$D$4)</f>
        <v>53154248.424745046</v>
      </c>
    </row>
    <row r="51" spans="1:5" x14ac:dyDescent="0.2">
      <c r="A51" s="37">
        <f t="shared" si="1"/>
        <v>7733333.3333333367</v>
      </c>
      <c r="B51" s="36">
        <f t="shared" si="3"/>
        <v>237283.57948400639</v>
      </c>
      <c r="C51" s="38">
        <f>B51*Data!$D$5</f>
        <v>53611851.9486164</v>
      </c>
      <c r="D51" s="39">
        <f t="shared" si="4"/>
        <v>6.9325670623210831</v>
      </c>
      <c r="E51" s="38">
        <f>C51*(1-Data!$D$4)</f>
        <v>53611851.9486164</v>
      </c>
    </row>
    <row r="52" spans="1:5" x14ac:dyDescent="0.2">
      <c r="A52" s="37">
        <f t="shared" si="1"/>
        <v>8000000.0000000037</v>
      </c>
      <c r="B52" s="36">
        <f t="shared" si="3"/>
        <v>239145.44155454822</v>
      </c>
      <c r="C52" s="38">
        <f>B52*Data!$D$5</f>
        <v>54032521.064834625</v>
      </c>
      <c r="D52" s="39">
        <f t="shared" si="4"/>
        <v>6.7540651331043247</v>
      </c>
      <c r="E52" s="38">
        <f>C52*(1-Data!$D$4)</f>
        <v>54032521.064834625</v>
      </c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68032058-FD48-42CB-A630-7E82B1323A4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Display</vt:lpstr>
      <vt:lpstr>Data</vt:lpstr>
      <vt:lpstr>HCC 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2023-07-24T12:17:53Z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cd227225-4586-4bda-b25e-f654c0432825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