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22E9C918-3969-47DC-8603-488EC08477A7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Online Video" sheetId="5" r:id="rId1"/>
    <sheet name="Data" sheetId="6" r:id="rId2"/>
    <sheet name="HCC Online Video Curve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6" l="1"/>
  <c r="H4" i="5"/>
  <c r="G4" i="5"/>
  <c r="H5" i="6" l="1"/>
  <c r="I5" i="6" l="1"/>
  <c r="F12" i="7" l="1"/>
  <c r="L12" i="7" s="1"/>
  <c r="A22" i="7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M5" i="6"/>
  <c r="E12" i="7" s="1"/>
  <c r="J5" i="6" l="1"/>
  <c r="C12" i="7"/>
  <c r="I12" i="7" s="1"/>
  <c r="J12" i="7" s="1"/>
  <c r="M12" i="7" s="1"/>
  <c r="K5" i="6"/>
  <c r="B12" i="7"/>
  <c r="C9" i="7" s="1"/>
  <c r="O12" i="7" l="1"/>
  <c r="G9" i="7"/>
  <c r="K12" i="7"/>
  <c r="N12" i="7" s="1"/>
  <c r="B9" i="7"/>
  <c r="F9" i="7"/>
  <c r="D9" i="7" s="1"/>
  <c r="B46" i="7" l="1"/>
  <c r="B37" i="7"/>
  <c r="B48" i="7"/>
  <c r="B41" i="7"/>
  <c r="B47" i="7"/>
  <c r="B50" i="7"/>
  <c r="B25" i="7"/>
  <c r="B42" i="7"/>
  <c r="B31" i="7"/>
  <c r="B33" i="7"/>
  <c r="B24" i="7"/>
  <c r="B45" i="7"/>
  <c r="B49" i="7"/>
  <c r="B27" i="7"/>
  <c r="B32" i="7"/>
  <c r="B51" i="7"/>
  <c r="B29" i="7"/>
  <c r="B23" i="7"/>
  <c r="B26" i="7"/>
  <c r="B39" i="7"/>
  <c r="B43" i="7"/>
  <c r="B28" i="7"/>
  <c r="B22" i="7"/>
  <c r="C22" i="7" s="1"/>
  <c r="E9" i="7"/>
  <c r="B36" i="7"/>
  <c r="B38" i="7"/>
  <c r="B40" i="7"/>
  <c r="B35" i="7"/>
  <c r="B44" i="7"/>
  <c r="B34" i="7"/>
  <c r="B52" i="7"/>
  <c r="B30" i="7"/>
  <c r="C35" i="7" l="1"/>
  <c r="D35" i="7" s="1"/>
  <c r="C39" i="7"/>
  <c r="E39" i="7" s="1"/>
  <c r="C45" i="7"/>
  <c r="E45" i="7" s="1"/>
  <c r="C42" i="7"/>
  <c r="D42" i="7" s="1"/>
  <c r="C41" i="7"/>
  <c r="E41" i="7" s="1"/>
  <c r="C52" i="7"/>
  <c r="E52" i="7" s="1"/>
  <c r="C40" i="7"/>
  <c r="E40" i="7" s="1"/>
  <c r="C26" i="7"/>
  <c r="D26" i="7" s="1"/>
  <c r="C32" i="7"/>
  <c r="D32" i="7" s="1"/>
  <c r="C24" i="7"/>
  <c r="E24" i="7" s="1"/>
  <c r="C25" i="7"/>
  <c r="E25" i="7" s="1"/>
  <c r="C48" i="7"/>
  <c r="D48" i="7" s="1"/>
  <c r="C30" i="7"/>
  <c r="E30" i="7" s="1"/>
  <c r="C38" i="7"/>
  <c r="D38" i="7" s="1"/>
  <c r="C37" i="7"/>
  <c r="D37" i="7" s="1"/>
  <c r="C51" i="7"/>
  <c r="D51" i="7" s="1"/>
  <c r="C34" i="7"/>
  <c r="D34" i="7" s="1"/>
  <c r="C28" i="7"/>
  <c r="D28" i="7" s="1"/>
  <c r="C23" i="7"/>
  <c r="E23" i="7" s="1"/>
  <c r="C27" i="7"/>
  <c r="E27" i="7" s="1"/>
  <c r="C33" i="7"/>
  <c r="E33" i="7" s="1"/>
  <c r="C50" i="7"/>
  <c r="E50" i="7" s="1"/>
  <c r="C44" i="7"/>
  <c r="E44" i="7" s="1"/>
  <c r="C36" i="7"/>
  <c r="D36" i="7" s="1"/>
  <c r="C43" i="7"/>
  <c r="E43" i="7" s="1"/>
  <c r="C29" i="7"/>
  <c r="E29" i="7" s="1"/>
  <c r="C49" i="7"/>
  <c r="D49" i="7" s="1"/>
  <c r="C31" i="7"/>
  <c r="E31" i="7" s="1"/>
  <c r="C47" i="7"/>
  <c r="D47" i="7" s="1"/>
  <c r="C46" i="7"/>
  <c r="E46" i="7" s="1"/>
  <c r="D41" i="7"/>
  <c r="E48" i="7"/>
  <c r="D33" i="7"/>
  <c r="E38" i="7"/>
  <c r="E34" i="7"/>
  <c r="D43" i="7"/>
  <c r="D45" i="7" l="1"/>
  <c r="E37" i="7"/>
  <c r="D52" i="7"/>
  <c r="D30" i="7"/>
  <c r="D23" i="7"/>
  <c r="E36" i="7"/>
  <c r="D27" i="7"/>
  <c r="D24" i="7"/>
  <c r="D29" i="7"/>
  <c r="D39" i="7"/>
  <c r="E51" i="7"/>
  <c r="E28" i="7"/>
  <c r="D50" i="7"/>
  <c r="D31" i="7"/>
  <c r="E26" i="7"/>
  <c r="D46" i="7"/>
  <c r="E42" i="7"/>
  <c r="D40" i="7"/>
  <c r="E49" i="7"/>
  <c r="D44" i="7"/>
  <c r="E35" i="7"/>
  <c r="E47" i="7"/>
  <c r="E32" i="7"/>
  <c r="D25" i="7"/>
</calcChain>
</file>

<file path=xl/sharedStrings.xml><?xml version="1.0" encoding="utf-8"?>
<sst xmlns="http://schemas.openxmlformats.org/spreadsheetml/2006/main" count="78" uniqueCount="76">
  <si>
    <t>Product</t>
  </si>
  <si>
    <t>Max Y Assumptions</t>
  </si>
  <si>
    <t>Pre-Tax Spend</t>
  </si>
  <si>
    <t>* Note: The above marroon colored values are used to construct lodish type response curve for Aquisition programs</t>
  </si>
  <si>
    <t>Purpose</t>
  </si>
  <si>
    <t>Creates a S type curve given (Xcurr,Ycurr), Ymin, Ymax. Uses equation proposed by Lodish.</t>
  </si>
  <si>
    <t>X unit</t>
  </si>
  <si>
    <t>Spend $</t>
  </si>
  <si>
    <t>Note 1: YELLOW cells need user input (some or optional)</t>
  </si>
  <si>
    <t>Channel</t>
  </si>
  <si>
    <t>Y unit</t>
  </si>
  <si>
    <t>Ybase</t>
  </si>
  <si>
    <t>Function Type</t>
  </si>
  <si>
    <t>S type curve estimation(Lodish). Adjusted with respect to Y base</t>
  </si>
  <si>
    <t>In here, lodish curve is applied to YLmin = Ybase + Ymin and YLmax = YLmin + Ymax.</t>
  </si>
  <si>
    <t xml:space="preserve">In terms of NRx, Ybase = Curr NRx; YLmin =  Curr NRx - Curr Incr. NRx(Yc).; YLMax = Curr NRx + Max Possible Incr. NRx (Ymax); Ymin = min Incr NRx for no investmet = 0; </t>
  </si>
  <si>
    <t>Optimization Details</t>
  </si>
  <si>
    <t>Constraints</t>
  </si>
  <si>
    <t>Objective Function</t>
  </si>
  <si>
    <t>Initial Starting Values (optional)</t>
  </si>
  <si>
    <t>Min</t>
  </si>
  <si>
    <t>Max</t>
  </si>
  <si>
    <t>Optimal X value</t>
  </si>
  <si>
    <t>Optimal Y value</t>
  </si>
  <si>
    <t>Starting X value</t>
  </si>
  <si>
    <t>Starting Y value</t>
  </si>
  <si>
    <t>Inputs</t>
  </si>
  <si>
    <t>X current</t>
  </si>
  <si>
    <t>Y current</t>
  </si>
  <si>
    <t>Y min</t>
  </si>
  <si>
    <t>Y max</t>
  </si>
  <si>
    <t>Y Base</t>
  </si>
  <si>
    <t>Temporary Values</t>
  </si>
  <si>
    <t>YL min [=YBase - Ycurrent]</t>
  </si>
  <si>
    <t>YL max [=YLmin + Ymax]</t>
  </si>
  <si>
    <t>XL current [=Xcurrent]</t>
  </si>
  <si>
    <t>YL current [=YBase]</t>
  </si>
  <si>
    <t>A</t>
  </si>
  <si>
    <t>B</t>
  </si>
  <si>
    <t>C</t>
  </si>
  <si>
    <t xml:space="preserve">*Note: All values are positive. Only Ymin could be zero.  Y min &lt; Y curr &lt; Ymax. Here, Y Base represents observed total business (i.e., observed NRx or observed Total Revenue) in the presence of current level of promotions. </t>
  </si>
  <si>
    <t>* Note: To avoid singularity when YLmin is 0, the whole curve is lifted up in Y axis by one unit and then in the final objective function estimation, they are brought down by one unit.</t>
  </si>
  <si>
    <t>Axis Configuration for Plotting</t>
  </si>
  <si>
    <t>Xaxis MIN</t>
  </si>
  <si>
    <t>Xaxis Max</t>
  </si>
  <si>
    <t>Intervals</t>
  </si>
  <si>
    <t>Data Values</t>
  </si>
  <si>
    <t>incr. NRx</t>
  </si>
  <si>
    <t xml:space="preserve">Spend </t>
  </si>
  <si>
    <t>ROI:</t>
  </si>
  <si>
    <t>Pre-tax</t>
  </si>
  <si>
    <t>After-tax</t>
  </si>
  <si>
    <t>Comments:</t>
  </si>
  <si>
    <t>Program</t>
  </si>
  <si>
    <t>Pre-tax cost</t>
  </si>
  <si>
    <t>Pre-tax ROI</t>
  </si>
  <si>
    <t>Parameters for back-calculation of Incremental Rx</t>
  </si>
  <si>
    <t>Incr. Rx</t>
  </si>
  <si>
    <t xml:space="preserve"> Rx</t>
  </si>
  <si>
    <t>GARDASIL 9</t>
  </si>
  <si>
    <t># Incr. Doses</t>
  </si>
  <si>
    <t>Pre-tax PGM</t>
  </si>
  <si>
    <t>Estimated Incr. Dose</t>
  </si>
  <si>
    <t>Estimated Incr. Dose (as % of NPA Dose)</t>
  </si>
  <si>
    <t>Spend per Dose</t>
  </si>
  <si>
    <t>Anticipated Max Incr. Dose (in %) when HCC spend is increased to infinity</t>
  </si>
  <si>
    <t>Anticipated Max Incr. Dose</t>
  </si>
  <si>
    <t>Merck GARDASIL Online Programs: Incremental doses per Tactic with ROI, Spend and Incremental Revenue</t>
  </si>
  <si>
    <t>HCC Online Video</t>
  </si>
  <si>
    <t>Online Video</t>
  </si>
  <si>
    <t>2022 Tax-rate</t>
  </si>
  <si>
    <t>2022 Pre-tax PGM/Rx</t>
  </si>
  <si>
    <t>2022 Pre-tax PGM/NPV</t>
  </si>
  <si>
    <t>2022 Pre-tax Pgm/Rx</t>
  </si>
  <si>
    <t>2023 Projection</t>
  </si>
  <si>
    <t>Total GARDASIL Doses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</si>
</sst>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  <numFmt numFmtId="167" formatCode="0.0\ \t\o\ \1"/>
    <numFmt numFmtId="168" formatCode="0.0"/>
    <numFmt numFmtId="169" formatCode="&quot;$&quot;#,##0.00"/>
    <numFmt numFmtId="170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 Narrow"/>
      <family val="2"/>
    </font>
    <font>
      <b/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rgb="FF0000FF"/>
      <name val="Arial Narrow"/>
      <family val="2"/>
    </font>
    <font>
      <b/>
      <sz val="11"/>
      <color rgb="FFC00000"/>
      <name val="Arial Narrow"/>
      <family val="2"/>
    </font>
    <font>
      <sz val="11"/>
      <color rgb="FFC00000"/>
      <name val="Arial Narrow"/>
      <family val="2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9" fontId="10" fillId="0" borderId="0" applyFont="0" applyFill="0" applyBorder="0" applyAlignment="0" applyProtection="0"/>
  </cellStyleXfs>
  <cellXfs count="106">
    <xf numFmtId="0" fontId="0" fillId="0" borderId="0" xfId="0"/>
    <xf numFmtId="0" fontId="6" fillId="7" borderId="2" xfId="0" applyFont="1" applyFill="1" applyBorder="1"/>
    <xf numFmtId="0" fontId="7" fillId="0" borderId="0" xfId="0" applyFont="1"/>
    <xf numFmtId="0" fontId="6" fillId="7" borderId="3" xfId="0" applyFont="1" applyFill="1" applyBorder="1"/>
    <xf numFmtId="0" fontId="7" fillId="8" borderId="4" xfId="0" applyFont="1" applyFill="1" applyBorder="1"/>
    <xf numFmtId="0" fontId="6" fillId="7" borderId="4" xfId="0" applyFont="1" applyFill="1" applyBorder="1"/>
    <xf numFmtId="0" fontId="7" fillId="8" borderId="5" xfId="0" applyFont="1" applyFill="1" applyBorder="1"/>
    <xf numFmtId="0" fontId="7" fillId="8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7" fillId="8" borderId="8" xfId="0" applyFont="1" applyFill="1" applyBorder="1" applyAlignment="1">
      <alignment horizontal="left"/>
    </xf>
    <xf numFmtId="0" fontId="6" fillId="7" borderId="9" xfId="0" applyFont="1" applyFill="1" applyBorder="1"/>
    <xf numFmtId="0" fontId="7" fillId="8" borderId="2" xfId="0" applyFont="1" applyFill="1" applyBorder="1"/>
    <xf numFmtId="0" fontId="7" fillId="8" borderId="10" xfId="0" applyFont="1" applyFill="1" applyBorder="1"/>
    <xf numFmtId="0" fontId="6" fillId="7" borderId="11" xfId="0" applyFont="1" applyFill="1" applyBorder="1"/>
    <xf numFmtId="9" fontId="7" fillId="0" borderId="0" xfId="0" applyNumberFormat="1" applyFont="1"/>
    <xf numFmtId="0" fontId="6" fillId="7" borderId="1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165" fontId="7" fillId="8" borderId="24" xfId="2" applyNumberFormat="1" applyFont="1" applyFill="1" applyBorder="1"/>
    <xf numFmtId="165" fontId="8" fillId="9" borderId="25" xfId="2" applyNumberFormat="1" applyFont="1" applyFill="1" applyBorder="1"/>
    <xf numFmtId="3" fontId="8" fillId="9" borderId="26" xfId="0" applyNumberFormat="1" applyFont="1" applyFill="1" applyBorder="1"/>
    <xf numFmtId="3" fontId="7" fillId="8" borderId="24" xfId="0" applyNumberFormat="1" applyFont="1" applyFill="1" applyBorder="1"/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7" fillId="8" borderId="24" xfId="0" applyFont="1" applyFill="1" applyBorder="1"/>
    <xf numFmtId="166" fontId="7" fillId="8" borderId="28" xfId="1" applyNumberFormat="1" applyFont="1" applyFill="1" applyBorder="1"/>
    <xf numFmtId="166" fontId="7" fillId="10" borderId="24" xfId="0" applyNumberFormat="1" applyFont="1" applyFill="1" applyBorder="1" applyAlignment="1">
      <alignment horizontal="center" vertical="center" wrapText="1"/>
    </xf>
    <xf numFmtId="165" fontId="7" fillId="10" borderId="24" xfId="2" applyNumberFormat="1" applyFont="1" applyFill="1" applyBorder="1" applyAlignment="1">
      <alignment horizontal="center" vertical="center" wrapText="1"/>
    </xf>
    <xf numFmtId="0" fontId="7" fillId="10" borderId="24" xfId="0" applyFont="1" applyFill="1" applyBorder="1" applyAlignment="1">
      <alignment horizontal="center" vertical="center" wrapText="1"/>
    </xf>
    <xf numFmtId="0" fontId="7" fillId="10" borderId="24" xfId="0" applyNumberFormat="1" applyFont="1" applyFill="1" applyBorder="1" applyAlignment="1">
      <alignment horizontal="center" vertical="center" wrapText="1"/>
    </xf>
    <xf numFmtId="166" fontId="7" fillId="10" borderId="28" xfId="0" applyNumberFormat="1" applyFont="1" applyFill="1" applyBorder="1" applyAlignment="1">
      <alignment horizontal="center" vertical="center" wrapText="1"/>
    </xf>
    <xf numFmtId="164" fontId="7" fillId="8" borderId="24" xfId="2" applyNumberFormat="1" applyFont="1" applyFill="1" applyBorder="1"/>
    <xf numFmtId="164" fontId="7" fillId="8" borderId="24" xfId="0" applyNumberFormat="1" applyFont="1" applyFill="1" applyBorder="1"/>
    <xf numFmtId="0" fontId="7" fillId="10" borderId="28" xfId="0" applyFont="1" applyFill="1" applyBorder="1"/>
    <xf numFmtId="3" fontId="7" fillId="0" borderId="1" xfId="0" applyNumberFormat="1" applyFont="1" applyBorder="1"/>
    <xf numFmtId="164" fontId="7" fillId="0" borderId="1" xfId="0" applyNumberFormat="1" applyFont="1" applyBorder="1"/>
    <xf numFmtId="5" fontId="7" fillId="0" borderId="0" xfId="0" applyNumberFormat="1" applyFont="1"/>
    <xf numFmtId="0" fontId="7" fillId="0" borderId="0" xfId="0" applyNumberFormat="1" applyFont="1"/>
    <xf numFmtId="0" fontId="7" fillId="0" borderId="0" xfId="0" applyFont="1" applyAlignment="1">
      <alignment horizontal="center"/>
    </xf>
    <xf numFmtId="5" fontId="7" fillId="0" borderId="0" xfId="0" applyNumberFormat="1" applyFont="1" applyAlignment="1">
      <alignment horizontal="center"/>
    </xf>
    <xf numFmtId="0" fontId="14" fillId="0" borderId="0" xfId="0" applyFont="1"/>
    <xf numFmtId="0" fontId="15" fillId="2" borderId="0" xfId="4" applyFont="1"/>
    <xf numFmtId="0" fontId="16" fillId="6" borderId="1" xfId="0" applyFont="1" applyFill="1" applyBorder="1" applyAlignment="1">
      <alignment wrapText="1"/>
    </xf>
    <xf numFmtId="0" fontId="14" fillId="0" borderId="0" xfId="0" applyFont="1" applyFill="1"/>
    <xf numFmtId="5" fontId="15" fillId="2" borderId="0" xfId="4" applyNumberFormat="1" applyFont="1"/>
    <xf numFmtId="165" fontId="18" fillId="5" borderId="1" xfId="0" applyNumberFormat="1" applyFont="1" applyFill="1" applyBorder="1" applyAlignment="1">
      <alignment horizontal="center" vertical="center"/>
    </xf>
    <xf numFmtId="166" fontId="18" fillId="5" borderId="1" xfId="0" applyNumberFormat="1" applyFont="1" applyFill="1" applyBorder="1" applyAlignment="1">
      <alignment horizontal="center" vertical="center"/>
    </xf>
    <xf numFmtId="10" fontId="12" fillId="5" borderId="1" xfId="3" applyNumberFormat="1" applyFont="1" applyFill="1" applyBorder="1" applyAlignment="1">
      <alignment horizontal="center" vertical="center"/>
    </xf>
    <xf numFmtId="44" fontId="12" fillId="5" borderId="1" xfId="2" applyFont="1" applyFill="1" applyBorder="1" applyAlignment="1">
      <alignment horizontal="center" vertical="center"/>
    </xf>
    <xf numFmtId="166" fontId="18" fillId="5" borderId="1" xfId="1" applyNumberFormat="1" applyFont="1" applyFill="1" applyBorder="1" applyAlignment="1">
      <alignment horizontal="center" vertical="center"/>
    </xf>
    <xf numFmtId="0" fontId="15" fillId="0" borderId="0" xfId="4" applyFont="1" applyFill="1"/>
    <xf numFmtId="5" fontId="15" fillId="0" borderId="0" xfId="4" applyNumberFormat="1" applyFont="1" applyFill="1"/>
    <xf numFmtId="0" fontId="19" fillId="0" borderId="0" xfId="0" applyFont="1" applyFill="1"/>
    <xf numFmtId="0" fontId="1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4" fontId="1" fillId="5" borderId="1" xfId="2" applyFont="1" applyFill="1" applyBorder="1" applyAlignment="1">
      <alignment horizontal="center" vertical="center" wrapText="1"/>
    </xf>
    <xf numFmtId="164" fontId="7" fillId="11" borderId="1" xfId="0" applyNumberFormat="1" applyFont="1" applyFill="1" applyBorder="1"/>
    <xf numFmtId="3" fontId="7" fillId="11" borderId="1" xfId="0" applyNumberFormat="1" applyFont="1" applyFill="1" applyBorder="1"/>
    <xf numFmtId="5" fontId="7" fillId="11" borderId="0" xfId="0" applyNumberFormat="1" applyFont="1" applyFill="1"/>
    <xf numFmtId="0" fontId="7" fillId="11" borderId="0" xfId="0" applyNumberFormat="1" applyFont="1" applyFill="1"/>
    <xf numFmtId="164" fontId="20" fillId="11" borderId="1" xfId="0" applyNumberFormat="1" applyFont="1" applyFill="1" applyBorder="1"/>
    <xf numFmtId="3" fontId="20" fillId="11" borderId="1" xfId="0" applyNumberFormat="1" applyFont="1" applyFill="1" applyBorder="1"/>
    <xf numFmtId="5" fontId="20" fillId="11" borderId="0" xfId="0" applyNumberFormat="1" applyFont="1" applyFill="1"/>
    <xf numFmtId="0" fontId="20" fillId="11" borderId="0" xfId="0" applyNumberFormat="1" applyFont="1" applyFill="1"/>
    <xf numFmtId="165" fontId="0" fillId="0" borderId="0" xfId="2" applyNumberFormat="1" applyFont="1"/>
    <xf numFmtId="0" fontId="11" fillId="0" borderId="0" xfId="0" applyFont="1" applyFill="1" applyBorder="1" applyAlignment="1">
      <alignment horizontal="left"/>
    </xf>
    <xf numFmtId="9" fontId="0" fillId="0" borderId="0" xfId="3" applyFont="1"/>
    <xf numFmtId="0" fontId="1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12" fillId="0" borderId="0" xfId="0" applyNumberFormat="1" applyFont="1" applyFill="1" applyBorder="1" applyAlignment="1">
      <alignment horizontal="center"/>
    </xf>
    <xf numFmtId="0" fontId="12" fillId="1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/>
    <xf numFmtId="3" fontId="17" fillId="0" borderId="1" xfId="0" applyNumberFormat="1" applyFont="1" applyBorder="1" applyAlignment="1">
      <alignment horizontal="center"/>
    </xf>
    <xf numFmtId="0" fontId="13" fillId="3" borderId="0" xfId="5" applyFont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29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wrapText="1"/>
    </xf>
    <xf numFmtId="0" fontId="7" fillId="7" borderId="13" xfId="0" applyFont="1" applyFill="1" applyBorder="1" applyAlignment="1">
      <alignment horizont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170" fontId="18" fillId="5" borderId="1" xfId="0" applyNumberFormat="1" applyFont="1" applyFill="1" applyBorder="1" applyAlignment="1">
      <alignment horizontal="center" vertical="center"/>
    </xf>
  </cellXfs>
  <cellStyles count="14">
    <cellStyle name="60% - Accent1" xfId="4" builtinId="32"/>
    <cellStyle name="60% - Accent4" xfId="5" builtinId="44"/>
    <cellStyle name="Comma" xfId="1" builtinId="3"/>
    <cellStyle name="Comma 2" xfId="6" xr:uid="{00000000-0005-0000-0000-000003000000}"/>
    <cellStyle name="Comma 2 2" xfId="7" xr:uid="{00000000-0005-0000-0000-000004000000}"/>
    <cellStyle name="Comma 2 3" xfId="8" xr:uid="{00000000-0005-0000-0000-000005000000}"/>
    <cellStyle name="Currency" xfId="2" builtinId="4"/>
    <cellStyle name="Currency 2" xfId="9" xr:uid="{00000000-0005-0000-0000-000007000000}"/>
    <cellStyle name="Normal" xfId="0" builtinId="0"/>
    <cellStyle name="Normal 2" xfId="10" xr:uid="{00000000-0005-0000-0000-000009000000}"/>
    <cellStyle name="Normal 2 2" xfId="11" xr:uid="{00000000-0005-0000-0000-00000A000000}"/>
    <cellStyle name="Normal 2 3" xfId="12" xr:uid="{00000000-0005-0000-0000-00000B000000}"/>
    <cellStyle name="Percent" xfId="3" builtinId="5"/>
    <cellStyle name="Percent 2" xfId="13" xr:uid="{00000000-0005-0000-0000-00000D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Response Curve: Online Video</a:t>
            </a:r>
          </a:p>
        </c:rich>
      </c:tx>
      <c:layout>
        <c:manualLayout>
          <c:xMode val="edge"/>
          <c:yMode val="edge"/>
          <c:x val="0.3113975099703446"/>
          <c:y val="4.06779661016949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461324575189843"/>
          <c:y val="0.15277917287366105"/>
          <c:w val="0.69167370145026763"/>
          <c:h val="0.64334482514010072"/>
        </c:manualLayout>
      </c:layout>
      <c:scatterChart>
        <c:scatterStyle val="lineMarker"/>
        <c:varyColors val="0"/>
        <c:ser>
          <c:idx val="0"/>
          <c:order val="0"/>
          <c:tx>
            <c:v>Current Values</c:v>
          </c:tx>
          <c:spPr>
            <a:ln w="44450">
              <a:solidFill>
                <a:srgbClr val="C00000"/>
              </a:solidFill>
            </a:ln>
          </c:spPr>
          <c:marker>
            <c:symbol val="diamond"/>
            <c:size val="9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</c:spPr>
          </c:marker>
          <c:xVal>
            <c:numRef>
              <c:f>'HCC Online Video Curve'!$B$12</c:f>
              <c:numCache>
                <c:formatCode>_("$"* #,##0_);_("$"* \(#,##0\);_("$"* "-"??_);_(@_)</c:formatCode>
                <c:ptCount val="1"/>
                <c:pt idx="0">
                  <c:v>173076.94</c:v>
                </c:pt>
              </c:numCache>
            </c:numRef>
          </c:xVal>
          <c:yVal>
            <c:numRef>
              <c:f>'HCC Online Video Curve'!$C$12</c:f>
              <c:numCache>
                <c:formatCode>#,##0</c:formatCode>
                <c:ptCount val="1"/>
                <c:pt idx="0">
                  <c:v>7568.2941111774026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5-4F7C-9406-3E73ED6DDCD9}"/>
            </c:ext>
          </c:extLst>
        </c:ser>
        <c:ser>
          <c:idx val="1"/>
          <c:order val="1"/>
          <c:tx>
            <c:strRef>
              <c:f>'HCC Online Video Curve'!$D$3</c:f>
              <c:strCache>
                <c:ptCount val="1"/>
                <c:pt idx="0">
                  <c:v>Incr. Rx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'HCC Online Video Curve'!$A$22:$A$52</c:f>
              <c:numCache>
                <c:formatCode>"$"#,##0</c:formatCode>
                <c:ptCount val="31"/>
                <c:pt idx="0">
                  <c:v>0</c:v>
                </c:pt>
                <c:pt idx="1">
                  <c:v>266666.66666666669</c:v>
                </c:pt>
                <c:pt idx="2">
                  <c:v>533333.33333333337</c:v>
                </c:pt>
                <c:pt idx="3">
                  <c:v>800000</c:v>
                </c:pt>
                <c:pt idx="4">
                  <c:v>1066666.6666666667</c:v>
                </c:pt>
                <c:pt idx="5">
                  <c:v>1333333.3333333335</c:v>
                </c:pt>
                <c:pt idx="6">
                  <c:v>1600000.0000000002</c:v>
                </c:pt>
                <c:pt idx="7">
                  <c:v>1866666.666666667</c:v>
                </c:pt>
                <c:pt idx="8">
                  <c:v>2133333.3333333335</c:v>
                </c:pt>
                <c:pt idx="9">
                  <c:v>2400000</c:v>
                </c:pt>
                <c:pt idx="10">
                  <c:v>2666666.6666666665</c:v>
                </c:pt>
                <c:pt idx="11">
                  <c:v>2933333.333333333</c:v>
                </c:pt>
                <c:pt idx="12">
                  <c:v>3199999.9999999995</c:v>
                </c:pt>
                <c:pt idx="13">
                  <c:v>3466666.666666666</c:v>
                </c:pt>
                <c:pt idx="14">
                  <c:v>3733333.3333333326</c:v>
                </c:pt>
                <c:pt idx="15">
                  <c:v>3999999.9999999991</c:v>
                </c:pt>
                <c:pt idx="16">
                  <c:v>4266666.666666666</c:v>
                </c:pt>
                <c:pt idx="17">
                  <c:v>4533333.333333333</c:v>
                </c:pt>
                <c:pt idx="18">
                  <c:v>4800000</c:v>
                </c:pt>
                <c:pt idx="19">
                  <c:v>5066666.666666667</c:v>
                </c:pt>
                <c:pt idx="20">
                  <c:v>5333333.333333334</c:v>
                </c:pt>
                <c:pt idx="21">
                  <c:v>5600000.0000000009</c:v>
                </c:pt>
                <c:pt idx="22">
                  <c:v>5866666.6666666679</c:v>
                </c:pt>
                <c:pt idx="23">
                  <c:v>6133333.3333333349</c:v>
                </c:pt>
                <c:pt idx="24">
                  <c:v>6400000.0000000019</c:v>
                </c:pt>
                <c:pt idx="25">
                  <c:v>6666666.6666666688</c:v>
                </c:pt>
                <c:pt idx="26">
                  <c:v>6933333.3333333358</c:v>
                </c:pt>
                <c:pt idx="27">
                  <c:v>7200000.0000000028</c:v>
                </c:pt>
                <c:pt idx="28">
                  <c:v>7466666.6666666698</c:v>
                </c:pt>
                <c:pt idx="29">
                  <c:v>7733333.3333333367</c:v>
                </c:pt>
                <c:pt idx="30">
                  <c:v>8000000.0000000037</c:v>
                </c:pt>
              </c:numCache>
            </c:numRef>
          </c:xVal>
          <c:yVal>
            <c:numRef>
              <c:f>'HCC Online Video Curve'!$B$22:$B$52</c:f>
              <c:numCache>
                <c:formatCode>#,##0</c:formatCode>
                <c:ptCount val="31"/>
                <c:pt idx="0">
                  <c:v>0</c:v>
                </c:pt>
                <c:pt idx="1">
                  <c:v>9935.0462786499411</c:v>
                </c:pt>
                <c:pt idx="2">
                  <c:v>13350.476502776146</c:v>
                </c:pt>
                <c:pt idx="3">
                  <c:v>14523.429975576699</c:v>
                </c:pt>
                <c:pt idx="4">
                  <c:v>14926.114502193406</c:v>
                </c:pt>
                <c:pt idx="5">
                  <c:v>15064.342870110646</c:v>
                </c:pt>
                <c:pt idx="6">
                  <c:v>15111.790180195123</c:v>
                </c:pt>
                <c:pt idx="7">
                  <c:v>15128.076385090128</c:v>
                </c:pt>
                <c:pt idx="8">
                  <c:v>15133.666568959132</c:v>
                </c:pt>
                <c:pt idx="9">
                  <c:v>15135.585377179086</c:v>
                </c:pt>
                <c:pt idx="10">
                  <c:v>15136.244000038132</c:v>
                </c:pt>
                <c:pt idx="11">
                  <c:v>15136.470069522038</c:v>
                </c:pt>
                <c:pt idx="12">
                  <c:v>15136.547666901723</c:v>
                </c:pt>
                <c:pt idx="13">
                  <c:v>15136.57430187054</c:v>
                </c:pt>
                <c:pt idx="14">
                  <c:v>15136.583444207907</c:v>
                </c:pt>
                <c:pt idx="15">
                  <c:v>15136.58658227697</c:v>
                </c:pt>
                <c:pt idx="16">
                  <c:v>15136.587659405544</c:v>
                </c:pt>
                <c:pt idx="17">
                  <c:v>15136.588029123843</c:v>
                </c:pt>
                <c:pt idx="18">
                  <c:v>15136.588156029582</c:v>
                </c:pt>
                <c:pt idx="19">
                  <c:v>15136.588199587539</c:v>
                </c:pt>
                <c:pt idx="20">
                  <c:v>15136.588214540854</c:v>
                </c:pt>
                <c:pt idx="21">
                  <c:v>15136.588219672441</c:v>
                </c:pt>
                <c:pt idx="22">
                  <c:v>15136.588221434504</c:v>
                </c:pt>
                <c:pt idx="23">
                  <c:v>15136.588222039863</c:v>
                </c:pt>
                <c:pt idx="24">
                  <c:v>15136.588222246617</c:v>
                </c:pt>
                <c:pt idx="25">
                  <c:v>15136.588222317398</c:v>
                </c:pt>
                <c:pt idx="26">
                  <c:v>15136.588222341612</c:v>
                </c:pt>
                <c:pt idx="27">
                  <c:v>15136.588222350925</c:v>
                </c:pt>
                <c:pt idx="28">
                  <c:v>15136.588222352788</c:v>
                </c:pt>
                <c:pt idx="29">
                  <c:v>15136.58822235465</c:v>
                </c:pt>
                <c:pt idx="30">
                  <c:v>15136.58822235465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85-4F7C-9406-3E73ED6DD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725376"/>
        <c:axId val="490090880"/>
      </c:scatterChart>
      <c:valAx>
        <c:axId val="492725376"/>
        <c:scaling>
          <c:orientation val="minMax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Promotion Spend ($ MM)</a:t>
                </a:r>
              </a:p>
            </c:rich>
          </c:tx>
          <c:layout>
            <c:manualLayout>
              <c:xMode val="edge"/>
              <c:yMode val="edge"/>
              <c:x val="0.38385556065604381"/>
              <c:y val="0.9191853585869334"/>
            </c:manualLayout>
          </c:layout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90090880"/>
        <c:crosses val="autoZero"/>
        <c:crossBetween val="midCat"/>
        <c:majorUnit val="3000000"/>
        <c:dispUnits>
          <c:builtInUnit val="millions"/>
        </c:dispUnits>
      </c:valAx>
      <c:valAx>
        <c:axId val="490090880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Incremental Rx</a:t>
                </a:r>
              </a:p>
            </c:rich>
          </c:tx>
          <c:layout>
            <c:manualLayout>
              <c:xMode val="edge"/>
              <c:yMode val="edge"/>
              <c:x val="2.3445648839349627E-2"/>
              <c:y val="0.30594670581431554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492725376"/>
        <c:crosses val="autoZero"/>
        <c:crossBetween val="midCat"/>
        <c:dispUnits>
          <c:builtInUnit val="thousands"/>
          <c:dispUnitsLbl/>
        </c:dispUnits>
      </c:valAx>
      <c:spPr>
        <a:noFill/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18</xdr:row>
      <xdr:rowOff>123826</xdr:rowOff>
    </xdr:from>
    <xdr:to>
      <xdr:col>11</xdr:col>
      <xdr:colOff>76201</xdr:colOff>
      <xdr:row>40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showGridLines="0" zoomScaleNormal="100" workbookViewId="0">
      <selection activeCell="G4" sqref="G4"/>
    </sheetView>
  </sheetViews>
  <sheetFormatPr defaultColWidth="11.85546875" defaultRowHeight="15" x14ac:dyDescent="0.25"/>
  <cols>
    <col min="1" max="1" width="3.7109375" customWidth="1"/>
    <col min="2" max="2" width="11" bestFit="1" customWidth="1"/>
    <col min="3" max="3" width="15.5703125" bestFit="1" customWidth="1"/>
    <col min="4" max="4" width="12.7109375" bestFit="1" customWidth="1"/>
    <col min="5" max="5" width="10.5703125" bestFit="1" customWidth="1"/>
    <col min="6" max="6" width="18.42578125" bestFit="1" customWidth="1"/>
    <col min="7" max="7" width="11.42578125" bestFit="1" customWidth="1"/>
    <col min="8" max="8" width="12.140625" bestFit="1" customWidth="1"/>
    <col min="9" max="9" width="10.85546875" bestFit="1" customWidth="1"/>
    <col min="10" max="10" width="13.5703125" bestFit="1" customWidth="1"/>
  </cols>
  <sheetData>
    <row r="1" spans="2:11" ht="27.75" customHeight="1" x14ac:dyDescent="0.25"/>
    <row r="2" spans="2:11" x14ac:dyDescent="0.25">
      <c r="B2" s="68"/>
    </row>
    <row r="3" spans="2:11" ht="26.85" customHeight="1" x14ac:dyDescent="0.3">
      <c r="B3" s="74" t="s">
        <v>0</v>
      </c>
      <c r="C3" s="74" t="s">
        <v>53</v>
      </c>
      <c r="D3" s="74" t="s">
        <v>54</v>
      </c>
      <c r="E3" s="74" t="s">
        <v>55</v>
      </c>
      <c r="F3" s="74" t="s">
        <v>73</v>
      </c>
      <c r="G3" s="74" t="s">
        <v>61</v>
      </c>
      <c r="H3" s="74" t="s">
        <v>60</v>
      </c>
      <c r="I3" s="74" t="s">
        <v>52</v>
      </c>
    </row>
    <row r="4" spans="2:11" ht="46.15" customHeight="1" x14ac:dyDescent="0.3">
      <c r="B4" s="70" t="s">
        <v>59</v>
      </c>
      <c r="C4" s="70" t="s">
        <v>68</v>
      </c>
      <c r="D4" s="80">
        <v>173076.94</v>
      </c>
      <c r="E4" s="72">
        <v>9.879885624736735</v>
      </c>
      <c r="F4" s="71">
        <v>225.94</v>
      </c>
      <c r="G4" s="71">
        <f>D4*E4</f>
        <v>1709980.3714794223</v>
      </c>
      <c r="H4" s="73">
        <f>G4/F4</f>
        <v>7568.2941111774026</v>
      </c>
      <c r="I4" s="75"/>
    </row>
    <row r="10" spans="2:11" x14ac:dyDescent="0.25">
      <c r="D10" s="69"/>
      <c r="F10" s="79"/>
      <c r="G10" s="79"/>
      <c r="H10" s="79"/>
      <c r="I10" s="79"/>
      <c r="J10" s="79"/>
      <c r="K10" s="79"/>
    </row>
    <row r="11" spans="2:11" x14ac:dyDescent="0.25">
      <c r="F11" s="67"/>
      <c r="G11" s="77"/>
      <c r="I11" s="78"/>
      <c r="J11" s="67"/>
      <c r="K11" s="76"/>
    </row>
    <row r="12" spans="2:11" x14ac:dyDescent="0.25">
      <c r="F12" s="67"/>
      <c r="G12" s="77"/>
      <c r="I12" s="78"/>
    </row>
    <row r="13" spans="2:11" x14ac:dyDescent="0.25">
      <c r="F13" s="67"/>
      <c r="G13" s="77"/>
      <c r="I13" s="78"/>
      <c r="J13" s="6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showGridLines="0" zoomScaleNormal="100" workbookViewId="0">
      <selection activeCell="H5" sqref="H5"/>
    </sheetView>
  </sheetViews>
  <sheetFormatPr defaultColWidth="9.140625" defaultRowHeight="16.5" x14ac:dyDescent="0.3"/>
  <cols>
    <col min="1" max="1" width="6" style="42" bestFit="1" customWidth="1"/>
    <col min="2" max="2" width="8" style="42" bestFit="1" customWidth="1"/>
    <col min="3" max="3" width="40.28515625" style="42" bestFit="1" customWidth="1"/>
    <col min="4" max="4" width="8" style="42" bestFit="1" customWidth="1"/>
    <col min="5" max="5" width="4.5703125" style="42" customWidth="1"/>
    <col min="6" max="6" width="18" style="42" bestFit="1" customWidth="1"/>
    <col min="7" max="7" width="3.5703125" style="42" customWidth="1"/>
    <col min="8" max="8" width="14.140625" style="42" bestFit="1" customWidth="1"/>
    <col min="9" max="9" width="12.28515625" style="42" customWidth="1"/>
    <col min="10" max="10" width="12.140625" style="42" customWidth="1"/>
    <col min="11" max="11" width="14.28515625" style="42" customWidth="1"/>
    <col min="12" max="12" width="15.140625" style="42" customWidth="1"/>
    <col min="13" max="13" width="11.7109375" style="42" customWidth="1"/>
    <col min="14" max="16384" width="9.140625" style="42"/>
  </cols>
  <sheetData>
    <row r="1" spans="1:13" x14ac:dyDescent="0.3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</row>
    <row r="3" spans="1:13" x14ac:dyDescent="0.3">
      <c r="B3" s="43" t="s">
        <v>56</v>
      </c>
      <c r="C3" s="43"/>
      <c r="D3" s="43"/>
      <c r="H3" s="83" t="s">
        <v>74</v>
      </c>
      <c r="I3" s="84"/>
      <c r="J3" s="84"/>
      <c r="K3" s="84"/>
      <c r="L3" s="84" t="s">
        <v>1</v>
      </c>
      <c r="M3" s="84"/>
    </row>
    <row r="4" spans="1:13" ht="82.5" x14ac:dyDescent="0.3">
      <c r="B4" s="43"/>
      <c r="C4" s="43" t="s">
        <v>70</v>
      </c>
      <c r="D4" s="43"/>
      <c r="F4" s="44" t="s">
        <v>75</v>
      </c>
      <c r="H4" s="55" t="s">
        <v>2</v>
      </c>
      <c r="I4" s="56" t="s">
        <v>62</v>
      </c>
      <c r="J4" s="57" t="s">
        <v>63</v>
      </c>
      <c r="K4" s="58" t="s">
        <v>64</v>
      </c>
      <c r="L4" s="57" t="s">
        <v>65</v>
      </c>
      <c r="M4" s="57" t="s">
        <v>66</v>
      </c>
    </row>
    <row r="5" spans="1:13" s="45" customFormat="1" ht="25.5" customHeight="1" x14ac:dyDescent="0.3">
      <c r="B5" s="43"/>
      <c r="C5" s="43" t="s">
        <v>71</v>
      </c>
      <c r="D5" s="46">
        <v>225.94</v>
      </c>
      <c r="F5" s="81">
        <v>8649234</v>
      </c>
      <c r="G5" s="42"/>
      <c r="H5" s="47">
        <f>'Online Video'!D4</f>
        <v>173076.94</v>
      </c>
      <c r="I5" s="48">
        <f>'Online Video'!H4</f>
        <v>7568.2941111774026</v>
      </c>
      <c r="J5" s="49">
        <f>I5/F5</f>
        <v>8.7502478383373627E-4</v>
      </c>
      <c r="K5" s="50">
        <f>H5/I5</f>
        <v>22.868685790683994</v>
      </c>
      <c r="L5" s="105">
        <f>J5*2</f>
        <v>1.7500495676674725E-3</v>
      </c>
      <c r="M5" s="51">
        <f>L5*F5</f>
        <v>15136.588222354803</v>
      </c>
    </row>
    <row r="6" spans="1:13" s="45" customFormat="1" ht="26.25" customHeight="1" x14ac:dyDescent="0.3">
      <c r="B6" s="52"/>
      <c r="C6" s="43" t="s">
        <v>72</v>
      </c>
      <c r="D6" s="46"/>
      <c r="H6" s="54" t="s">
        <v>3</v>
      </c>
    </row>
    <row r="7" spans="1:13" s="45" customFormat="1" x14ac:dyDescent="0.3">
      <c r="B7" s="52"/>
      <c r="C7" s="52"/>
      <c r="D7" s="53"/>
    </row>
    <row r="8" spans="1:13" s="45" customFormat="1" x14ac:dyDescent="0.3">
      <c r="B8" s="52"/>
      <c r="C8" s="52"/>
      <c r="D8" s="53"/>
    </row>
  </sheetData>
  <mergeCells count="3">
    <mergeCell ref="A1:J1"/>
    <mergeCell ref="H3:K3"/>
    <mergeCell ref="L3:M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O52"/>
  <sheetViews>
    <sheetView showGridLines="0" tabSelected="1" workbookViewId="0">
      <selection activeCell="E8" sqref="E8"/>
    </sheetView>
  </sheetViews>
  <sheetFormatPr defaultColWidth="8.85546875" defaultRowHeight="12.75" x14ac:dyDescent="0.2"/>
  <cols>
    <col min="1" max="1" width="12.140625" style="2" customWidth="1"/>
    <col min="2" max="2" width="13.5703125" style="2" customWidth="1"/>
    <col min="3" max="3" width="14.5703125" style="2" bestFit="1" customWidth="1"/>
    <col min="4" max="4" width="13.7109375" style="2" customWidth="1"/>
    <col min="5" max="5" width="15.7109375" style="2" customWidth="1"/>
    <col min="6" max="6" width="12.42578125" style="2" customWidth="1"/>
    <col min="7" max="7" width="12" style="2" customWidth="1"/>
    <col min="8" max="8" width="10.28515625" style="2" customWidth="1"/>
    <col min="9" max="9" width="12.42578125" style="2" customWidth="1"/>
    <col min="10" max="10" width="12.7109375" style="2" customWidth="1"/>
    <col min="11" max="11" width="14.28515625" style="2" bestFit="1" customWidth="1"/>
    <col min="12" max="13" width="12" style="2" bestFit="1" customWidth="1"/>
    <col min="14" max="14" width="11.42578125" style="2" bestFit="1" customWidth="1"/>
    <col min="15" max="15" width="12.42578125" style="2" customWidth="1"/>
    <col min="16" max="16384" width="8.85546875" style="2"/>
  </cols>
  <sheetData>
    <row r="1" spans="1:15" ht="13.5" thickBot="1" x14ac:dyDescent="0.25">
      <c r="A1" s="1" t="s">
        <v>4</v>
      </c>
      <c r="B1" s="2" t="s">
        <v>5</v>
      </c>
    </row>
    <row r="2" spans="1:15" x14ac:dyDescent="0.2">
      <c r="A2" s="3" t="s">
        <v>0</v>
      </c>
      <c r="B2" s="4" t="s">
        <v>59</v>
      </c>
      <c r="C2" s="5" t="s">
        <v>6</v>
      </c>
      <c r="D2" s="6" t="s">
        <v>7</v>
      </c>
      <c r="H2" s="7" t="s">
        <v>8</v>
      </c>
      <c r="I2" s="8"/>
      <c r="J2" s="8"/>
      <c r="K2" s="8"/>
      <c r="L2" s="9"/>
    </row>
    <row r="3" spans="1:15" ht="13.5" thickBot="1" x14ac:dyDescent="0.25">
      <c r="A3" s="10" t="s">
        <v>9</v>
      </c>
      <c r="B3" s="11" t="s">
        <v>69</v>
      </c>
      <c r="C3" s="1" t="s">
        <v>10</v>
      </c>
      <c r="D3" s="12" t="s">
        <v>57</v>
      </c>
      <c r="E3" s="1" t="s">
        <v>11</v>
      </c>
      <c r="F3" s="12" t="s">
        <v>58</v>
      </c>
    </row>
    <row r="4" spans="1:15" ht="15" customHeight="1" thickBot="1" x14ac:dyDescent="0.25">
      <c r="A4" s="13" t="s">
        <v>12</v>
      </c>
      <c r="B4" s="96" t="s">
        <v>13</v>
      </c>
      <c r="C4" s="96"/>
      <c r="D4" s="96"/>
      <c r="E4" s="96"/>
      <c r="F4" s="97"/>
      <c r="H4" s="2" t="s">
        <v>14</v>
      </c>
    </row>
    <row r="5" spans="1:15" x14ac:dyDescent="0.2">
      <c r="H5" s="2" t="s">
        <v>15</v>
      </c>
    </row>
    <row r="6" spans="1:15" ht="13.5" thickBot="1" x14ac:dyDescent="0.25">
      <c r="B6" s="14">
        <v>0.5</v>
      </c>
      <c r="C6" s="14">
        <v>1.5</v>
      </c>
    </row>
    <row r="7" spans="1:15" ht="27.6" customHeight="1" x14ac:dyDescent="0.2">
      <c r="A7" s="94" t="s">
        <v>16</v>
      </c>
      <c r="B7" s="99" t="s">
        <v>17</v>
      </c>
      <c r="C7" s="100"/>
      <c r="D7" s="101" t="s">
        <v>18</v>
      </c>
      <c r="E7" s="102"/>
      <c r="F7" s="103" t="s">
        <v>19</v>
      </c>
      <c r="G7" s="104"/>
    </row>
    <row r="8" spans="1:15" ht="25.5" x14ac:dyDescent="0.2">
      <c r="A8" s="98"/>
      <c r="B8" s="15" t="s">
        <v>20</v>
      </c>
      <c r="C8" s="16" t="s">
        <v>21</v>
      </c>
      <c r="D8" s="17" t="s">
        <v>22</v>
      </c>
      <c r="E8" s="16" t="s">
        <v>23</v>
      </c>
      <c r="F8" s="18" t="s">
        <v>24</v>
      </c>
      <c r="G8" s="19" t="s">
        <v>25</v>
      </c>
    </row>
    <row r="9" spans="1:15" ht="13.5" thickBot="1" x14ac:dyDescent="0.25">
      <c r="A9" s="95"/>
      <c r="B9" s="20">
        <f>B6*B12</f>
        <v>86538.47</v>
      </c>
      <c r="C9" s="20">
        <f>C6*B12</f>
        <v>259615.41</v>
      </c>
      <c r="D9" s="21">
        <f>F9</f>
        <v>173076.94</v>
      </c>
      <c r="E9" s="22">
        <f>(($O$12/(1+EXP($M$12+$N$12*D9)))-1) - ($F$12-$C$12)</f>
        <v>7568.2941111773252</v>
      </c>
      <c r="F9" s="20">
        <f>B12</f>
        <v>173076.94</v>
      </c>
      <c r="G9" s="23">
        <f>C12</f>
        <v>7568.2941111774026</v>
      </c>
    </row>
    <row r="10" spans="1:15" ht="13.5" thickBot="1" x14ac:dyDescent="0.25"/>
    <row r="11" spans="1:15" ht="51.6" customHeight="1" x14ac:dyDescent="0.2">
      <c r="A11" s="94" t="s">
        <v>26</v>
      </c>
      <c r="B11" s="24" t="s">
        <v>27</v>
      </c>
      <c r="C11" s="24" t="s">
        <v>28</v>
      </c>
      <c r="D11" s="24" t="s">
        <v>29</v>
      </c>
      <c r="E11" s="24" t="s">
        <v>30</v>
      </c>
      <c r="F11" s="25" t="s">
        <v>31</v>
      </c>
      <c r="H11" s="85" t="s">
        <v>32</v>
      </c>
      <c r="I11" s="24" t="s">
        <v>33</v>
      </c>
      <c r="J11" s="24" t="s">
        <v>34</v>
      </c>
      <c r="K11" s="24" t="s">
        <v>35</v>
      </c>
      <c r="L11" s="24" t="s">
        <v>36</v>
      </c>
      <c r="M11" s="24" t="s">
        <v>37</v>
      </c>
      <c r="N11" s="24" t="s">
        <v>38</v>
      </c>
      <c r="O11" s="25" t="s">
        <v>39</v>
      </c>
    </row>
    <row r="12" spans="1:15" ht="15" customHeight="1" thickBot="1" x14ac:dyDescent="0.25">
      <c r="A12" s="95"/>
      <c r="B12" s="20">
        <f>Data!H5</f>
        <v>173076.94</v>
      </c>
      <c r="C12" s="23">
        <f>Data!I5</f>
        <v>7568.2941111774026</v>
      </c>
      <c r="D12" s="26">
        <v>0</v>
      </c>
      <c r="E12" s="23">
        <f>Data!M5</f>
        <v>15136.588222354803</v>
      </c>
      <c r="F12" s="27">
        <f>Data!F5</f>
        <v>8649234</v>
      </c>
      <c r="H12" s="86"/>
      <c r="I12" s="28">
        <f>F12-C12</f>
        <v>8641665.7058888227</v>
      </c>
      <c r="J12" s="28">
        <f>I12+E12</f>
        <v>8656802.2941111773</v>
      </c>
      <c r="K12" s="29">
        <f>B12</f>
        <v>173076.94</v>
      </c>
      <c r="L12" s="28">
        <f>F12</f>
        <v>8649234</v>
      </c>
      <c r="M12" s="30">
        <f>LN((($J$12+1)/($I$12+1))-1)</f>
        <v>-6.3472358749433937</v>
      </c>
      <c r="N12" s="31">
        <f>(LN((($J$12+1)/($L$12+1))-1)-$M$12)/$K$12</f>
        <v>-4.0099078958764274E-6</v>
      </c>
      <c r="O12" s="32">
        <f>J12+1</f>
        <v>8656803.2941111773</v>
      </c>
    </row>
    <row r="13" spans="1:15" ht="34.15" customHeight="1" x14ac:dyDescent="0.2">
      <c r="A13" s="87" t="s">
        <v>40</v>
      </c>
      <c r="B13" s="88"/>
      <c r="C13" s="88"/>
      <c r="D13" s="88"/>
      <c r="E13" s="88"/>
      <c r="F13" s="89"/>
      <c r="H13" s="87" t="s">
        <v>41</v>
      </c>
      <c r="I13" s="88"/>
      <c r="J13" s="88"/>
      <c r="K13" s="88"/>
      <c r="L13" s="88"/>
      <c r="M13" s="88"/>
      <c r="N13" s="88"/>
      <c r="O13" s="89"/>
    </row>
    <row r="14" spans="1:15" ht="33.6" customHeight="1" x14ac:dyDescent="0.2">
      <c r="A14" s="90"/>
      <c r="B14" s="91"/>
      <c r="C14" s="91"/>
      <c r="D14" s="91"/>
      <c r="E14" s="91"/>
      <c r="F14" s="92"/>
      <c r="H14" s="90"/>
      <c r="I14" s="91"/>
      <c r="J14" s="91"/>
      <c r="K14" s="91"/>
      <c r="L14" s="91"/>
      <c r="M14" s="91"/>
      <c r="N14" s="91"/>
      <c r="O14" s="92"/>
    </row>
    <row r="16" spans="1:15" ht="13.5" thickBot="1" x14ac:dyDescent="0.25"/>
    <row r="17" spans="1:5" ht="16.899999999999999" customHeight="1" x14ac:dyDescent="0.2">
      <c r="A17" s="85" t="s">
        <v>42</v>
      </c>
      <c r="B17" s="24" t="s">
        <v>43</v>
      </c>
      <c r="C17" s="24" t="s">
        <v>44</v>
      </c>
      <c r="D17" s="25" t="s">
        <v>45</v>
      </c>
    </row>
    <row r="18" spans="1:5" ht="23.65" customHeight="1" thickBot="1" x14ac:dyDescent="0.25">
      <c r="A18" s="86"/>
      <c r="B18" s="33">
        <v>0</v>
      </c>
      <c r="C18" s="34">
        <v>8000000</v>
      </c>
      <c r="D18" s="35">
        <v>30</v>
      </c>
    </row>
    <row r="20" spans="1:5" x14ac:dyDescent="0.2">
      <c r="A20" s="93" t="s">
        <v>46</v>
      </c>
      <c r="B20" s="93"/>
    </row>
    <row r="21" spans="1:5" x14ac:dyDescent="0.2">
      <c r="A21" s="15" t="s">
        <v>48</v>
      </c>
      <c r="B21" s="15" t="s">
        <v>47</v>
      </c>
      <c r="C21" s="40" t="s">
        <v>50</v>
      </c>
      <c r="D21" s="40" t="s">
        <v>49</v>
      </c>
      <c r="E21" s="41" t="s">
        <v>51</v>
      </c>
    </row>
    <row r="22" spans="1:5" x14ac:dyDescent="0.2">
      <c r="A22" s="37">
        <f>B18</f>
        <v>0</v>
      </c>
      <c r="B22" s="36">
        <f>(($O$12/(1+EXP($M$12+$N$12*A22)))-1) - ($F$12-$C$12)</f>
        <v>0</v>
      </c>
      <c r="C22" s="38">
        <f>B22*Data!$D$5</f>
        <v>0</v>
      </c>
      <c r="D22" s="39"/>
      <c r="E22" s="38"/>
    </row>
    <row r="23" spans="1:5" x14ac:dyDescent="0.2">
      <c r="A23" s="37">
        <f>A22+(($C$18-$B$18)/$D$18)</f>
        <v>266666.66666666669</v>
      </c>
      <c r="B23" s="36">
        <f t="shared" ref="B23:B42" si="0">(($O$12/(1+EXP($M$12+$N$12*A23)))-1) - ($F$12-$C$12)</f>
        <v>9935.0462786499411</v>
      </c>
      <c r="C23" s="38">
        <f>B23*Data!$D$5</f>
        <v>2244724.3561981679</v>
      </c>
      <c r="D23" s="39">
        <f>C23/A23</f>
        <v>8.4177163357431297</v>
      </c>
      <c r="E23" s="38">
        <f>C23*(1-Data!$D$4)</f>
        <v>2244724.3561981679</v>
      </c>
    </row>
    <row r="24" spans="1:5" x14ac:dyDescent="0.2">
      <c r="A24" s="37">
        <f t="shared" ref="A24:A52" si="1">A23+(($C$18-$B$18)/$D$18)</f>
        <v>533333.33333333337</v>
      </c>
      <c r="B24" s="36">
        <f t="shared" si="0"/>
        <v>13350.476502776146</v>
      </c>
      <c r="C24" s="38">
        <f>B24*Data!$D$5</f>
        <v>3016406.6610372425</v>
      </c>
      <c r="D24" s="39">
        <f t="shared" ref="D24:D42" si="2">C24/A24</f>
        <v>5.6557624894448288</v>
      </c>
      <c r="E24" s="38">
        <f>C24*(1-Data!$D$4)</f>
        <v>3016406.6610372425</v>
      </c>
    </row>
    <row r="25" spans="1:5" x14ac:dyDescent="0.2">
      <c r="A25" s="37">
        <f t="shared" si="1"/>
        <v>800000</v>
      </c>
      <c r="B25" s="36">
        <f t="shared" si="0"/>
        <v>14523.429975576699</v>
      </c>
      <c r="C25" s="38">
        <f>B25*Data!$D$5</f>
        <v>3281423.7686817991</v>
      </c>
      <c r="D25" s="39">
        <f t="shared" si="2"/>
        <v>4.1017797108522487</v>
      </c>
      <c r="E25" s="38">
        <f>C25*(1-Data!$D$4)</f>
        <v>3281423.7686817991</v>
      </c>
    </row>
    <row r="26" spans="1:5" x14ac:dyDescent="0.2">
      <c r="A26" s="37">
        <f t="shared" si="1"/>
        <v>1066666.6666666667</v>
      </c>
      <c r="B26" s="36">
        <f t="shared" si="0"/>
        <v>14926.114502193406</v>
      </c>
      <c r="C26" s="38">
        <f>B26*Data!$D$5</f>
        <v>3372406.3106255783</v>
      </c>
      <c r="D26" s="39">
        <f t="shared" si="2"/>
        <v>3.1616309162114793</v>
      </c>
      <c r="E26" s="38">
        <f>C26*(1-Data!$D$4)</f>
        <v>3372406.3106255783</v>
      </c>
    </row>
    <row r="27" spans="1:5" x14ac:dyDescent="0.2">
      <c r="A27" s="37">
        <f t="shared" si="1"/>
        <v>1333333.3333333335</v>
      </c>
      <c r="B27" s="36">
        <f t="shared" si="0"/>
        <v>15064.342870110646</v>
      </c>
      <c r="C27" s="38">
        <f>B27*Data!$D$5</f>
        <v>3403637.6280727992</v>
      </c>
      <c r="D27" s="39">
        <f t="shared" si="2"/>
        <v>2.5527282210545992</v>
      </c>
      <c r="E27" s="38">
        <f>C27*(1-Data!$D$4)</f>
        <v>3403637.6280727992</v>
      </c>
    </row>
    <row r="28" spans="1:5" x14ac:dyDescent="0.2">
      <c r="A28" s="59">
        <f t="shared" si="1"/>
        <v>1600000.0000000002</v>
      </c>
      <c r="B28" s="60">
        <f t="shared" si="0"/>
        <v>15111.790180195123</v>
      </c>
      <c r="C28" s="61">
        <f>B28*Data!$D$5</f>
        <v>3414357.8733132859</v>
      </c>
      <c r="D28" s="62">
        <f t="shared" si="2"/>
        <v>2.1339736708208035</v>
      </c>
      <c r="E28" s="61">
        <f>C28*(1-Data!$D$4)</f>
        <v>3414357.8733132859</v>
      </c>
    </row>
    <row r="29" spans="1:5" x14ac:dyDescent="0.2">
      <c r="A29" s="37">
        <f t="shared" si="1"/>
        <v>1866666.666666667</v>
      </c>
      <c r="B29" s="36">
        <f t="shared" si="0"/>
        <v>15128.076385090128</v>
      </c>
      <c r="C29" s="38">
        <f>B29*Data!$D$5</f>
        <v>3418037.5784472632</v>
      </c>
      <c r="D29" s="39">
        <f t="shared" si="2"/>
        <v>1.8310915598824622</v>
      </c>
      <c r="E29" s="38">
        <f>C29*(1-Data!$D$4)</f>
        <v>3418037.5784472632</v>
      </c>
    </row>
    <row r="30" spans="1:5" x14ac:dyDescent="0.2">
      <c r="A30" s="59">
        <f t="shared" si="1"/>
        <v>2133333.3333333335</v>
      </c>
      <c r="B30" s="60">
        <f t="shared" si="0"/>
        <v>15133.666568959132</v>
      </c>
      <c r="C30" s="61">
        <f>B30*Data!$D$5</f>
        <v>3419300.624590626</v>
      </c>
      <c r="D30" s="62">
        <f t="shared" si="2"/>
        <v>1.6027971677768558</v>
      </c>
      <c r="E30" s="61">
        <f>C30*(1-Data!$D$4)</f>
        <v>3419300.624590626</v>
      </c>
    </row>
    <row r="31" spans="1:5" x14ac:dyDescent="0.2">
      <c r="A31" s="37">
        <f t="shared" si="1"/>
        <v>2400000</v>
      </c>
      <c r="B31" s="36">
        <f t="shared" si="0"/>
        <v>15135.585377179086</v>
      </c>
      <c r="C31" s="38">
        <f>B31*Data!$D$5</f>
        <v>3419734.1601198427</v>
      </c>
      <c r="D31" s="39">
        <f t="shared" si="2"/>
        <v>1.4248892333832679</v>
      </c>
      <c r="E31" s="38">
        <f>C31*(1-Data!$D$4)</f>
        <v>3419734.1601198427</v>
      </c>
    </row>
    <row r="32" spans="1:5" x14ac:dyDescent="0.2">
      <c r="A32" s="37">
        <f t="shared" si="1"/>
        <v>2666666.6666666665</v>
      </c>
      <c r="B32" s="36">
        <f t="shared" si="0"/>
        <v>15136.244000038132</v>
      </c>
      <c r="C32" s="38">
        <f>B32*Data!$D$5</f>
        <v>3419882.9693686157</v>
      </c>
      <c r="D32" s="39">
        <f t="shared" si="2"/>
        <v>1.2824561135132309</v>
      </c>
      <c r="E32" s="38">
        <f>C32*(1-Data!$D$4)</f>
        <v>3419882.9693686157</v>
      </c>
    </row>
    <row r="33" spans="1:5" x14ac:dyDescent="0.2">
      <c r="A33" s="59">
        <f t="shared" si="1"/>
        <v>2933333.333333333</v>
      </c>
      <c r="B33" s="60">
        <f t="shared" si="0"/>
        <v>15136.470069522038</v>
      </c>
      <c r="C33" s="61">
        <f>B33*Data!$D$5</f>
        <v>3419934.0475078095</v>
      </c>
      <c r="D33" s="62">
        <f t="shared" si="2"/>
        <v>1.1658866071049352</v>
      </c>
      <c r="E33" s="61">
        <f>C33*(1-Data!$D$4)</f>
        <v>3419934.0475078095</v>
      </c>
    </row>
    <row r="34" spans="1:5" x14ac:dyDescent="0.2">
      <c r="A34" s="37">
        <f>A33+(($C$18-$B$18)/$D$18)</f>
        <v>3199999.9999999995</v>
      </c>
      <c r="B34" s="36">
        <f t="shared" si="0"/>
        <v>15136.547666901723</v>
      </c>
      <c r="C34" s="38">
        <f>B34*Data!$D$5</f>
        <v>3419951.579859775</v>
      </c>
      <c r="D34" s="39">
        <f t="shared" si="2"/>
        <v>1.06873486870618</v>
      </c>
      <c r="E34" s="38">
        <f>C34*(1-Data!$D$4)</f>
        <v>3419951.579859775</v>
      </c>
    </row>
    <row r="35" spans="1:5" x14ac:dyDescent="0.2">
      <c r="A35" s="37">
        <f t="shared" si="1"/>
        <v>3466666.666666666</v>
      </c>
      <c r="B35" s="36">
        <f t="shared" si="0"/>
        <v>15136.57430187054</v>
      </c>
      <c r="C35" s="38">
        <f>B35*Data!$D$5</f>
        <v>3419957.5977646299</v>
      </c>
      <c r="D35" s="39">
        <f t="shared" si="2"/>
        <v>0.98652623012441265</v>
      </c>
      <c r="E35" s="38">
        <f>C35*(1-Data!$D$4)</f>
        <v>3419957.5977646299</v>
      </c>
    </row>
    <row r="36" spans="1:5" x14ac:dyDescent="0.2">
      <c r="A36" s="63">
        <f t="shared" si="1"/>
        <v>3733333.3333333326</v>
      </c>
      <c r="B36" s="64">
        <f t="shared" si="0"/>
        <v>15136.583444207907</v>
      </c>
      <c r="C36" s="65">
        <f>B36*Data!$D$5</f>
        <v>3419959.6633843342</v>
      </c>
      <c r="D36" s="66">
        <f t="shared" si="2"/>
        <v>0.91606062412080402</v>
      </c>
      <c r="E36" s="65">
        <f>C36*(1-Data!$D$4)</f>
        <v>3419959.6633843342</v>
      </c>
    </row>
    <row r="37" spans="1:5" x14ac:dyDescent="0.2">
      <c r="A37" s="37">
        <f t="shared" si="1"/>
        <v>3999999.9999999991</v>
      </c>
      <c r="B37" s="36">
        <f t="shared" si="0"/>
        <v>15136.58658227697</v>
      </c>
      <c r="C37" s="38">
        <f>B37*Data!$D$5</f>
        <v>3419960.3723996584</v>
      </c>
      <c r="D37" s="39">
        <f t="shared" si="2"/>
        <v>0.85499009309991481</v>
      </c>
      <c r="E37" s="38">
        <f>C37*(1-Data!$D$4)</f>
        <v>3419960.3723996584</v>
      </c>
    </row>
    <row r="38" spans="1:5" x14ac:dyDescent="0.2">
      <c r="A38" s="37">
        <f t="shared" si="1"/>
        <v>4266666.666666666</v>
      </c>
      <c r="B38" s="36">
        <f t="shared" si="0"/>
        <v>15136.587659405544</v>
      </c>
      <c r="C38" s="38">
        <f>B38*Data!$D$5</f>
        <v>3419960.6157660885</v>
      </c>
      <c r="D38" s="39">
        <f t="shared" si="2"/>
        <v>0.80155326932017712</v>
      </c>
      <c r="E38" s="38">
        <f>C38*(1-Data!$D$4)</f>
        <v>3419960.6157660885</v>
      </c>
    </row>
    <row r="39" spans="1:5" x14ac:dyDescent="0.2">
      <c r="A39" s="37">
        <f t="shared" si="1"/>
        <v>4533333.333333333</v>
      </c>
      <c r="B39" s="36">
        <f t="shared" si="0"/>
        <v>15136.588029123843</v>
      </c>
      <c r="C39" s="38">
        <f>B39*Data!$D$5</f>
        <v>3419960.6993002412</v>
      </c>
      <c r="D39" s="39">
        <f t="shared" si="2"/>
        <v>0.75440309543387674</v>
      </c>
      <c r="E39" s="38">
        <f>C39*(1-Data!$D$4)</f>
        <v>3419960.6993002412</v>
      </c>
    </row>
    <row r="40" spans="1:5" x14ac:dyDescent="0.2">
      <c r="A40" s="37">
        <f t="shared" si="1"/>
        <v>4800000</v>
      </c>
      <c r="B40" s="36">
        <f t="shared" si="0"/>
        <v>15136.588156029582</v>
      </c>
      <c r="C40" s="38">
        <f>B40*Data!$D$5</f>
        <v>3419960.7279733238</v>
      </c>
      <c r="D40" s="39">
        <f t="shared" si="2"/>
        <v>0.71249181832777575</v>
      </c>
      <c r="E40" s="38">
        <f>C40*(1-Data!$D$4)</f>
        <v>3419960.7279733238</v>
      </c>
    </row>
    <row r="41" spans="1:5" x14ac:dyDescent="0.2">
      <c r="A41" s="37">
        <f>A40+(($C$18-$B$18)/$D$18)</f>
        <v>5066666.666666667</v>
      </c>
      <c r="B41" s="36">
        <f t="shared" si="0"/>
        <v>15136.588199587539</v>
      </c>
      <c r="C41" s="38">
        <f>B41*Data!$D$5</f>
        <v>3419960.7378148083</v>
      </c>
      <c r="D41" s="39">
        <f t="shared" si="2"/>
        <v>0.67499225088450154</v>
      </c>
      <c r="E41" s="38">
        <f>C41*(1-Data!$D$4)</f>
        <v>3419960.7378148083</v>
      </c>
    </row>
    <row r="42" spans="1:5" x14ac:dyDescent="0.2">
      <c r="A42" s="37">
        <f t="shared" si="1"/>
        <v>5333333.333333334</v>
      </c>
      <c r="B42" s="36">
        <f t="shared" si="0"/>
        <v>15136.588214540854</v>
      </c>
      <c r="C42" s="38">
        <f>B42*Data!$D$5</f>
        <v>3419960.7411933606</v>
      </c>
      <c r="D42" s="39">
        <f t="shared" si="2"/>
        <v>0.641242638973755</v>
      </c>
      <c r="E42" s="38">
        <f>C42*(1-Data!$D$4)</f>
        <v>3419960.7411933606</v>
      </c>
    </row>
    <row r="43" spans="1:5" x14ac:dyDescent="0.2">
      <c r="A43" s="37">
        <f t="shared" si="1"/>
        <v>5600000.0000000009</v>
      </c>
      <c r="B43" s="36">
        <f t="shared" ref="B43:B52" si="3">(($O$12/(1+EXP($M$12+$N$12*A43)))-1) - ($F$12-$C$12)</f>
        <v>15136.588219672441</v>
      </c>
      <c r="C43" s="38">
        <f>B43*Data!$D$5</f>
        <v>3419960.7423527916</v>
      </c>
      <c r="D43" s="39">
        <f t="shared" ref="D43:D52" si="4">C43/A43</f>
        <v>0.61070727542014125</v>
      </c>
      <c r="E43" s="38">
        <f>C43*(1-Data!$D$4)</f>
        <v>3419960.7423527916</v>
      </c>
    </row>
    <row r="44" spans="1:5" x14ac:dyDescent="0.2">
      <c r="A44" s="37">
        <f t="shared" si="1"/>
        <v>5866666.6666666679</v>
      </c>
      <c r="B44" s="36">
        <f t="shared" si="3"/>
        <v>15136.588221434504</v>
      </c>
      <c r="C44" s="38">
        <f>B44*Data!$D$5</f>
        <v>3419960.742750912</v>
      </c>
      <c r="D44" s="39">
        <f t="shared" si="4"/>
        <v>0.58294785387799619</v>
      </c>
      <c r="E44" s="38">
        <f>C44*(1-Data!$D$4)</f>
        <v>3419960.742750912</v>
      </c>
    </row>
    <row r="45" spans="1:5" x14ac:dyDescent="0.2">
      <c r="A45" s="37">
        <f t="shared" si="1"/>
        <v>6133333.3333333349</v>
      </c>
      <c r="B45" s="36">
        <f t="shared" si="3"/>
        <v>15136.588222039863</v>
      </c>
      <c r="C45" s="38">
        <f>B45*Data!$D$5</f>
        <v>3419960.7428876869</v>
      </c>
      <c r="D45" s="39">
        <f t="shared" si="4"/>
        <v>0.55760229503603576</v>
      </c>
      <c r="E45" s="38">
        <f>C45*(1-Data!$D$4)</f>
        <v>3419960.7428876869</v>
      </c>
    </row>
    <row r="46" spans="1:5" x14ac:dyDescent="0.2">
      <c r="A46" s="37">
        <f t="shared" si="1"/>
        <v>6400000.0000000019</v>
      </c>
      <c r="B46" s="36">
        <f t="shared" si="3"/>
        <v>15136.588222246617</v>
      </c>
      <c r="C46" s="38">
        <f>B46*Data!$D$5</f>
        <v>3419960.7429344007</v>
      </c>
      <c r="D46" s="39">
        <f t="shared" si="4"/>
        <v>0.53436886608349998</v>
      </c>
      <c r="E46" s="38">
        <f>C46*(1-Data!$D$4)</f>
        <v>3419960.7429344007</v>
      </c>
    </row>
    <row r="47" spans="1:5" x14ac:dyDescent="0.2">
      <c r="A47" s="37">
        <f t="shared" si="1"/>
        <v>6666666.6666666688</v>
      </c>
      <c r="B47" s="36">
        <f t="shared" si="3"/>
        <v>15136.588222317398</v>
      </c>
      <c r="C47" s="38">
        <f>B47*Data!$D$5</f>
        <v>3419960.7429503929</v>
      </c>
      <c r="D47" s="39">
        <f t="shared" si="4"/>
        <v>0.5129941114425588</v>
      </c>
      <c r="E47" s="38">
        <f>C47*(1-Data!$D$4)</f>
        <v>3419960.7429503929</v>
      </c>
    </row>
    <row r="48" spans="1:5" x14ac:dyDescent="0.2">
      <c r="A48" s="37">
        <f t="shared" si="1"/>
        <v>6933333.3333333358</v>
      </c>
      <c r="B48" s="36">
        <f t="shared" si="3"/>
        <v>15136.588222341612</v>
      </c>
      <c r="C48" s="38">
        <f>B48*Data!$D$5</f>
        <v>3419960.7429558639</v>
      </c>
      <c r="D48" s="39">
        <f t="shared" si="4"/>
        <v>0.4932635686955571</v>
      </c>
      <c r="E48" s="38">
        <f>C48*(1-Data!$D$4)</f>
        <v>3419960.7429558639</v>
      </c>
    </row>
    <row r="49" spans="1:5" x14ac:dyDescent="0.2">
      <c r="A49" s="37">
        <f t="shared" si="1"/>
        <v>7200000.0000000028</v>
      </c>
      <c r="B49" s="36">
        <f t="shared" si="3"/>
        <v>15136.588222350925</v>
      </c>
      <c r="C49" s="38">
        <f>B49*Data!$D$5</f>
        <v>3419960.7429579678</v>
      </c>
      <c r="D49" s="39">
        <f t="shared" si="4"/>
        <v>0.47499454763305088</v>
      </c>
      <c r="E49" s="38">
        <f>C49*(1-Data!$D$4)</f>
        <v>3419960.7429579678</v>
      </c>
    </row>
    <row r="50" spans="1:5" x14ac:dyDescent="0.2">
      <c r="A50" s="37">
        <f>A49+(($C$18-$B$18)/$D$18)</f>
        <v>7466666.6666666698</v>
      </c>
      <c r="B50" s="36">
        <f t="shared" si="3"/>
        <v>15136.588222352788</v>
      </c>
      <c r="C50" s="38">
        <f>B50*Data!$D$5</f>
        <v>3419960.7429583888</v>
      </c>
      <c r="D50" s="39">
        <f t="shared" si="4"/>
        <v>0.45803045664621261</v>
      </c>
      <c r="E50" s="38">
        <f>C50*(1-Data!$D$4)</f>
        <v>3419960.7429583888</v>
      </c>
    </row>
    <row r="51" spans="1:5" x14ac:dyDescent="0.2">
      <c r="A51" s="37">
        <f t="shared" si="1"/>
        <v>7733333.3333333367</v>
      </c>
      <c r="B51" s="36">
        <f t="shared" si="3"/>
        <v>15136.58822235465</v>
      </c>
      <c r="C51" s="38">
        <f>B51*Data!$D$5</f>
        <v>3419960.7429588097</v>
      </c>
      <c r="D51" s="39">
        <f t="shared" si="4"/>
        <v>0.44223630296881139</v>
      </c>
      <c r="E51" s="38">
        <f>C51*(1-Data!$D$4)</f>
        <v>3419960.7429588097</v>
      </c>
    </row>
    <row r="52" spans="1:5" x14ac:dyDescent="0.2">
      <c r="A52" s="37">
        <f t="shared" si="1"/>
        <v>8000000.0000000037</v>
      </c>
      <c r="B52" s="36">
        <f t="shared" si="3"/>
        <v>15136.58822235465</v>
      </c>
      <c r="C52" s="38">
        <f>B52*Data!$D$5</f>
        <v>3419960.7429588097</v>
      </c>
      <c r="D52" s="39">
        <f t="shared" si="4"/>
        <v>0.42749509286985099</v>
      </c>
      <c r="E52" s="38">
        <f>C52*(1-Data!$D$4)</f>
        <v>3419960.7429588097</v>
      </c>
    </row>
  </sheetData>
  <mergeCells count="11">
    <mergeCell ref="B4:F4"/>
    <mergeCell ref="A7:A9"/>
    <mergeCell ref="B7:C7"/>
    <mergeCell ref="D7:E7"/>
    <mergeCell ref="F7:G7"/>
    <mergeCell ref="H11:H12"/>
    <mergeCell ref="A13:F14"/>
    <mergeCell ref="H13:O14"/>
    <mergeCell ref="A17:A18"/>
    <mergeCell ref="A20:B20"/>
    <mergeCell ref="A11:A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68032058-FD48-42CB-A630-7E82B1323A4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Online Video</vt:lpstr>
      <vt:lpstr>Data</vt:lpstr>
      <vt:lpstr>HCC Online Video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2023-07-10T09:45:42Z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cd227225-4586-4bda-b25e-f654c0432825</vt:lpwstr>
  </property>
  <property fmtid="{D5CDD505-2E9C-101B-9397-08002B2CF9AE}" pid="3" name="bjSaver">
    <vt:lpwstr>3O1Gvm5XUeGHackGhxGee6GW/bgAf7qU</vt:lpwstr>
  </property>
  <property fmtid="{D5CDD505-2E9C-101B-9397-08002B2CF9AE}" pid="4" name="bjDocumentSecurityLabel">
    <vt:lpwstr>Not Classified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6" name="bjDocumentLabelXML-0">
    <vt:lpwstr>ames.com/2008/01/sie/internal/label"&gt;&lt;element uid="9920fcc9-9f43-4d43-9e3e-b98a219cfd55" value="" /&gt;&lt;/sisl&gt;</vt:lpwstr>
  </property>
</Properties>
</file>