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24226"/>
  <xr:revisionPtr revIDLastSave="0" documentId="13_ncr:1_{EA0448E6-7B20-4D21-9358-ED90494BD09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HCP MCM" sheetId="5" r:id="rId1"/>
    <sheet name="Data" sheetId="6" r:id="rId2"/>
    <sheet name="HCP MCM SCurve" sheetId="7" r:id="rId3"/>
  </sheets>
  <definedNames>
    <definedName name="_xlnm._FilterDatabase" localSheetId="0" hidden="1">'HCP MCM'!$A$3:$K$22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5" l="1"/>
  <c r="F8" i="5" l="1"/>
  <c r="H10" i="5" l="1"/>
  <c r="H4" i="5"/>
  <c r="I4" i="5" s="1"/>
  <c r="D11" i="5"/>
  <c r="I10" i="5" l="1"/>
  <c r="H8" i="5"/>
  <c r="I8" i="5" s="1"/>
  <c r="H6" i="5"/>
  <c r="I6" i="5" s="1"/>
  <c r="H7" i="5"/>
  <c r="I7" i="5" s="1"/>
  <c r="H9" i="5"/>
  <c r="I9" i="5" s="1"/>
  <c r="H5" i="5"/>
  <c r="I5" i="5" s="1"/>
  <c r="H11" i="5" l="1"/>
  <c r="D13" i="5"/>
  <c r="H13" i="5" l="1"/>
  <c r="I11" i="5" l="1"/>
  <c r="F11" i="5"/>
  <c r="H5" i="6"/>
  <c r="B12" i="7" s="1"/>
  <c r="F12" i="7"/>
  <c r="L12" i="7" s="1"/>
  <c r="A22" i="7"/>
  <c r="A23" i="7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C9" i="7" l="1"/>
  <c r="K12" i="7"/>
  <c r="B9" i="7"/>
  <c r="F9" i="7"/>
  <c r="D9" i="7" s="1"/>
  <c r="I5" i="6" l="1"/>
  <c r="C12" i="7" l="1"/>
  <c r="K5" i="6"/>
  <c r="J5" i="6"/>
  <c r="L5" i="6" s="1"/>
  <c r="M5" i="6" l="1"/>
  <c r="E12" i="7" s="1"/>
  <c r="G9" i="7"/>
  <c r="I12" i="7"/>
  <c r="J12" i="7" l="1"/>
  <c r="M12" i="7" s="1"/>
  <c r="N12" i="7" s="1"/>
  <c r="O12" i="7" l="1"/>
  <c r="B37" i="7" s="1"/>
  <c r="C37" i="7" s="1"/>
  <c r="B33" i="7"/>
  <c r="C33" i="7" s="1"/>
  <c r="B34" i="7"/>
  <c r="C34" i="7" s="1"/>
  <c r="B25" i="7"/>
  <c r="C25" i="7" s="1"/>
  <c r="B22" i="7"/>
  <c r="C22" i="7" s="1"/>
  <c r="B40" i="7"/>
  <c r="C40" i="7" s="1"/>
  <c r="B29" i="7"/>
  <c r="C29" i="7" s="1"/>
  <c r="B41" i="7"/>
  <c r="C41" i="7" s="1"/>
  <c r="B42" i="7"/>
  <c r="C42" i="7" s="1"/>
  <c r="B28" i="7"/>
  <c r="C28" i="7" s="1"/>
  <c r="B36" i="7"/>
  <c r="C36" i="7" s="1"/>
  <c r="B27" i="7"/>
  <c r="C27" i="7" s="1"/>
  <c r="B39" i="7"/>
  <c r="C39" i="7" s="1"/>
  <c r="B26" i="7"/>
  <c r="C26" i="7" s="1"/>
  <c r="B35" i="7"/>
  <c r="C35" i="7" s="1"/>
  <c r="B24" i="7"/>
  <c r="C24" i="7" s="1"/>
  <c r="B23" i="7"/>
  <c r="C23" i="7" s="1"/>
  <c r="B32" i="7"/>
  <c r="C32" i="7" s="1"/>
  <c r="B31" i="7"/>
  <c r="C31" i="7" s="1"/>
  <c r="B38" i="7"/>
  <c r="C38" i="7" s="1"/>
  <c r="B30" i="7"/>
  <c r="C30" i="7" s="1"/>
  <c r="E9" i="7" l="1"/>
  <c r="D32" i="7"/>
  <c r="D40" i="7"/>
  <c r="D23" i="7"/>
  <c r="D42" i="7"/>
  <c r="D33" i="7"/>
  <c r="D24" i="7"/>
  <c r="D31" i="7"/>
  <c r="D35" i="7"/>
  <c r="D36" i="7"/>
  <c r="D29" i="7"/>
  <c r="D34" i="7"/>
  <c r="D26" i="7"/>
  <c r="D28" i="7"/>
  <c r="D30" i="7"/>
  <c r="D39" i="7"/>
  <c r="D38" i="7"/>
  <c r="D27" i="7"/>
  <c r="D41" i="7"/>
  <c r="D25" i="7"/>
  <c r="D37" i="7"/>
</calcChain>
</file>

<file path=xl/sharedStrings.xml><?xml version="1.0" encoding="utf-8"?>
<sst xmlns="http://schemas.openxmlformats.org/spreadsheetml/2006/main" count="96" uniqueCount="89">
  <si>
    <t>Product</t>
  </si>
  <si>
    <t>Max Y Assumptions</t>
  </si>
  <si>
    <t>Pre-Tax Spend</t>
  </si>
  <si>
    <t>* Note: The above marroon colored values are used to construct lodish type response curve for Aquisition programs</t>
  </si>
  <si>
    <t>Purpose</t>
  </si>
  <si>
    <t>Creates a S type curve given (Xcurr,Ycurr), Ymin, Ymax. Uses equation proposed by Lodish.</t>
  </si>
  <si>
    <t>X unit</t>
  </si>
  <si>
    <t>Spend $</t>
  </si>
  <si>
    <t>Note 1: YELLOW cells need user input (some or optional)</t>
  </si>
  <si>
    <t>Channel</t>
  </si>
  <si>
    <t>Y unit</t>
  </si>
  <si>
    <t>Ybase</t>
  </si>
  <si>
    <t>Function Type</t>
  </si>
  <si>
    <t>S type curve estimation(Lodish). Adjusted with respect to Y base</t>
  </si>
  <si>
    <t>In here, lodish curve is applied to YLmin = Ybase + Ymin and YLmax = YLmin + Ymax.</t>
  </si>
  <si>
    <t xml:space="preserve">In terms of NRx, Ybase = Curr NRx; YLmin =  Curr NRx - Curr Incr. NRx(Yc).; YLMax = Curr NRx + Max Possible Incr. NRx (Ymax); Ymin = min Incr NRx for no investmet = 0; 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</si>
  <si>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</si>
  <si>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</si>
  <si>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</si>
  <si>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</si>
  <si>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</si>
  <si>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</si>
  <si>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</si>
  <si>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</si>
  <si>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</si>
  <si>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</si>
  <si>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</si>
  <si>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</si>
  <si>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</si>
  <si>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</si>
  <si>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</si>
  <si>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</si>
  <si>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</si>
  <si>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</si>
  <si>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</si>
  <si>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</si>
  <si>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</si>
  <si>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</si>
  <si>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</si>
  <si>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</si>
  <si>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</si>
  <si>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</si>
  <si>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</si>
  <si>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</si>
  <si>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</si>
  <si>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</si>
  <si>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</si>
  <si>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incr. NRx</t>
  </si>
  <si>
    <t xml:space="preserve">Spend </t>
  </si>
  <si>
    <t>ROI:</t>
  </si>
  <si>
    <t>Pre-tax</t>
  </si>
  <si>
    <t>Comments:</t>
  </si>
  <si>
    <t>Program</t>
  </si>
  <si>
    <t>Parameters for back-calculation of Incremental Rx</t>
  </si>
  <si>
    <t>Incr. Rx</t>
  </si>
  <si>
    <t xml:space="preserve"> Rx</t>
  </si>
  <si>
    <t>Merck GARDASIL Online Programs: Incremental Rx per Tactic with ROI, Spend and Incremental Revenue</t>
  </si>
  <si>
    <t>GARDASIL</t>
  </si>
  <si>
    <t># Incr. Doses</t>
  </si>
  <si>
    <t>Estimated Incr. Dose</t>
  </si>
  <si>
    <t>Estimated Incr. Dose (as % of NPA Dose)</t>
  </si>
  <si>
    <t>Spend per Dose</t>
  </si>
  <si>
    <t>Anticipated Max Incr. Dose</t>
  </si>
  <si>
    <t>Anticipated Max Incr. Dose (in %) when MCM spend is increased to infinity</t>
  </si>
  <si>
    <t>Total</t>
  </si>
  <si>
    <t>2018 Projection</t>
  </si>
  <si>
    <t>HCP MCM</t>
  </si>
  <si>
    <t>Measurement Time Period</t>
  </si>
  <si>
    <t>Pre-tax PGM/Dose</t>
  </si>
  <si>
    <t>Deep Intent</t>
  </si>
  <si>
    <t>Total GARDASIL Doses in 2020</t>
  </si>
  <si>
    <t>`</t>
  </si>
  <si>
    <t>*changed multipler from 2.5 to 1.5 after seeing a seemingly overallocation of resources to mcm</t>
  </si>
  <si>
    <t>Medscape</t>
  </si>
  <si>
    <t>Nexgen</t>
  </si>
  <si>
    <t>Doximity</t>
  </si>
  <si>
    <t>Pulsepoint</t>
  </si>
  <si>
    <t>2022 Tax-rate</t>
  </si>
  <si>
    <t>2022 Pre-tax PGM/Rx</t>
  </si>
  <si>
    <t>2022 Pre-tax PGM/NPV</t>
  </si>
  <si>
    <t>Use deepintent as proxy</t>
  </si>
  <si>
    <t>Epocrates</t>
  </si>
  <si>
    <t>Patient Point</t>
  </si>
  <si>
    <t>GARDASIL ADOLESCENT</t>
  </si>
  <si>
    <t>2023 Pre-tax Spend</t>
  </si>
  <si>
    <t>2022 Estimated pre-tax ROI</t>
  </si>
  <si>
    <t>2023 Estimated Pre-tax Revenue</t>
  </si>
  <si>
    <t>Back office TV (Jan22-Dec22)</t>
  </si>
  <si>
    <t>Previous Pre-tax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</si>
</sst>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* #,##0_);_(* \(#,##0\);_(* &quot;-&quot;??_);_(@_)"/>
    <numFmt numFmtId="167" formatCode="0.0%"/>
    <numFmt numFmtId="168" formatCode="0.0000"/>
    <numFmt numFmtId="169" formatCode="#,##0.0"/>
    <numFmt numFmtId="170" formatCode="0.0\ \t\o\ \1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0"/>
      <color theme="1"/>
      <name val="Arial Narrow"/>
      <family val="2"/>
    </font>
    <font>
      <sz val="10"/>
      <color rgb="FF0000FF"/>
      <name val="Arial Narrow"/>
      <family val="2"/>
    </font>
    <font>
      <b/>
      <sz val="11"/>
      <color rgb="FFC00000"/>
      <name val="Arial Narrow"/>
      <family val="2"/>
    </font>
    <font>
      <sz val="11"/>
      <color rgb="FFC00000"/>
      <name val="Arial Narrow"/>
      <family val="2"/>
    </font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9" fontId="9" fillId="0" borderId="0" applyFont="0" applyFill="0" applyBorder="0" applyAlignment="0" applyProtection="0"/>
  </cellStyleXfs>
  <cellXfs count="132">
    <xf numFmtId="0" fontId="0" fillId="0" borderId="0" xfId="0"/>
    <xf numFmtId="0" fontId="5" fillId="7" borderId="2" xfId="0" applyFont="1" applyFill="1" applyBorder="1"/>
    <xf numFmtId="0" fontId="6" fillId="0" borderId="0" xfId="0" applyFont="1"/>
    <xf numFmtId="0" fontId="5" fillId="7" borderId="3" xfId="0" applyFont="1" applyFill="1" applyBorder="1"/>
    <xf numFmtId="0" fontId="6" fillId="8" borderId="4" xfId="0" applyFont="1" applyFill="1" applyBorder="1"/>
    <xf numFmtId="0" fontId="5" fillId="7" borderId="4" xfId="0" applyFont="1" applyFill="1" applyBorder="1"/>
    <xf numFmtId="0" fontId="6" fillId="8" borderId="5" xfId="0" applyFont="1" applyFill="1" applyBorder="1"/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5" fillId="7" borderId="9" xfId="0" applyFont="1" applyFill="1" applyBorder="1"/>
    <xf numFmtId="0" fontId="6" fillId="8" borderId="2" xfId="0" applyFont="1" applyFill="1" applyBorder="1"/>
    <xf numFmtId="0" fontId="6" fillId="8" borderId="10" xfId="0" applyFont="1" applyFill="1" applyBorder="1"/>
    <xf numFmtId="0" fontId="5" fillId="7" borderId="11" xfId="0" applyFont="1" applyFill="1" applyBorder="1"/>
    <xf numFmtId="9" fontId="6" fillId="0" borderId="0" xfId="0" applyNumberFormat="1" applyFont="1"/>
    <xf numFmtId="0" fontId="5" fillId="7" borderId="1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165" fontId="6" fillId="8" borderId="24" xfId="2" applyNumberFormat="1" applyFont="1" applyFill="1" applyBorder="1"/>
    <xf numFmtId="165" fontId="7" fillId="9" borderId="25" xfId="2" applyNumberFormat="1" applyFont="1" applyFill="1" applyBorder="1"/>
    <xf numFmtId="3" fontId="7" fillId="9" borderId="26" xfId="0" applyNumberFormat="1" applyFont="1" applyFill="1" applyBorder="1"/>
    <xf numFmtId="3" fontId="6" fillId="8" borderId="24" xfId="0" applyNumberFormat="1" applyFont="1" applyFill="1" applyBorder="1"/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6" fillId="8" borderId="24" xfId="0" applyFont="1" applyFill="1" applyBorder="1"/>
    <xf numFmtId="166" fontId="6" fillId="8" borderId="28" xfId="1" applyNumberFormat="1" applyFont="1" applyFill="1" applyBorder="1"/>
    <xf numFmtId="166" fontId="6" fillId="10" borderId="24" xfId="0" applyNumberFormat="1" applyFont="1" applyFill="1" applyBorder="1" applyAlignment="1">
      <alignment horizontal="center" vertical="center" wrapText="1"/>
    </xf>
    <xf numFmtId="165" fontId="6" fillId="10" borderId="24" xfId="2" applyNumberFormat="1" applyFont="1" applyFill="1" applyBorder="1" applyAlignment="1">
      <alignment horizontal="center" vertical="center" wrapText="1"/>
    </xf>
    <xf numFmtId="0" fontId="6" fillId="10" borderId="24" xfId="0" applyFont="1" applyFill="1" applyBorder="1" applyAlignment="1">
      <alignment horizontal="center" vertical="center" wrapText="1"/>
    </xf>
    <xf numFmtId="0" fontId="6" fillId="10" borderId="24" xfId="0" applyNumberFormat="1" applyFont="1" applyFill="1" applyBorder="1" applyAlignment="1">
      <alignment horizontal="center" vertical="center" wrapText="1"/>
    </xf>
    <xf numFmtId="166" fontId="6" fillId="10" borderId="28" xfId="0" applyNumberFormat="1" applyFont="1" applyFill="1" applyBorder="1" applyAlignment="1">
      <alignment horizontal="center" vertical="center" wrapText="1"/>
    </xf>
    <xf numFmtId="164" fontId="6" fillId="8" borderId="24" xfId="2" applyNumberFormat="1" applyFont="1" applyFill="1" applyBorder="1"/>
    <xf numFmtId="164" fontId="6" fillId="8" borderId="24" xfId="0" applyNumberFormat="1" applyFont="1" applyFill="1" applyBorder="1"/>
    <xf numFmtId="0" fontId="6" fillId="10" borderId="28" xfId="0" applyFont="1" applyFill="1" applyBorder="1"/>
    <xf numFmtId="3" fontId="6" fillId="0" borderId="1" xfId="0" applyNumberFormat="1" applyFont="1" applyBorder="1"/>
    <xf numFmtId="164" fontId="6" fillId="0" borderId="1" xfId="0" applyNumberFormat="1" applyFont="1" applyBorder="1"/>
    <xf numFmtId="5" fontId="6" fillId="0" borderId="0" xfId="0" applyNumberFormat="1" applyFont="1"/>
    <xf numFmtId="0" fontId="6" fillId="0" borderId="0" xfId="0" applyNumberFormat="1" applyFont="1"/>
    <xf numFmtId="0" fontId="6" fillId="0" borderId="0" xfId="0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13" fillId="0" borderId="0" xfId="0" applyFont="1"/>
    <xf numFmtId="0" fontId="14" fillId="2" borderId="0" xfId="4" applyFont="1"/>
    <xf numFmtId="0" fontId="15" fillId="6" borderId="1" xfId="0" applyFont="1" applyFill="1" applyBorder="1" applyAlignment="1">
      <alignment wrapText="1"/>
    </xf>
    <xf numFmtId="0" fontId="13" fillId="0" borderId="0" xfId="0" applyFont="1" applyFill="1"/>
    <xf numFmtId="5" fontId="14" fillId="2" borderId="0" xfId="4" applyNumberFormat="1" applyFont="1"/>
    <xf numFmtId="165" fontId="17" fillId="5" borderId="1" xfId="0" applyNumberFormat="1" applyFont="1" applyFill="1" applyBorder="1" applyAlignment="1">
      <alignment horizontal="center" vertical="center"/>
    </xf>
    <xf numFmtId="166" fontId="17" fillId="5" borderId="1" xfId="0" applyNumberFormat="1" applyFont="1" applyFill="1" applyBorder="1" applyAlignment="1">
      <alignment horizontal="center" vertical="center"/>
    </xf>
    <xf numFmtId="10" fontId="11" fillId="5" borderId="1" xfId="3" applyNumberFormat="1" applyFont="1" applyFill="1" applyBorder="1" applyAlignment="1">
      <alignment horizontal="center" vertical="center"/>
    </xf>
    <xf numFmtId="44" fontId="11" fillId="5" borderId="1" xfId="2" applyFont="1" applyFill="1" applyBorder="1" applyAlignment="1">
      <alignment horizontal="center" vertical="center"/>
    </xf>
    <xf numFmtId="166" fontId="17" fillId="5" borderId="1" xfId="1" applyNumberFormat="1" applyFont="1" applyFill="1" applyBorder="1" applyAlignment="1">
      <alignment horizontal="center" vertical="center"/>
    </xf>
    <xf numFmtId="0" fontId="14" fillId="0" borderId="0" xfId="4" applyFont="1" applyFill="1"/>
    <xf numFmtId="5" fontId="14" fillId="0" borderId="0" xfId="4" applyNumberFormat="1" applyFont="1" applyFill="1"/>
    <xf numFmtId="0" fontId="18" fillId="0" borderId="0" xfId="0" applyFont="1" applyFill="1"/>
    <xf numFmtId="0" fontId="1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7" fontId="17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44" fontId="1" fillId="5" borderId="1" xfId="2" applyFont="1" applyFill="1" applyBorder="1" applyAlignment="1">
      <alignment horizontal="center" vertical="center" wrapText="1"/>
    </xf>
    <xf numFmtId="164" fontId="6" fillId="11" borderId="1" xfId="0" applyNumberFormat="1" applyFont="1" applyFill="1" applyBorder="1"/>
    <xf numFmtId="3" fontId="6" fillId="11" borderId="1" xfId="0" applyNumberFormat="1" applyFont="1" applyFill="1" applyBorder="1"/>
    <xf numFmtId="5" fontId="6" fillId="11" borderId="0" xfId="0" applyNumberFormat="1" applyFont="1" applyFill="1"/>
    <xf numFmtId="0" fontId="6" fillId="11" borderId="0" xfId="0" applyNumberFormat="1" applyFont="1" applyFill="1"/>
    <xf numFmtId="0" fontId="10" fillId="0" borderId="0" xfId="0" applyFont="1" applyFill="1" applyBorder="1" applyAlignment="1">
      <alignment horizontal="left"/>
    </xf>
    <xf numFmtId="165" fontId="0" fillId="0" borderId="0" xfId="2" applyNumberFormat="1" applyFont="1"/>
    <xf numFmtId="3" fontId="16" fillId="0" borderId="1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Border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 indent="1"/>
    </xf>
    <xf numFmtId="164" fontId="19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3" fontId="21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164" fontId="0" fillId="0" borderId="0" xfId="2" applyNumberFormat="1" applyFont="1" applyAlignment="1">
      <alignment horizontal="center"/>
    </xf>
    <xf numFmtId="165" fontId="22" fillId="0" borderId="0" xfId="0" applyNumberFormat="1" applyFont="1"/>
    <xf numFmtId="165" fontId="0" fillId="0" borderId="0" xfId="2" applyNumberFormat="1" applyFont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/>
    <xf numFmtId="3" fontId="6" fillId="0" borderId="1" xfId="0" applyNumberFormat="1" applyFont="1" applyFill="1" applyBorder="1"/>
    <xf numFmtId="5" fontId="6" fillId="0" borderId="0" xfId="0" applyNumberFormat="1" applyFont="1" applyFill="1"/>
    <xf numFmtId="0" fontId="6" fillId="0" borderId="0" xfId="0" applyNumberFormat="1" applyFont="1" applyFill="1"/>
    <xf numFmtId="0" fontId="6" fillId="0" borderId="0" xfId="0" applyFont="1" applyFill="1"/>
    <xf numFmtId="164" fontId="6" fillId="12" borderId="1" xfId="0" applyNumberFormat="1" applyFont="1" applyFill="1" applyBorder="1"/>
    <xf numFmtId="3" fontId="6" fillId="12" borderId="1" xfId="0" applyNumberFormat="1" applyFont="1" applyFill="1" applyBorder="1"/>
    <xf numFmtId="5" fontId="6" fillId="12" borderId="0" xfId="0" applyNumberFormat="1" applyFont="1" applyFill="1"/>
    <xf numFmtId="0" fontId="6" fillId="12" borderId="0" xfId="0" applyNumberFormat="1" applyFont="1" applyFill="1"/>
    <xf numFmtId="164" fontId="0" fillId="0" borderId="0" xfId="0" applyNumberFormat="1" applyBorder="1"/>
    <xf numFmtId="164" fontId="0" fillId="0" borderId="0" xfId="0" applyNumberFormat="1"/>
    <xf numFmtId="168" fontId="0" fillId="0" borderId="0" xfId="0" applyNumberFormat="1" applyBorder="1"/>
    <xf numFmtId="0" fontId="1" fillId="0" borderId="0" xfId="0" applyFont="1" applyFill="1"/>
    <xf numFmtId="0" fontId="23" fillId="12" borderId="36" xfId="0" applyFont="1" applyFill="1" applyBorder="1" applyAlignment="1">
      <alignment horizontal="center" vertical="center"/>
    </xf>
    <xf numFmtId="0" fontId="23" fillId="12" borderId="36" xfId="0" applyFont="1" applyFill="1" applyBorder="1" applyAlignment="1">
      <alignment horizontal="center" vertical="center" wrapText="1"/>
    </xf>
    <xf numFmtId="0" fontId="24" fillId="12" borderId="36" xfId="0" applyFont="1" applyFill="1" applyBorder="1" applyAlignment="1">
      <alignment horizontal="center" vertical="center" wrapText="1"/>
    </xf>
    <xf numFmtId="0" fontId="25" fillId="0" borderId="36" xfId="0" applyFont="1" applyBorder="1" applyAlignment="1">
      <alignment horizontal="center" vertical="center"/>
    </xf>
    <xf numFmtId="0" fontId="25" fillId="0" borderId="36" xfId="0" applyFont="1" applyBorder="1" applyAlignment="1">
      <alignment horizontal="left" vertical="center"/>
    </xf>
    <xf numFmtId="164" fontId="25" fillId="0" borderId="36" xfId="0" applyNumberFormat="1" applyFont="1" applyBorder="1" applyAlignment="1">
      <alignment horizontal="center" vertical="center"/>
    </xf>
    <xf numFmtId="169" fontId="25" fillId="0" borderId="36" xfId="0" applyNumberFormat="1" applyFont="1" applyBorder="1" applyAlignment="1">
      <alignment horizontal="center" vertical="center"/>
    </xf>
    <xf numFmtId="3" fontId="25" fillId="0" borderId="36" xfId="0" applyNumberFormat="1" applyFont="1" applyBorder="1" applyAlignment="1">
      <alignment horizontal="center" vertical="center"/>
    </xf>
    <xf numFmtId="0" fontId="25" fillId="0" borderId="36" xfId="0" applyFont="1" applyBorder="1" applyAlignment="1">
      <alignment horizontal="left" vertical="center" wrapText="1"/>
    </xf>
    <xf numFmtId="1" fontId="25" fillId="0" borderId="36" xfId="0" applyNumberFormat="1" applyFont="1" applyBorder="1" applyAlignment="1">
      <alignment horizontal="center" vertical="center"/>
    </xf>
    <xf numFmtId="164" fontId="23" fillId="12" borderId="36" xfId="0" applyNumberFormat="1" applyFont="1" applyFill="1" applyBorder="1" applyAlignment="1">
      <alignment horizontal="center" vertical="center"/>
    </xf>
    <xf numFmtId="170" fontId="23" fillId="12" borderId="36" xfId="0" applyNumberFormat="1" applyFont="1" applyFill="1" applyBorder="1" applyAlignment="1">
      <alignment horizontal="center" vertical="center"/>
    </xf>
    <xf numFmtId="3" fontId="23" fillId="12" borderId="36" xfId="0" applyNumberFormat="1" applyFont="1" applyFill="1" applyBorder="1" applyAlignment="1">
      <alignment horizontal="center" vertical="center"/>
    </xf>
    <xf numFmtId="0" fontId="26" fillId="12" borderId="36" xfId="0" applyFont="1" applyFill="1" applyBorder="1" applyAlignment="1">
      <alignment horizontal="center" wrapText="1"/>
    </xf>
    <xf numFmtId="0" fontId="23" fillId="12" borderId="37" xfId="0" applyFont="1" applyFill="1" applyBorder="1" applyAlignment="1">
      <alignment horizontal="center" vertical="center"/>
    </xf>
    <xf numFmtId="0" fontId="23" fillId="12" borderId="38" xfId="0" applyFont="1" applyFill="1" applyBorder="1" applyAlignment="1">
      <alignment horizontal="center" vertical="center"/>
    </xf>
    <xf numFmtId="0" fontId="12" fillId="3" borderId="0" xfId="5" applyFont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6" fillId="7" borderId="12" xfId="0" applyFont="1" applyFill="1" applyBorder="1" applyAlignment="1">
      <alignment horizontal="center" wrapText="1"/>
    </xf>
    <xf numFmtId="0" fontId="6" fillId="7" borderId="1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27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</cellXfs>
  <cellStyles count="14">
    <cellStyle name="60% - Accent1" xfId="4" builtinId="32"/>
    <cellStyle name="60% - Accent4" xfId="5" builtinId="44"/>
    <cellStyle name="Comma" xfId="1" builtinId="3"/>
    <cellStyle name="Comma 2" xfId="6" xr:uid="{00000000-0005-0000-0000-000003000000}"/>
    <cellStyle name="Comma 2 2" xfId="7" xr:uid="{00000000-0005-0000-0000-000004000000}"/>
    <cellStyle name="Comma 2 3" xfId="8" xr:uid="{00000000-0005-0000-0000-000005000000}"/>
    <cellStyle name="Currency" xfId="2" builtinId="4"/>
    <cellStyle name="Currency 2" xfId="9" xr:uid="{00000000-0005-0000-0000-000007000000}"/>
    <cellStyle name="Normal" xfId="0" builtinId="0"/>
    <cellStyle name="Normal 2" xfId="10" xr:uid="{00000000-0005-0000-0000-000009000000}"/>
    <cellStyle name="Normal 2 2" xfId="11" xr:uid="{00000000-0005-0000-0000-00000A000000}"/>
    <cellStyle name="Normal 2 3" xfId="12" xr:uid="{00000000-0005-0000-0000-00000B000000}"/>
    <cellStyle name="Percent" xfId="3" builtinId="5"/>
    <cellStyle name="Percent 2" xfId="13" xr:uid="{00000000-0005-0000-0000-00000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Curve: HCP MCM</a:t>
            </a:r>
          </a:p>
        </c:rich>
      </c:tx>
      <c:layout>
        <c:manualLayout>
          <c:xMode val="edge"/>
          <c:yMode val="edge"/>
          <c:x val="0.3113975099703446"/>
          <c:y val="4.06779661016949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461324575189843"/>
          <c:y val="0.15277917287366105"/>
          <c:w val="0.69167370145026763"/>
          <c:h val="0.64334482514010072"/>
        </c:manualLayout>
      </c:layout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xVal>
            <c:numRef>
              <c:f>'HCP MCM SCurve'!$B$12</c:f>
              <c:numCache>
                <c:formatCode>_("$"* #,##0_);_("$"* \(#,##0\);_("$"* "-"??_);_(@_)</c:formatCode>
                <c:ptCount val="1"/>
                <c:pt idx="0">
                  <c:v>5365372.8900000006</c:v>
                </c:pt>
              </c:numCache>
            </c:numRef>
          </c:xVal>
          <c:yVal>
            <c:numRef>
              <c:f>'HCP MCM SCurve'!$C$12</c:f>
              <c:numCache>
                <c:formatCode>#,##0</c:formatCode>
                <c:ptCount val="1"/>
                <c:pt idx="0">
                  <c:v>271478.24772726599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5-4932-86DD-778C0A9F1B7E}"/>
            </c:ext>
          </c:extLst>
        </c:ser>
        <c:ser>
          <c:idx val="1"/>
          <c:order val="1"/>
          <c:tx>
            <c:strRef>
              <c:f>'HCP MCM SCurve'!$D$3</c:f>
              <c:strCache>
                <c:ptCount val="1"/>
                <c:pt idx="0">
                  <c:v>Incr. Rx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'HCP MCM SCurve'!$A$22:$A$42</c:f>
              <c:numCache>
                <c:formatCode>"$"#,##0</c:formatCode>
                <c:ptCount val="21"/>
                <c:pt idx="0">
                  <c:v>0</c:v>
                </c:pt>
                <c:pt idx="1">
                  <c:v>650000</c:v>
                </c:pt>
                <c:pt idx="2">
                  <c:v>1300000</c:v>
                </c:pt>
                <c:pt idx="3">
                  <c:v>1950000</c:v>
                </c:pt>
                <c:pt idx="4">
                  <c:v>2600000</c:v>
                </c:pt>
                <c:pt idx="5">
                  <c:v>3250000</c:v>
                </c:pt>
                <c:pt idx="6">
                  <c:v>3900000</c:v>
                </c:pt>
                <c:pt idx="7">
                  <c:v>4550000</c:v>
                </c:pt>
                <c:pt idx="8">
                  <c:v>5200000</c:v>
                </c:pt>
                <c:pt idx="9">
                  <c:v>5850000</c:v>
                </c:pt>
                <c:pt idx="10">
                  <c:v>6500000</c:v>
                </c:pt>
                <c:pt idx="11">
                  <c:v>7150000</c:v>
                </c:pt>
                <c:pt idx="12">
                  <c:v>7800000</c:v>
                </c:pt>
                <c:pt idx="13">
                  <c:v>8450000</c:v>
                </c:pt>
                <c:pt idx="14">
                  <c:v>9100000</c:v>
                </c:pt>
                <c:pt idx="15">
                  <c:v>9750000</c:v>
                </c:pt>
                <c:pt idx="16">
                  <c:v>10400000</c:v>
                </c:pt>
                <c:pt idx="17">
                  <c:v>11050000</c:v>
                </c:pt>
                <c:pt idx="18">
                  <c:v>11700000</c:v>
                </c:pt>
                <c:pt idx="19">
                  <c:v>12350000</c:v>
                </c:pt>
                <c:pt idx="20">
                  <c:v>13000000</c:v>
                </c:pt>
              </c:numCache>
            </c:numRef>
          </c:xVal>
          <c:yVal>
            <c:numRef>
              <c:f>'HCP MCM SCurve'!$B$22:$B$42</c:f>
              <c:numCache>
                <c:formatCode>#,##0</c:formatCode>
                <c:ptCount val="21"/>
                <c:pt idx="0">
                  <c:v>0</c:v>
                </c:pt>
                <c:pt idx="1">
                  <c:v>43993.654269350693</c:v>
                </c:pt>
                <c:pt idx="2">
                  <c:v>84428.268939165398</c:v>
                </c:pt>
                <c:pt idx="3">
                  <c:v>121559.85076316632</c:v>
                </c:pt>
                <c:pt idx="4">
                  <c:v>155631.32550079003</c:v>
                </c:pt>
                <c:pt idx="5">
                  <c:v>186872.25747648627</c:v>
                </c:pt>
                <c:pt idx="6">
                  <c:v>215498.78777608648</c:v>
                </c:pt>
                <c:pt idx="7">
                  <c:v>241713.75055661984</c:v>
                </c:pt>
                <c:pt idx="8">
                  <c:v>265706.93161760643</c:v>
                </c:pt>
                <c:pt idx="9">
                  <c:v>287655.43794665299</c:v>
                </c:pt>
                <c:pt idx="10">
                  <c:v>307724.15128397383</c:v>
                </c:pt>
                <c:pt idx="11">
                  <c:v>326066.24276737869</c:v>
                </c:pt>
                <c:pt idx="12">
                  <c:v>342823.72937526181</c:v>
                </c:pt>
                <c:pt idx="13">
                  <c:v>358128.05615977384</c:v>
                </c:pt>
                <c:pt idx="14">
                  <c:v>372100.69115561992</c:v>
                </c:pt>
                <c:pt idx="15">
                  <c:v>384853.72237488814</c:v>
                </c:pt>
                <c:pt idx="16">
                  <c:v>396490.44847736508</c:v>
                </c:pt>
                <c:pt idx="17">
                  <c:v>407105.95656677522</c:v>
                </c:pt>
                <c:pt idx="18">
                  <c:v>416787.68213673681</c:v>
                </c:pt>
                <c:pt idx="19">
                  <c:v>425615.94750739634</c:v>
                </c:pt>
                <c:pt idx="20">
                  <c:v>433664.47618544474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5-4932-86DD-778C0A9F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20320"/>
        <c:axId val="493722624"/>
      </c:scatterChart>
      <c:valAx>
        <c:axId val="493720320"/>
        <c:scaling>
          <c:orientation val="minMax"/>
          <c:max val="9000000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 Spend ($ MM)</a:t>
                </a:r>
              </a:p>
            </c:rich>
          </c:tx>
          <c:layout>
            <c:manualLayout>
              <c:xMode val="edge"/>
              <c:yMode val="edge"/>
              <c:x val="0.38385556065604381"/>
              <c:y val="0.919185358586933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93722624"/>
        <c:crosses val="autoZero"/>
        <c:crossBetween val="midCat"/>
        <c:majorUnit val="1000000"/>
        <c:dispUnits>
          <c:builtInUnit val="millions"/>
        </c:dispUnits>
      </c:valAx>
      <c:valAx>
        <c:axId val="49372262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Incremental Rx</a:t>
                </a:r>
              </a:p>
            </c:rich>
          </c:tx>
          <c:layout>
            <c:manualLayout>
              <c:xMode val="edge"/>
              <c:yMode val="edge"/>
              <c:x val="2.3445648839349627E-2"/>
              <c:y val="0.3059467058143155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493720320"/>
        <c:crosses val="autoZero"/>
        <c:crossBetween val="midCat"/>
        <c:dispUnits>
          <c:builtInUnit val="thousands"/>
          <c:dispUnitsLbl/>
        </c:dispUnits>
      </c:valAx>
      <c:spPr>
        <a:noFill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18</xdr:row>
      <xdr:rowOff>123826</xdr:rowOff>
    </xdr:from>
    <xdr:to>
      <xdr:col>11</xdr:col>
      <xdr:colOff>76201</xdr:colOff>
      <xdr:row>40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showGridLines="0" zoomScale="80" zoomScaleNormal="80" workbookViewId="0">
      <selection activeCell="H4" sqref="H4"/>
    </sheetView>
  </sheetViews>
  <sheetFormatPr defaultColWidth="11.85546875" defaultRowHeight="15" x14ac:dyDescent="0.25"/>
  <cols>
    <col min="1" max="1" width="9.28515625" bestFit="1" customWidth="1"/>
    <col min="2" max="2" width="23.85546875" bestFit="1" customWidth="1"/>
    <col min="3" max="3" width="31.28515625" customWidth="1"/>
    <col min="4" max="4" width="13.85546875" bestFit="1" customWidth="1"/>
    <col min="5" max="5" width="13.85546875" customWidth="1"/>
    <col min="6" max="6" width="17.7109375" customWidth="1"/>
    <col min="7" max="7" width="11.7109375" customWidth="1"/>
    <col min="8" max="8" width="18.42578125" bestFit="1" customWidth="1"/>
    <col min="9" max="9" width="14.5703125" bestFit="1" customWidth="1"/>
    <col min="10" max="10" width="15.5703125" customWidth="1"/>
    <col min="11" max="11" width="50.28515625" customWidth="1"/>
  </cols>
  <sheetData>
    <row r="1" spans="1:12" ht="21" customHeight="1" x14ac:dyDescent="0.25">
      <c r="B1" s="67"/>
      <c r="C1" s="67"/>
      <c r="D1" s="67"/>
      <c r="E1" s="67"/>
    </row>
    <row r="2" spans="1:12" x14ac:dyDescent="0.25">
      <c r="B2" s="64"/>
    </row>
    <row r="3" spans="1:12" ht="33.75" customHeight="1" x14ac:dyDescent="0.25">
      <c r="B3" s="93" t="s">
        <v>0</v>
      </c>
      <c r="C3" s="93" t="s">
        <v>52</v>
      </c>
      <c r="D3" s="94" t="s">
        <v>84</v>
      </c>
      <c r="E3" s="94" t="s">
        <v>88</v>
      </c>
      <c r="F3" s="94" t="s">
        <v>85</v>
      </c>
      <c r="G3" s="94" t="s">
        <v>68</v>
      </c>
      <c r="H3" s="94" t="s">
        <v>86</v>
      </c>
      <c r="I3" s="93" t="s">
        <v>58</v>
      </c>
      <c r="J3" s="94" t="s">
        <v>67</v>
      </c>
      <c r="K3" s="95" t="s">
        <v>51</v>
      </c>
    </row>
    <row r="4" spans="1:12" ht="18" customHeight="1" x14ac:dyDescent="0.25">
      <c r="A4" s="79"/>
      <c r="B4" s="96" t="s">
        <v>83</v>
      </c>
      <c r="C4" s="97" t="s">
        <v>69</v>
      </c>
      <c r="D4" s="98">
        <v>87137.890000000014</v>
      </c>
      <c r="E4" s="99">
        <v>8.6034012687017114</v>
      </c>
      <c r="F4" s="99">
        <v>8.6034012687017114</v>
      </c>
      <c r="G4" s="98">
        <v>225.94</v>
      </c>
      <c r="H4" s="98">
        <f>F4*D4</f>
        <v>749682.23337799031</v>
      </c>
      <c r="I4" s="100">
        <f>H4/G4</f>
        <v>3318.0589243958143</v>
      </c>
      <c r="J4" s="102">
        <v>2022</v>
      </c>
      <c r="K4" s="101"/>
    </row>
    <row r="5" spans="1:12" ht="18" customHeight="1" x14ac:dyDescent="0.25">
      <c r="A5" s="79"/>
      <c r="B5" s="96" t="s">
        <v>83</v>
      </c>
      <c r="C5" s="97" t="s">
        <v>73</v>
      </c>
      <c r="D5" s="98">
        <v>534302</v>
      </c>
      <c r="E5" s="99">
        <v>6.12511419607827</v>
      </c>
      <c r="F5" s="99">
        <v>6.12511419607827</v>
      </c>
      <c r="G5" s="98">
        <v>225.94</v>
      </c>
      <c r="H5" s="98">
        <f>F5*D5</f>
        <v>3272660.7651930116</v>
      </c>
      <c r="I5" s="100">
        <f t="shared" ref="I5:I10" si="0">H5/G5</f>
        <v>14484.645327047056</v>
      </c>
      <c r="J5" s="102">
        <v>2022</v>
      </c>
      <c r="K5" s="101"/>
    </row>
    <row r="6" spans="1:12" ht="18" customHeight="1" x14ac:dyDescent="0.25">
      <c r="A6" s="79"/>
      <c r="B6" s="96" t="s">
        <v>83</v>
      </c>
      <c r="C6" s="97" t="s">
        <v>74</v>
      </c>
      <c r="D6" s="98">
        <v>540000</v>
      </c>
      <c r="E6" s="99">
        <v>19.814141005744411</v>
      </c>
      <c r="F6" s="99">
        <v>19.814141005744411</v>
      </c>
      <c r="G6" s="98">
        <v>225.94</v>
      </c>
      <c r="H6" s="98">
        <f t="shared" ref="H6:H10" si="1">F6*D6</f>
        <v>10699636.143101981</v>
      </c>
      <c r="I6" s="100">
        <f t="shared" si="0"/>
        <v>47356.095171735775</v>
      </c>
      <c r="J6" s="102">
        <v>2022</v>
      </c>
      <c r="K6" s="101"/>
    </row>
    <row r="7" spans="1:12" ht="18" customHeight="1" x14ac:dyDescent="0.25">
      <c r="A7" s="79"/>
      <c r="B7" s="96" t="s">
        <v>83</v>
      </c>
      <c r="C7" s="97" t="s">
        <v>75</v>
      </c>
      <c r="D7" s="98">
        <v>3000000</v>
      </c>
      <c r="E7" s="99">
        <v>13.210045565836371</v>
      </c>
      <c r="F7" s="99">
        <v>13.210045565836371</v>
      </c>
      <c r="G7" s="98">
        <v>225.94</v>
      </c>
      <c r="H7" s="98">
        <f t="shared" si="1"/>
        <v>39630136.69750911</v>
      </c>
      <c r="I7" s="100">
        <f t="shared" si="0"/>
        <v>175401.15383512928</v>
      </c>
      <c r="J7" s="102">
        <v>2022</v>
      </c>
      <c r="K7" s="101"/>
    </row>
    <row r="8" spans="1:12" ht="18" customHeight="1" x14ac:dyDescent="0.25">
      <c r="A8" s="79"/>
      <c r="B8" s="96" t="s">
        <v>83</v>
      </c>
      <c r="C8" s="97" t="s">
        <v>76</v>
      </c>
      <c r="D8" s="98">
        <v>75000</v>
      </c>
      <c r="E8" s="99">
        <f>E4</f>
        <v>8.6034012687017114</v>
      </c>
      <c r="F8" s="99">
        <f>F4</f>
        <v>8.6034012687017114</v>
      </c>
      <c r="G8" s="98">
        <v>225.94</v>
      </c>
      <c r="H8" s="98">
        <f t="shared" si="1"/>
        <v>645255.09515262838</v>
      </c>
      <c r="I8" s="100">
        <f t="shared" si="0"/>
        <v>2855.8692358707108</v>
      </c>
      <c r="J8" s="102">
        <v>2022</v>
      </c>
      <c r="K8" s="101" t="s">
        <v>80</v>
      </c>
    </row>
    <row r="9" spans="1:12" ht="18" customHeight="1" x14ac:dyDescent="0.25">
      <c r="A9" s="79"/>
      <c r="B9" s="96" t="s">
        <v>83</v>
      </c>
      <c r="C9" s="97" t="s">
        <v>81</v>
      </c>
      <c r="D9" s="98">
        <v>250000</v>
      </c>
      <c r="E9" s="99">
        <v>21.650651840166955</v>
      </c>
      <c r="F9" s="99">
        <v>21.650651840166955</v>
      </c>
      <c r="G9" s="98">
        <v>225.94</v>
      </c>
      <c r="H9" s="98">
        <f t="shared" si="1"/>
        <v>5412662.960041739</v>
      </c>
      <c r="I9" s="100">
        <f t="shared" si="0"/>
        <v>23956.196158456842</v>
      </c>
      <c r="J9" s="102">
        <v>2022</v>
      </c>
      <c r="K9" s="101"/>
    </row>
    <row r="10" spans="1:12" ht="18" customHeight="1" x14ac:dyDescent="0.25">
      <c r="A10" s="79"/>
      <c r="B10" s="96" t="s">
        <v>83</v>
      </c>
      <c r="C10" s="97" t="s">
        <v>82</v>
      </c>
      <c r="D10" s="98">
        <v>878933</v>
      </c>
      <c r="E10" s="99">
        <v>4.766674221278743</v>
      </c>
      <c r="F10" s="99">
        <v>1.9085000000000001</v>
      </c>
      <c r="G10" s="98">
        <v>225.94</v>
      </c>
      <c r="H10" s="98">
        <f t="shared" si="1"/>
        <v>1677443.6305</v>
      </c>
      <c r="I10" s="100">
        <f t="shared" si="0"/>
        <v>7424.28799902629</v>
      </c>
      <c r="J10" s="102">
        <v>2022</v>
      </c>
      <c r="K10" s="101" t="s">
        <v>87</v>
      </c>
    </row>
    <row r="11" spans="1:12" ht="18" customHeight="1" x14ac:dyDescent="0.25">
      <c r="B11" s="107" t="s">
        <v>64</v>
      </c>
      <c r="C11" s="108"/>
      <c r="D11" s="103">
        <f>SUM(D4:D10)</f>
        <v>5365372.8900000006</v>
      </c>
      <c r="E11" s="104">
        <v>12.040099074587832</v>
      </c>
      <c r="F11" s="104">
        <f>H11/D11</f>
        <v>11.571884899294755</v>
      </c>
      <c r="G11" s="103"/>
      <c r="H11" s="103">
        <f>SUM(H4:H10)</f>
        <v>62087477.52487646</v>
      </c>
      <c r="I11" s="105">
        <f>SUM(I5:I10)</f>
        <v>271478.24772726599</v>
      </c>
      <c r="J11" s="105"/>
      <c r="K11" s="106"/>
    </row>
    <row r="13" spans="1:12" x14ac:dyDescent="0.25">
      <c r="C13" t="s">
        <v>71</v>
      </c>
      <c r="D13" s="90">
        <f>SUM(D6:D10)</f>
        <v>4743933</v>
      </c>
      <c r="E13" s="90"/>
      <c r="H13" s="90">
        <f>SUM(H6:H10)</f>
        <v>58065134.526305467</v>
      </c>
    </row>
    <row r="14" spans="1:12" x14ac:dyDescent="0.25">
      <c r="B14" s="68"/>
      <c r="C14" s="68"/>
      <c r="D14" s="89"/>
      <c r="E14" s="89"/>
      <c r="F14" s="68"/>
      <c r="G14" s="68"/>
      <c r="H14" s="91"/>
      <c r="I14" s="68"/>
      <c r="J14" s="68"/>
      <c r="K14" s="68"/>
      <c r="L14" s="68"/>
    </row>
    <row r="15" spans="1:12" ht="15.75" x14ac:dyDescent="0.25">
      <c r="B15" s="69"/>
      <c r="C15" s="70"/>
      <c r="D15" s="71"/>
      <c r="E15" s="71"/>
      <c r="F15" s="72"/>
      <c r="G15" s="71"/>
      <c r="H15" s="71"/>
      <c r="I15" s="73"/>
      <c r="J15" s="73"/>
      <c r="K15" s="74"/>
      <c r="L15" s="68"/>
    </row>
    <row r="16" spans="1:12" x14ac:dyDescent="0.25"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</row>
    <row r="17" spans="2:12" x14ac:dyDescent="0.25">
      <c r="B17" s="68"/>
      <c r="C17" s="75"/>
      <c r="D17" s="75"/>
      <c r="E17" s="75"/>
      <c r="F17" s="68"/>
      <c r="G17" s="68"/>
      <c r="I17" s="65"/>
      <c r="J17" s="68"/>
      <c r="K17" s="68"/>
      <c r="L17" s="68"/>
    </row>
    <row r="18" spans="2:12" x14ac:dyDescent="0.25">
      <c r="C18" s="76"/>
      <c r="D18" s="76"/>
      <c r="E18" s="76"/>
      <c r="I18" s="65"/>
    </row>
    <row r="19" spans="2:12" x14ac:dyDescent="0.25">
      <c r="I19" s="65"/>
    </row>
    <row r="20" spans="2:12" x14ac:dyDescent="0.25">
      <c r="I20" s="65"/>
    </row>
    <row r="21" spans="2:12" x14ac:dyDescent="0.25">
      <c r="I21" s="65"/>
    </row>
    <row r="22" spans="2:12" x14ac:dyDescent="0.25">
      <c r="I22" s="65"/>
    </row>
    <row r="23" spans="2:12" x14ac:dyDescent="0.25">
      <c r="B23" s="68"/>
      <c r="C23" s="68"/>
      <c r="D23" s="68"/>
      <c r="E23" s="68"/>
      <c r="I23" s="65"/>
    </row>
    <row r="24" spans="2:12" x14ac:dyDescent="0.25">
      <c r="B24" s="68"/>
      <c r="C24" s="68"/>
      <c r="D24" s="68"/>
      <c r="E24" s="68"/>
      <c r="I24" s="65"/>
    </row>
    <row r="25" spans="2:12" x14ac:dyDescent="0.25">
      <c r="B25" s="78"/>
      <c r="C25" s="78"/>
      <c r="D25" s="78"/>
      <c r="E25" s="78"/>
      <c r="I25" s="65"/>
    </row>
    <row r="26" spans="2:12" x14ac:dyDescent="0.25">
      <c r="B26" s="68"/>
      <c r="C26" s="68"/>
      <c r="D26" s="68"/>
      <c r="E26" s="68"/>
      <c r="I26" s="77"/>
    </row>
  </sheetData>
  <mergeCells count="1">
    <mergeCell ref="B11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showGridLines="0" zoomScaleNormal="100" workbookViewId="0">
      <selection activeCell="M5" sqref="M5"/>
    </sheetView>
  </sheetViews>
  <sheetFormatPr defaultColWidth="9.140625" defaultRowHeight="16.5" x14ac:dyDescent="0.3"/>
  <cols>
    <col min="1" max="1" width="6" style="42" bestFit="1" customWidth="1"/>
    <col min="2" max="2" width="8" style="42" bestFit="1" customWidth="1"/>
    <col min="3" max="3" width="40.28515625" style="42" bestFit="1" customWidth="1"/>
    <col min="4" max="4" width="7.28515625" style="42" bestFit="1" customWidth="1"/>
    <col min="5" max="5" width="4.5703125" style="42" customWidth="1"/>
    <col min="6" max="6" width="18" style="42" bestFit="1" customWidth="1"/>
    <col min="7" max="7" width="3.5703125" style="42" customWidth="1"/>
    <col min="8" max="8" width="14.140625" style="42" bestFit="1" customWidth="1"/>
    <col min="9" max="9" width="12.28515625" style="42" customWidth="1"/>
    <col min="10" max="10" width="12.140625" style="42" customWidth="1"/>
    <col min="11" max="11" width="14.28515625" style="42" customWidth="1"/>
    <col min="12" max="12" width="15.140625" style="42" customWidth="1"/>
    <col min="13" max="13" width="11.7109375" style="42" customWidth="1"/>
    <col min="14" max="16384" width="9.140625" style="42"/>
  </cols>
  <sheetData>
    <row r="1" spans="1:13" x14ac:dyDescent="0.3">
      <c r="A1" s="109" t="s">
        <v>56</v>
      </c>
      <c r="B1" s="109"/>
      <c r="C1" s="109"/>
      <c r="D1" s="109"/>
      <c r="E1" s="109"/>
      <c r="F1" s="109"/>
      <c r="G1" s="109"/>
      <c r="H1" s="109"/>
      <c r="I1" s="109"/>
      <c r="J1" s="109"/>
    </row>
    <row r="3" spans="1:13" x14ac:dyDescent="0.3">
      <c r="B3" s="43" t="s">
        <v>53</v>
      </c>
      <c r="C3" s="43"/>
      <c r="D3" s="43"/>
      <c r="H3" s="110" t="s">
        <v>65</v>
      </c>
      <c r="I3" s="111"/>
      <c r="J3" s="111"/>
      <c r="K3" s="111"/>
      <c r="L3" s="111" t="s">
        <v>1</v>
      </c>
      <c r="M3" s="111"/>
    </row>
    <row r="4" spans="1:13" ht="99" x14ac:dyDescent="0.3">
      <c r="B4" s="43"/>
      <c r="C4" s="43" t="s">
        <v>77</v>
      </c>
      <c r="D4" s="43"/>
      <c r="F4" s="44" t="s">
        <v>70</v>
      </c>
      <c r="H4" s="55" t="s">
        <v>2</v>
      </c>
      <c r="I4" s="56" t="s">
        <v>59</v>
      </c>
      <c r="J4" s="58" t="s">
        <v>60</v>
      </c>
      <c r="K4" s="59" t="s">
        <v>61</v>
      </c>
      <c r="L4" s="58" t="s">
        <v>63</v>
      </c>
      <c r="M4" s="58" t="s">
        <v>62</v>
      </c>
    </row>
    <row r="5" spans="1:13" s="45" customFormat="1" ht="25.5" customHeight="1" x14ac:dyDescent="0.3">
      <c r="B5" s="43"/>
      <c r="C5" s="43" t="s">
        <v>78</v>
      </c>
      <c r="D5" s="46">
        <v>225.94</v>
      </c>
      <c r="F5" s="66">
        <v>8649234</v>
      </c>
      <c r="G5" s="42"/>
      <c r="H5" s="47">
        <f>'HCP MCM'!D11</f>
        <v>5365372.8900000006</v>
      </c>
      <c r="I5" s="48">
        <f>'HCP MCM'!I11</f>
        <v>271478.24772726599</v>
      </c>
      <c r="J5" s="49">
        <f>I5/F5</f>
        <v>3.1387548044979008E-2</v>
      </c>
      <c r="K5" s="50">
        <f>H5/I5</f>
        <v>19.763546195385022</v>
      </c>
      <c r="L5" s="57">
        <f>J5*1.9</f>
        <v>5.9636341285460109E-2</v>
      </c>
      <c r="M5" s="51">
        <f>L5*F5</f>
        <v>515808.67068180529</v>
      </c>
    </row>
    <row r="6" spans="1:13" s="45" customFormat="1" ht="26.25" customHeight="1" x14ac:dyDescent="0.3">
      <c r="B6" s="52"/>
      <c r="C6" s="43" t="s">
        <v>79</v>
      </c>
      <c r="D6" s="46"/>
      <c r="H6" s="54" t="s">
        <v>3</v>
      </c>
    </row>
    <row r="7" spans="1:13" s="45" customFormat="1" x14ac:dyDescent="0.3">
      <c r="B7" s="52"/>
      <c r="C7" s="52"/>
      <c r="D7" s="53"/>
    </row>
    <row r="8" spans="1:13" s="45" customFormat="1" x14ac:dyDescent="0.3">
      <c r="B8" s="52"/>
      <c r="C8" s="52"/>
      <c r="D8" s="53"/>
      <c r="L8" s="92" t="s">
        <v>72</v>
      </c>
    </row>
  </sheetData>
  <mergeCells count="3">
    <mergeCell ref="A1:J1"/>
    <mergeCell ref="H3:K3"/>
    <mergeCell ref="L3:M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O42"/>
  <sheetViews>
    <sheetView showGridLines="0" tabSelected="1" workbookViewId="0">
      <selection activeCell="H8" sqref="H8"/>
    </sheetView>
  </sheetViews>
  <sheetFormatPr defaultColWidth="8.85546875" defaultRowHeight="12.75" x14ac:dyDescent="0.2"/>
  <cols>
    <col min="1" max="1" width="12.140625" style="2" customWidth="1"/>
    <col min="2" max="2" width="13.5703125" style="2" customWidth="1"/>
    <col min="3" max="3" width="12.5703125" style="2" customWidth="1"/>
    <col min="4" max="4" width="13.7109375" style="2" customWidth="1"/>
    <col min="5" max="5" width="15.7109375" style="2" customWidth="1"/>
    <col min="6" max="6" width="12.42578125" style="2" customWidth="1"/>
    <col min="7" max="7" width="12" style="2" customWidth="1"/>
    <col min="8" max="8" width="10.28515625" style="2" customWidth="1"/>
    <col min="9" max="10" width="10.7109375" style="2" bestFit="1" customWidth="1"/>
    <col min="11" max="11" width="14.28515625" style="2" bestFit="1" customWidth="1"/>
    <col min="12" max="13" width="12" style="2" bestFit="1" customWidth="1"/>
    <col min="14" max="14" width="11.42578125" style="2" bestFit="1" customWidth="1"/>
    <col min="15" max="15" width="10.7109375" style="2" bestFit="1" customWidth="1"/>
    <col min="16" max="16384" width="8.85546875" style="2"/>
  </cols>
  <sheetData>
    <row r="1" spans="1:15" ht="13.5" thickBot="1" x14ac:dyDescent="0.25">
      <c r="A1" s="1" t="s">
        <v>4</v>
      </c>
      <c r="B1" s="2" t="s">
        <v>5</v>
      </c>
    </row>
    <row r="2" spans="1:15" x14ac:dyDescent="0.2">
      <c r="A2" s="3" t="s">
        <v>0</v>
      </c>
      <c r="B2" s="4" t="s">
        <v>57</v>
      </c>
      <c r="C2" s="5" t="s">
        <v>6</v>
      </c>
      <c r="D2" s="6" t="s">
        <v>7</v>
      </c>
      <c r="H2" s="7" t="s">
        <v>8</v>
      </c>
      <c r="I2" s="8"/>
      <c r="J2" s="8"/>
      <c r="K2" s="8"/>
      <c r="L2" s="9"/>
    </row>
    <row r="3" spans="1:15" ht="13.5" thickBot="1" x14ac:dyDescent="0.25">
      <c r="A3" s="10" t="s">
        <v>9</v>
      </c>
      <c r="B3" s="11" t="s">
        <v>66</v>
      </c>
      <c r="C3" s="1" t="s">
        <v>10</v>
      </c>
      <c r="D3" s="12" t="s">
        <v>54</v>
      </c>
      <c r="E3" s="1" t="s">
        <v>11</v>
      </c>
      <c r="F3" s="12" t="s">
        <v>55</v>
      </c>
    </row>
    <row r="4" spans="1:15" ht="15" customHeight="1" thickBot="1" x14ac:dyDescent="0.25">
      <c r="A4" s="13" t="s">
        <v>12</v>
      </c>
      <c r="B4" s="112" t="s">
        <v>13</v>
      </c>
      <c r="C4" s="112"/>
      <c r="D4" s="112"/>
      <c r="E4" s="112"/>
      <c r="F4" s="113"/>
      <c r="H4" s="2" t="s">
        <v>14</v>
      </c>
    </row>
    <row r="5" spans="1:15" x14ac:dyDescent="0.2">
      <c r="H5" s="2" t="s">
        <v>15</v>
      </c>
    </row>
    <row r="6" spans="1:15" ht="13.5" thickBot="1" x14ac:dyDescent="0.25">
      <c r="B6" s="14">
        <v>0.5</v>
      </c>
      <c r="C6" s="14">
        <v>1.5</v>
      </c>
    </row>
    <row r="7" spans="1:15" ht="27.6" customHeight="1" x14ac:dyDescent="0.2">
      <c r="A7" s="114" t="s">
        <v>16</v>
      </c>
      <c r="B7" s="117" t="s">
        <v>17</v>
      </c>
      <c r="C7" s="118"/>
      <c r="D7" s="119" t="s">
        <v>18</v>
      </c>
      <c r="E7" s="120"/>
      <c r="F7" s="121" t="s">
        <v>19</v>
      </c>
      <c r="G7" s="122"/>
    </row>
    <row r="8" spans="1:15" ht="25.5" x14ac:dyDescent="0.2">
      <c r="A8" s="115"/>
      <c r="B8" s="15" t="s">
        <v>20</v>
      </c>
      <c r="C8" s="16" t="s">
        <v>21</v>
      </c>
      <c r="D8" s="17" t="s">
        <v>22</v>
      </c>
      <c r="E8" s="16" t="s">
        <v>23</v>
      </c>
      <c r="F8" s="18" t="s">
        <v>24</v>
      </c>
      <c r="G8" s="19" t="s">
        <v>25</v>
      </c>
    </row>
    <row r="9" spans="1:15" ht="13.5" thickBot="1" x14ac:dyDescent="0.25">
      <c r="A9" s="116"/>
      <c r="B9" s="20">
        <f>B6*B12</f>
        <v>2682686.4450000003</v>
      </c>
      <c r="C9" s="20">
        <f>C6*B12</f>
        <v>8048059.3350000009</v>
      </c>
      <c r="D9" s="21">
        <f>F9</f>
        <v>5365372.8900000006</v>
      </c>
      <c r="E9" s="22">
        <f>(($O$12/(1+EXP($M$12+$N$12*D9)))-1) - ($F$12-$C$12)</f>
        <v>271478.24772726558</v>
      </c>
      <c r="F9" s="20">
        <f>B12</f>
        <v>5365372.8900000006</v>
      </c>
      <c r="G9" s="23">
        <f>C12</f>
        <v>271478.24772726599</v>
      </c>
    </row>
    <row r="10" spans="1:15" ht="13.5" thickBot="1" x14ac:dyDescent="0.25"/>
    <row r="11" spans="1:15" ht="51.6" customHeight="1" x14ac:dyDescent="0.2">
      <c r="A11" s="114" t="s">
        <v>26</v>
      </c>
      <c r="B11" s="24" t="s">
        <v>27</v>
      </c>
      <c r="C11" s="24" t="s">
        <v>28</v>
      </c>
      <c r="D11" s="24" t="s">
        <v>29</v>
      </c>
      <c r="E11" s="24" t="s">
        <v>30</v>
      </c>
      <c r="F11" s="25" t="s">
        <v>31</v>
      </c>
      <c r="H11" s="123" t="s">
        <v>32</v>
      </c>
      <c r="I11" s="24" t="s">
        <v>33</v>
      </c>
      <c r="J11" s="24" t="s">
        <v>34</v>
      </c>
      <c r="K11" s="24" t="s">
        <v>35</v>
      </c>
      <c r="L11" s="24" t="s">
        <v>36</v>
      </c>
      <c r="M11" s="24" t="s">
        <v>37</v>
      </c>
      <c r="N11" s="24" t="s">
        <v>38</v>
      </c>
      <c r="O11" s="25" t="s">
        <v>39</v>
      </c>
    </row>
    <row r="12" spans="1:15" ht="15" customHeight="1" thickBot="1" x14ac:dyDescent="0.25">
      <c r="A12" s="116"/>
      <c r="B12" s="20">
        <f>Data!H5</f>
        <v>5365372.8900000006</v>
      </c>
      <c r="C12" s="23">
        <f>Data!I5</f>
        <v>271478.24772726599</v>
      </c>
      <c r="D12" s="26">
        <v>0</v>
      </c>
      <c r="E12" s="23">
        <f>Data!M5</f>
        <v>515808.67068180529</v>
      </c>
      <c r="F12" s="27">
        <f>Data!F5</f>
        <v>8649234</v>
      </c>
      <c r="H12" s="124"/>
      <c r="I12" s="28">
        <f>F12-C12</f>
        <v>8377755.7522727344</v>
      </c>
      <c r="J12" s="28">
        <f>I12+E12</f>
        <v>8893564.4229545388</v>
      </c>
      <c r="K12" s="29">
        <f>B12</f>
        <v>5365372.8900000006</v>
      </c>
      <c r="L12" s="28">
        <f>F12</f>
        <v>8649234</v>
      </c>
      <c r="M12" s="30">
        <f>LN((($J$12+1)/($I$12+1))-1)</f>
        <v>-2.7875995635125794</v>
      </c>
      <c r="N12" s="31">
        <f>(LN((($J$12+1)/($L$12+1))-1)-$M$12)/$K$12</f>
        <v>-1.4520986845292592E-7</v>
      </c>
      <c r="O12" s="32">
        <f>J12+1</f>
        <v>8893565.4229545388</v>
      </c>
    </row>
    <row r="13" spans="1:15" ht="34.15" customHeight="1" x14ac:dyDescent="0.2">
      <c r="A13" s="125" t="s">
        <v>40</v>
      </c>
      <c r="B13" s="126"/>
      <c r="C13" s="126"/>
      <c r="D13" s="126"/>
      <c r="E13" s="126"/>
      <c r="F13" s="127"/>
      <c r="H13" s="125" t="s">
        <v>41</v>
      </c>
      <c r="I13" s="126"/>
      <c r="J13" s="126"/>
      <c r="K13" s="126"/>
      <c r="L13" s="126"/>
      <c r="M13" s="126"/>
      <c r="N13" s="126"/>
      <c r="O13" s="127"/>
    </row>
    <row r="14" spans="1:15" ht="33.6" customHeight="1" x14ac:dyDescent="0.2">
      <c r="A14" s="128"/>
      <c r="B14" s="129"/>
      <c r="C14" s="129"/>
      <c r="D14" s="129"/>
      <c r="E14" s="129"/>
      <c r="F14" s="130"/>
      <c r="H14" s="128"/>
      <c r="I14" s="129"/>
      <c r="J14" s="129"/>
      <c r="K14" s="129"/>
      <c r="L14" s="129"/>
      <c r="M14" s="129"/>
      <c r="N14" s="129"/>
      <c r="O14" s="130"/>
    </row>
    <row r="16" spans="1:15" ht="13.5" thickBot="1" x14ac:dyDescent="0.25"/>
    <row r="17" spans="1:5" ht="16.899999999999999" customHeight="1" x14ac:dyDescent="0.2">
      <c r="A17" s="123" t="s">
        <v>42</v>
      </c>
      <c r="B17" s="24" t="s">
        <v>43</v>
      </c>
      <c r="C17" s="24" t="s">
        <v>44</v>
      </c>
      <c r="D17" s="25" t="s">
        <v>45</v>
      </c>
    </row>
    <row r="18" spans="1:5" ht="23.65" customHeight="1" thickBot="1" x14ac:dyDescent="0.25">
      <c r="A18" s="124"/>
      <c r="B18" s="33">
        <v>0</v>
      </c>
      <c r="C18" s="34">
        <v>13000000</v>
      </c>
      <c r="D18" s="35">
        <v>20</v>
      </c>
    </row>
    <row r="20" spans="1:5" x14ac:dyDescent="0.2">
      <c r="A20" s="131" t="s">
        <v>46</v>
      </c>
      <c r="B20" s="131"/>
    </row>
    <row r="21" spans="1:5" x14ac:dyDescent="0.2">
      <c r="A21" s="15" t="s">
        <v>48</v>
      </c>
      <c r="B21" s="15" t="s">
        <v>47</v>
      </c>
      <c r="C21" s="40" t="s">
        <v>50</v>
      </c>
      <c r="D21" s="40" t="s">
        <v>49</v>
      </c>
      <c r="E21" s="41"/>
    </row>
    <row r="22" spans="1:5" x14ac:dyDescent="0.2">
      <c r="A22" s="37">
        <f>B18</f>
        <v>0</v>
      </c>
      <c r="B22" s="36">
        <f>(($O$12/(1+EXP($M$12+$N$12*A22)))-1) - ($F$12-$C$12)</f>
        <v>0</v>
      </c>
      <c r="C22" s="38">
        <f>B22*'HCP MCM'!$G$5</f>
        <v>0</v>
      </c>
      <c r="D22" s="39"/>
      <c r="E22" s="38"/>
    </row>
    <row r="23" spans="1:5" x14ac:dyDescent="0.2">
      <c r="A23" s="37">
        <f>A22+(($C$18-$B$18)/$D$18)</f>
        <v>650000</v>
      </c>
      <c r="B23" s="36">
        <f t="shared" ref="B23:B42" si="0">(($O$12/(1+EXP($M$12+$N$12*A23)))-1) - ($F$12-$C$12)</f>
        <v>43993.654269350693</v>
      </c>
      <c r="C23" s="38">
        <f>B23*'HCP MCM'!$G$5</f>
        <v>9939926.2456170954</v>
      </c>
      <c r="D23" s="39">
        <f>C23/A23</f>
        <v>15.2921942240263</v>
      </c>
      <c r="E23" s="38"/>
    </row>
    <row r="24" spans="1:5" x14ac:dyDescent="0.2">
      <c r="A24" s="37">
        <f t="shared" ref="A24:A42" si="1">A23+(($C$18-$B$18)/$D$18)</f>
        <v>1300000</v>
      </c>
      <c r="B24" s="36">
        <f t="shared" si="0"/>
        <v>84428.268939165398</v>
      </c>
      <c r="C24" s="38">
        <f>B24*'HCP MCM'!$G$5</f>
        <v>19075723.084115028</v>
      </c>
      <c r="D24" s="39">
        <f t="shared" ref="D24:D42" si="2">C24/A24</f>
        <v>14.673633141626945</v>
      </c>
      <c r="E24" s="38"/>
    </row>
    <row r="25" spans="1:5" x14ac:dyDescent="0.2">
      <c r="A25" s="37">
        <f t="shared" si="1"/>
        <v>1950000</v>
      </c>
      <c r="B25" s="36">
        <f t="shared" si="0"/>
        <v>121559.85076316632</v>
      </c>
      <c r="C25" s="38">
        <f>B25*'HCP MCM'!$G$5</f>
        <v>27465232.6814298</v>
      </c>
      <c r="D25" s="39">
        <f t="shared" si="2"/>
        <v>14.084734708425538</v>
      </c>
      <c r="E25" s="38"/>
    </row>
    <row r="26" spans="1:5" x14ac:dyDescent="0.2">
      <c r="A26" s="37">
        <f t="shared" si="1"/>
        <v>2600000</v>
      </c>
      <c r="B26" s="36">
        <f t="shared" si="0"/>
        <v>155631.32550079003</v>
      </c>
      <c r="C26" s="38">
        <f>B26*'HCP MCM'!$G$5</f>
        <v>35163341.683648497</v>
      </c>
      <c r="D26" s="39">
        <f t="shared" si="2"/>
        <v>13.524362186018653</v>
      </c>
      <c r="E26" s="38"/>
    </row>
    <row r="27" spans="1:5" x14ac:dyDescent="0.2">
      <c r="A27" s="60">
        <f t="shared" si="1"/>
        <v>3250000</v>
      </c>
      <c r="B27" s="61">
        <f t="shared" si="0"/>
        <v>186872.25747648627</v>
      </c>
      <c r="C27" s="38">
        <f>B27*'HCP MCM'!$G$5</f>
        <v>42221917.854237303</v>
      </c>
      <c r="D27" s="63">
        <f t="shared" si="2"/>
        <v>12.991359339765324</v>
      </c>
      <c r="E27" s="62"/>
    </row>
    <row r="28" spans="1:5" x14ac:dyDescent="0.2">
      <c r="A28" s="37">
        <f t="shared" si="1"/>
        <v>3900000</v>
      </c>
      <c r="B28" s="36">
        <f t="shared" si="0"/>
        <v>215498.78777608648</v>
      </c>
      <c r="C28" s="38">
        <f>B28*'HCP MCM'!$G$5</f>
        <v>48689796.110128976</v>
      </c>
      <c r="D28" s="39">
        <f t="shared" si="2"/>
        <v>12.484563105161277</v>
      </c>
      <c r="E28" s="38"/>
    </row>
    <row r="29" spans="1:5" x14ac:dyDescent="0.2">
      <c r="A29" s="37">
        <f t="shared" si="1"/>
        <v>4550000</v>
      </c>
      <c r="B29" s="36">
        <f t="shared" si="0"/>
        <v>241713.75055661984</v>
      </c>
      <c r="C29" s="38">
        <f>B29*'HCP MCM'!$G$5</f>
        <v>54612804.800762683</v>
      </c>
      <c r="D29" s="39">
        <f t="shared" si="2"/>
        <v>12.002814241925865</v>
      </c>
      <c r="E29" s="38"/>
    </row>
    <row r="30" spans="1:5" x14ac:dyDescent="0.2">
      <c r="A30" s="37">
        <f t="shared" si="1"/>
        <v>5200000</v>
      </c>
      <c r="B30" s="36">
        <f t="shared" si="0"/>
        <v>265706.93161760643</v>
      </c>
      <c r="C30" s="38">
        <f>B30*'HCP MCM'!$G$5</f>
        <v>60033824.129681997</v>
      </c>
      <c r="D30" s="39">
        <f t="shared" si="2"/>
        <v>11.544966178785</v>
      </c>
      <c r="E30" s="38"/>
    </row>
    <row r="31" spans="1:5" x14ac:dyDescent="0.2">
      <c r="A31" s="37">
        <f t="shared" si="1"/>
        <v>5850000</v>
      </c>
      <c r="B31" s="36">
        <f t="shared" si="0"/>
        <v>287655.43794665299</v>
      </c>
      <c r="C31" s="38">
        <f>B31*'HCP MCM'!$G$5</f>
        <v>64992869.649666779</v>
      </c>
      <c r="D31" s="39">
        <f t="shared" si="2"/>
        <v>11.109892247806288</v>
      </c>
      <c r="E31" s="38"/>
    </row>
    <row r="32" spans="1:5" s="84" customFormat="1" x14ac:dyDescent="0.2">
      <c r="A32" s="80">
        <f t="shared" si="1"/>
        <v>6500000</v>
      </c>
      <c r="B32" s="81">
        <f t="shared" si="0"/>
        <v>307724.15128397383</v>
      </c>
      <c r="C32" s="82">
        <f>B32*'HCP MCM'!$G$5</f>
        <v>69527194.741101041</v>
      </c>
      <c r="D32" s="83">
        <f t="shared" si="2"/>
        <v>10.69649149863093</v>
      </c>
      <c r="E32" s="82"/>
    </row>
    <row r="33" spans="1:5" x14ac:dyDescent="0.2">
      <c r="A33" s="37">
        <f t="shared" si="1"/>
        <v>7150000</v>
      </c>
      <c r="B33" s="36">
        <f t="shared" si="0"/>
        <v>326066.24276737869</v>
      </c>
      <c r="C33" s="38">
        <f>B33*'HCP MCM'!$G$5</f>
        <v>73671406.890861541</v>
      </c>
      <c r="D33" s="39">
        <f t="shared" si="2"/>
        <v>10.303693271449166</v>
      </c>
      <c r="E33" s="38"/>
    </row>
    <row r="34" spans="1:5" x14ac:dyDescent="0.2">
      <c r="A34" s="85">
        <f>A33+(($C$18-$B$18)/$D$18)</f>
        <v>7800000</v>
      </c>
      <c r="B34" s="86">
        <f t="shared" si="0"/>
        <v>342823.72937526181</v>
      </c>
      <c r="C34" s="87">
        <f>B34*'HCP MCM'!$G$5</f>
        <v>77457593.415046647</v>
      </c>
      <c r="D34" s="88">
        <f t="shared" si="2"/>
        <v>9.9304606942367499</v>
      </c>
      <c r="E34" s="38"/>
    </row>
    <row r="35" spans="1:5" x14ac:dyDescent="0.2">
      <c r="A35" s="37">
        <f t="shared" si="1"/>
        <v>8450000</v>
      </c>
      <c r="B35" s="36">
        <f t="shared" si="0"/>
        <v>358128.05615977384</v>
      </c>
      <c r="C35" s="38">
        <f>B35*'HCP MCM'!$G$5</f>
        <v>80915453.008739308</v>
      </c>
      <c r="D35" s="39">
        <f t="shared" si="2"/>
        <v>9.5757932554721066</v>
      </c>
      <c r="E35" s="38"/>
    </row>
    <row r="36" spans="1:5" x14ac:dyDescent="0.2">
      <c r="A36" s="37">
        <f t="shared" si="1"/>
        <v>9100000</v>
      </c>
      <c r="B36" s="36">
        <f t="shared" si="0"/>
        <v>372100.69115561992</v>
      </c>
      <c r="C36" s="38">
        <f>B36*'HCP MCM'!$G$5</f>
        <v>84072430.159700766</v>
      </c>
      <c r="D36" s="39">
        <f t="shared" si="2"/>
        <v>9.2387285889781054</v>
      </c>
      <c r="E36" s="38"/>
    </row>
    <row r="37" spans="1:5" x14ac:dyDescent="0.2">
      <c r="A37" s="37">
        <f t="shared" si="1"/>
        <v>9750000</v>
      </c>
      <c r="B37" s="36">
        <f t="shared" si="0"/>
        <v>384853.72237488814</v>
      </c>
      <c r="C37" s="38">
        <f>B37*'HCP MCM'!$G$5</f>
        <v>86953850.033382222</v>
      </c>
      <c r="D37" s="39">
        <f t="shared" si="2"/>
        <v>8.9183435931674069</v>
      </c>
      <c r="E37" s="38"/>
    </row>
    <row r="38" spans="1:5" x14ac:dyDescent="0.2">
      <c r="A38" s="37">
        <f t="shared" si="1"/>
        <v>10400000</v>
      </c>
      <c r="B38" s="36">
        <f t="shared" si="0"/>
        <v>396490.44847736508</v>
      </c>
      <c r="C38" s="38">
        <f>B38*'HCP MCM'!$G$5</f>
        <v>89583051.928975865</v>
      </c>
      <c r="D38" s="39">
        <f t="shared" si="2"/>
        <v>8.6137549931707564</v>
      </c>
      <c r="E38" s="38"/>
    </row>
    <row r="39" spans="1:5" x14ac:dyDescent="0.2">
      <c r="A39" s="37">
        <f t="shared" si="1"/>
        <v>11050000</v>
      </c>
      <c r="B39" s="36">
        <f t="shared" si="0"/>
        <v>407105.95656677522</v>
      </c>
      <c r="C39" s="38">
        <f>B39*'HCP MCM'!$G$5</f>
        <v>91981519.826697186</v>
      </c>
      <c r="D39" s="39">
        <f t="shared" si="2"/>
        <v>8.3241194413300619</v>
      </c>
      <c r="E39" s="38"/>
    </row>
    <row r="40" spans="1:5" x14ac:dyDescent="0.2">
      <c r="A40" s="37">
        <f t="shared" si="1"/>
        <v>11700000</v>
      </c>
      <c r="B40" s="36">
        <f t="shared" si="0"/>
        <v>416787.68213673681</v>
      </c>
      <c r="C40" s="38">
        <f>B40*'HCP MCM'!$G$5</f>
        <v>94169008.90197432</v>
      </c>
      <c r="D40" s="39">
        <f t="shared" si="2"/>
        <v>8.0486332394849853</v>
      </c>
      <c r="E40" s="38"/>
    </row>
    <row r="41" spans="1:5" x14ac:dyDescent="0.2">
      <c r="A41" s="37">
        <f>A40+(($C$18-$B$18)/$D$18)</f>
        <v>12350000</v>
      </c>
      <c r="B41" s="36">
        <f t="shared" si="0"/>
        <v>425615.94750739634</v>
      </c>
      <c r="C41" s="38">
        <f>B41*'HCP MCM'!$G$5</f>
        <v>96163667.179821134</v>
      </c>
      <c r="D41" s="39">
        <f t="shared" si="2"/>
        <v>7.7865317554511035</v>
      </c>
      <c r="E41" s="38"/>
    </row>
    <row r="42" spans="1:5" x14ac:dyDescent="0.2">
      <c r="A42" s="37">
        <f t="shared" si="1"/>
        <v>13000000</v>
      </c>
      <c r="B42" s="36">
        <f t="shared" si="0"/>
        <v>433664.47618544474</v>
      </c>
      <c r="C42" s="38">
        <f>B42*'HCP MCM'!$G$5</f>
        <v>97982151.749339387</v>
      </c>
      <c r="D42" s="39">
        <f t="shared" si="2"/>
        <v>7.5370885961030298</v>
      </c>
      <c r="E42" s="38"/>
    </row>
  </sheetData>
  <mergeCells count="11">
    <mergeCell ref="H11:H12"/>
    <mergeCell ref="A13:F14"/>
    <mergeCell ref="H13:O14"/>
    <mergeCell ref="A17:A18"/>
    <mergeCell ref="A20:B20"/>
    <mergeCell ref="A11:A12"/>
    <mergeCell ref="B4:F4"/>
    <mergeCell ref="A7:A9"/>
    <mergeCell ref="B7:C7"/>
    <mergeCell ref="D7:E7"/>
    <mergeCell ref="F7:G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A90DB9A9-29C7-4B15-BDCE-461FF7EDB01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HCP MCM</vt:lpstr>
      <vt:lpstr>Data</vt:lpstr>
      <vt:lpstr>HCP MCM SCurve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2023-11-06T09:59:32Z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911a8121-140a-418e-a802-f1b6c815318e</vt:lpwstr>
  </property>
  <property fmtid="{D5CDD505-2E9C-101B-9397-08002B2CF9AE}" pid="3" name="bjSaver">
    <vt:lpwstr>3O1Gvm5XUeGHackGhxGee6GW/bgAf7qU</vt:lpwstr>
  </property>
  <property fmtid="{D5CDD505-2E9C-101B-9397-08002B2CF9AE}" pid="4" name="bjDocumentSecurityLabel">
    <vt:lpwstr>Not Classified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6" name="bjDocumentLabelXML-0">
    <vt:lpwstr>ames.com/2008/01/sie/internal/label"&gt;&lt;element uid="9920fcc9-9f43-4d43-9e3e-b98a219cfd55" value="" /&gt;&lt;/sisl&gt;</vt:lpwstr>
  </property>
</Properties>
</file>