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24226"/>
  <xr:revisionPtr revIDLastSave="0" documentId="13_ncr:1_{601B7FA2-24A6-44DB-9504-225AC569AD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CC Inoffice" sheetId="5" r:id="rId1"/>
    <sheet name="Data" sheetId="6" r:id="rId2"/>
    <sheet name="HCC Inoffice Curve" sheetId="7" r:id="rId3"/>
    <sheet name="2019" sheetId="10" r:id="rId4"/>
    <sheet name="2018" sheetId="9" r:id="rId5"/>
    <sheet name="2017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5" l="1"/>
  <c r="G5" i="5" l="1"/>
  <c r="H5" i="5" s="1"/>
  <c r="G4" i="5"/>
  <c r="H4" i="5" s="1"/>
  <c r="G6" i="5" l="1"/>
  <c r="E12" i="10" l="1"/>
  <c r="H11" i="10"/>
  <c r="I11" i="10" s="1"/>
  <c r="H10" i="10"/>
  <c r="I10" i="10" s="1"/>
  <c r="H9" i="10"/>
  <c r="I9" i="10" s="1"/>
  <c r="I12" i="10" s="1"/>
  <c r="E9" i="10"/>
  <c r="H12" i="10" l="1"/>
  <c r="F12" i="10" s="1"/>
  <c r="G8" i="9"/>
  <c r="F8" i="9"/>
  <c r="A8" i="9"/>
  <c r="G7" i="9"/>
  <c r="F7" i="9"/>
  <c r="A7" i="9"/>
  <c r="G6" i="9"/>
  <c r="F6" i="9"/>
  <c r="A6" i="9"/>
  <c r="F5" i="9"/>
  <c r="D5" i="9"/>
  <c r="G5" i="9" s="1"/>
  <c r="A5" i="9"/>
  <c r="F4" i="9"/>
  <c r="D4" i="9"/>
  <c r="D9" i="9" s="1"/>
  <c r="A4" i="9"/>
  <c r="D12" i="9" s="1"/>
  <c r="G4" i="9" l="1"/>
  <c r="H8" i="9"/>
  <c r="H7" i="9"/>
  <c r="H5" i="9"/>
  <c r="H6" i="9"/>
  <c r="G9" i="9"/>
  <c r="E9" i="9" s="1"/>
  <c r="H4" i="9"/>
  <c r="H9" i="9" l="1"/>
  <c r="C5" i="8" l="1"/>
  <c r="F4" i="8"/>
  <c r="G4" i="8" s="1"/>
  <c r="G5" i="8" s="1"/>
  <c r="F5" i="8" l="1"/>
  <c r="D5" i="8" s="1"/>
  <c r="H5" i="6"/>
  <c r="B12" i="7" s="1"/>
  <c r="B9" i="7" s="1"/>
  <c r="F12" i="7"/>
  <c r="L12" i="7" s="1"/>
  <c r="A22" i="7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C9" i="7" l="1"/>
  <c r="F9" i="7"/>
  <c r="D9" i="7" s="1"/>
  <c r="K12" i="7"/>
  <c r="E6" i="5" l="1"/>
  <c r="H6" i="5" l="1"/>
  <c r="I5" i="6" s="1"/>
  <c r="K5" i="6" l="1"/>
  <c r="J5" i="6"/>
  <c r="L5" i="6" s="1"/>
  <c r="M5" i="6" s="1"/>
  <c r="E12" i="7" s="1"/>
  <c r="C12" i="7"/>
  <c r="G9" i="7" s="1"/>
  <c r="I12" i="7" l="1"/>
  <c r="J12" i="7" s="1"/>
  <c r="O12" i="7" s="1"/>
  <c r="M12" i="7" l="1"/>
  <c r="N12" i="7" s="1"/>
  <c r="B28" i="7" l="1"/>
  <c r="B23" i="7"/>
  <c r="B36" i="7"/>
  <c r="B38" i="7"/>
  <c r="C38" i="7" s="1"/>
  <c r="D38" i="7" s="1"/>
  <c r="B31" i="7"/>
  <c r="B40" i="7"/>
  <c r="C40" i="7" s="1"/>
  <c r="D40" i="7" s="1"/>
  <c r="B26" i="7"/>
  <c r="B34" i="7"/>
  <c r="C34" i="7" s="1"/>
  <c r="D34" i="7" s="1"/>
  <c r="E9" i="7"/>
  <c r="B35" i="7"/>
  <c r="C35" i="7" s="1"/>
  <c r="D35" i="7" s="1"/>
  <c r="B32" i="7"/>
  <c r="B33" i="7"/>
  <c r="C33" i="7" s="1"/>
  <c r="D33" i="7" s="1"/>
  <c r="B24" i="7"/>
  <c r="B29" i="7"/>
  <c r="C29" i="7" s="1"/>
  <c r="D29" i="7" s="1"/>
  <c r="B37" i="7"/>
  <c r="B41" i="7"/>
  <c r="C41" i="7" s="1"/>
  <c r="D41" i="7" s="1"/>
  <c r="B39" i="7"/>
  <c r="B27" i="7"/>
  <c r="C27" i="7" s="1"/>
  <c r="D27" i="7" s="1"/>
  <c r="B42" i="7"/>
  <c r="B25" i="7"/>
  <c r="C25" i="7" s="1"/>
  <c r="D25" i="7" s="1"/>
  <c r="B22" i="7"/>
  <c r="C22" i="7" s="1"/>
  <c r="B30" i="7"/>
  <c r="C24" i="7"/>
  <c r="D24" i="7" s="1"/>
  <c r="C23" i="7"/>
  <c r="D23" i="7" s="1"/>
  <c r="C28" i="7"/>
  <c r="D28" i="7" s="1"/>
  <c r="C26" i="7"/>
  <c r="D26" i="7" s="1"/>
  <c r="C36" i="7"/>
  <c r="D36" i="7" s="1"/>
  <c r="C37" i="7"/>
  <c r="D37" i="7" s="1"/>
  <c r="C31" i="7"/>
  <c r="D31" i="7" s="1"/>
  <c r="C32" i="7"/>
  <c r="D32" i="7" s="1"/>
  <c r="C39" i="7"/>
  <c r="D39" i="7" s="1"/>
  <c r="C42" i="7"/>
  <c r="D42" i="7" s="1"/>
  <c r="C30" i="7"/>
  <c r="D30" i="7" s="1"/>
</calcChain>
</file>

<file path=xl/sharedStrings.xml><?xml version="1.0" encoding="utf-8"?>
<sst xmlns="http://schemas.openxmlformats.org/spreadsheetml/2006/main" count="153" uniqueCount="121">
  <si>
    <t>Product</t>
  </si>
  <si>
    <t>Max Y Assumptions</t>
  </si>
  <si>
    <t>Pre-Tax Spend</t>
  </si>
  <si>
    <t>* Note: The above marroon colored values are used to construct lodish type response curve for Aquisition programs</t>
  </si>
  <si>
    <t>Purpose</t>
  </si>
  <si>
    <t>Creates a S type curve given (Xcurr,Ycurr), Ymin, Ymax. Uses equation proposed by Lodish.</t>
  </si>
  <si>
    <t>X unit</t>
  </si>
  <si>
    <t>Spend $</t>
  </si>
  <si>
    <t>Note 1: YELLOW cells need user input (some or optional)</t>
  </si>
  <si>
    <t>Channel</t>
  </si>
  <si>
    <t>Y unit</t>
  </si>
  <si>
    <t>Ybase</t>
  </si>
  <si>
    <t>Function Type</t>
  </si>
  <si>
    <t>S type curve estimation(Lodish). Adjusted with respect to Y base</t>
  </si>
  <si>
    <t>In here, lodish curve is applied to YLmin = Ybase + Ymin and YLmax = YLmin + Ymax.</t>
  </si>
  <si>
    <t xml:space="preserve">In terms of NRx, Ybase = Curr NRx; YLmin =  Curr NRx - Curr Incr. NRx(Yc).; YLMax = Curr NRx + Max Possible Incr. NRx (Ymax); Ymin = min Incr NRx for no investmet = 0; 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</si>
  <si>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</si>
  <si>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</si>
  <si>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</si>
  <si>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</si>
  <si>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</si>
  <si>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</si>
  <si>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</si>
  <si>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</si>
  <si>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</si>
  <si>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</si>
  <si>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</si>
  <si>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</si>
  <si>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</si>
  <si>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</si>
  <si>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</si>
  <si>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</si>
  <si>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</si>
  <si>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</si>
  <si>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</si>
  <si>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</si>
  <si>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</si>
  <si>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</si>
  <si>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</si>
  <si>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</si>
  <si>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</si>
  <si>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</si>
  <si>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</si>
  <si>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</si>
  <si>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</si>
  <si>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</si>
  <si>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</si>
  <si>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 xml:space="preserve">Spend </t>
  </si>
  <si>
    <t>ROI:</t>
  </si>
  <si>
    <t>Pre-tax</t>
  </si>
  <si>
    <t>INITIAL:</t>
  </si>
  <si>
    <t>FINAL:</t>
  </si>
  <si>
    <t>Comments:</t>
  </si>
  <si>
    <t>Program</t>
  </si>
  <si>
    <t>Pre-tax cost</t>
  </si>
  <si>
    <t>Pre-tax NPV</t>
  </si>
  <si>
    <t>Pre-tax ROI</t>
  </si>
  <si>
    <t>2016 Pre-tax Pgm/Rx</t>
  </si>
  <si>
    <t>Parameters for back-calculation of Incremental Rx</t>
  </si>
  <si>
    <t>GARDASIL 9</t>
  </si>
  <si>
    <t># Incr. Doses</t>
  </si>
  <si>
    <t>Spend per Dose</t>
  </si>
  <si>
    <t>Anticipated Max Incr. Dose (in %) when HCC spend is increased to infinity</t>
  </si>
  <si>
    <t>Anticipated Max Incr. Dose</t>
  </si>
  <si>
    <t>Estimated Incr. Dose</t>
  </si>
  <si>
    <t>Estimated Incr. Dose (as % of NPA Dose)</t>
  </si>
  <si>
    <t xml:space="preserve">PatientPoint - Exam Room Brochure + Waiting Room TV </t>
  </si>
  <si>
    <t>Based on 2017 media plan, Roi based on IA&amp;DS file</t>
  </si>
  <si>
    <t>Merck GARDASIL Online Programs: Incremental doses per Tactic with ROI, Spend and Incremental Revenue</t>
  </si>
  <si>
    <t>PP Pediatric Exam Room English Brochure</t>
  </si>
  <si>
    <t>PP Pediatric Exam Room Spanish Brochure</t>
  </si>
  <si>
    <t>PP Waiting Room TV (PCP-stocking locations)</t>
  </si>
  <si>
    <t>Custom Magazine Guide - Pediatrics</t>
  </si>
  <si>
    <t>WebMD Exam Room Poster</t>
  </si>
  <si>
    <t>Pre-tax Revenue</t>
  </si>
  <si>
    <t>Compendium Name</t>
  </si>
  <si>
    <t>Includes carryover of $281,231</t>
  </si>
  <si>
    <t>% Budget with ROI available</t>
  </si>
  <si>
    <t>Includes carryover of $18,392. ROI used from the English brochure program</t>
  </si>
  <si>
    <t>2019 Pre-tax Pgm/Rx</t>
  </si>
  <si>
    <t>Based on a very old Gardasil study  May 2014 - Apr 2015. ROI 3.3953 based on $96.76 Pgm/Rx</t>
  </si>
  <si>
    <t>Assumed avg ROI here</t>
  </si>
  <si>
    <t>8.36 - Old ROI</t>
  </si>
  <si>
    <t>Using ratio of WebMD (6.75)  to PP exam room brochure (3.03) for Belsomra - 15 (Too high) and therefore, using 10</t>
  </si>
  <si>
    <t>PP Waiting Room TV</t>
  </si>
  <si>
    <t>PP Patient Point exam room brochure (English + Spanish)</t>
  </si>
  <si>
    <t>InOffice</t>
  </si>
  <si>
    <t>Incr. Doses</t>
  </si>
  <si>
    <t>Doses</t>
  </si>
  <si>
    <t>Measurement Time Period</t>
  </si>
  <si>
    <t>JAN18-AUG18</t>
  </si>
  <si>
    <t>2019 Pre-tax Spend</t>
  </si>
  <si>
    <t>2019 Estimated Pre-tax Pgm/Dose</t>
  </si>
  <si>
    <t>2019 Estimated Pre-tax Revenue</t>
  </si>
  <si>
    <t>MAR18-FEB19</t>
  </si>
  <si>
    <t>Includes carryover of $370,145 from 2018.The lower range assuming just one dose completion is 1 and the upper range assuming average dose completion is 8.2</t>
  </si>
  <si>
    <t xml:space="preserve"> For the 2018 program,overall there was not a significant impact, but for PCPs only there was an impactThere’s two ROIs here – one using the full cost but just the impact from PCPs (2:1) and one using just the cost of PCPs (4.5:1).   </t>
  </si>
  <si>
    <t>JUL18-APR19</t>
  </si>
  <si>
    <t>Total</t>
  </si>
  <si>
    <t>PatientPoint Waiting Room Video</t>
  </si>
  <si>
    <t>PatientPoint Digital Wallboard</t>
  </si>
  <si>
    <t>GARDASIL ADULT</t>
  </si>
  <si>
    <t>Waiting Room TV</t>
  </si>
  <si>
    <t>Supplier</t>
  </si>
  <si>
    <t>PatientPoint</t>
  </si>
  <si>
    <t>Point of Care</t>
  </si>
  <si>
    <t>Point of Care - Hard Negotiated Value</t>
  </si>
  <si>
    <t/>
  </si>
  <si>
    <t>Digital wallboard</t>
  </si>
  <si>
    <t>2023 Pre-tax Spend</t>
  </si>
  <si>
    <t xml:space="preserve">PP Communicate; adjusted based on dose level </t>
  </si>
  <si>
    <t>JAN22-JUN22</t>
  </si>
  <si>
    <t>2022 Pre-tax PGM/NPV</t>
  </si>
  <si>
    <t>2022 Pre-tax PGM/Rx</t>
  </si>
  <si>
    <t>2022 Tax-rate</t>
  </si>
  <si>
    <r>
      <t xml:space="preserve">Total GARDASIL </t>
    </r>
    <r>
      <rPr>
        <b/>
        <sz val="10"/>
        <color rgb="FF0000FF"/>
        <rFont val="Arial Narrow"/>
        <family val="2"/>
      </rPr>
      <t xml:space="preserve">observed </t>
    </r>
    <r>
      <rPr>
        <b/>
        <sz val="10"/>
        <color theme="1"/>
        <rFont val="Arial Narrow"/>
        <family val="2"/>
      </rPr>
      <t>Doses in 2022</t>
    </r>
  </si>
  <si>
    <t xml:space="preserve">exam room touch screen </t>
  </si>
  <si>
    <t>waiting room tv</t>
  </si>
  <si>
    <t xml:space="preserve">PP INTERACT; adjusted based on dose level </t>
  </si>
  <si>
    <t>2022 Estimated Pre-tax Pgm/Dose</t>
  </si>
  <si>
    <t>2023 Estimated Pre-tax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</si>
</sst>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* #,##0_);_(* \(#,##0\);_(* &quot;-&quot;??_);_(@_)"/>
    <numFmt numFmtId="167" formatCode="&quot;$&quot;#,##0.00"/>
    <numFmt numFmtId="168" formatCode="&quot;$&quot;#,##0.0"/>
    <numFmt numFmtId="169" formatCode="0.0\ \t\o\ \1"/>
    <numFmt numFmtId="170" formatCode="0.0%"/>
    <numFmt numFmtId="171" formatCode="\$##,###,##0"/>
    <numFmt numFmtId="172" formatCode="#,##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0"/>
      <color theme="1"/>
      <name val="Arial Narrow"/>
      <family val="2"/>
    </font>
    <font>
      <b/>
      <sz val="11"/>
      <color rgb="FFC00000"/>
      <name val="Arial Narrow"/>
      <family val="2"/>
    </font>
    <font>
      <sz val="11"/>
      <color rgb="FFC00000"/>
      <name val="Arial Narrow"/>
      <family val="2"/>
    </font>
    <font>
      <b/>
      <sz val="10"/>
      <color rgb="FF0000FF"/>
      <name val="Arial Narrow"/>
      <family val="2"/>
    </font>
    <font>
      <sz val="9"/>
      <color theme="1"/>
      <name val="Arial Narrow"/>
      <family val="2"/>
    </font>
    <font>
      <sz val="8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u/>
      <sz val="8.25"/>
      <color rgb="FF000000"/>
      <name val="Arial"/>
      <family val="2"/>
    </font>
    <font>
      <sz val="8.25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9" fontId="11" fillId="0" borderId="0" applyFont="0" applyFill="0" applyBorder="0" applyAlignment="0" applyProtection="0"/>
  </cellStyleXfs>
  <cellXfs count="164">
    <xf numFmtId="0" fontId="0" fillId="0" borderId="0" xfId="0"/>
    <xf numFmtId="0" fontId="7" fillId="8" borderId="2" xfId="0" applyFont="1" applyFill="1" applyBorder="1"/>
    <xf numFmtId="0" fontId="8" fillId="0" borderId="0" xfId="0" applyFont="1"/>
    <xf numFmtId="0" fontId="7" fillId="8" borderId="3" xfId="0" applyFont="1" applyFill="1" applyBorder="1"/>
    <xf numFmtId="0" fontId="8" fillId="9" borderId="4" xfId="0" applyFont="1" applyFill="1" applyBorder="1"/>
    <xf numFmtId="0" fontId="7" fillId="8" borderId="4" xfId="0" applyFont="1" applyFill="1" applyBorder="1"/>
    <xf numFmtId="0" fontId="8" fillId="9" borderId="5" xfId="0" applyFont="1" applyFill="1" applyBorder="1"/>
    <xf numFmtId="0" fontId="8" fillId="9" borderId="6" xfId="0" applyFont="1" applyFill="1" applyBorder="1" applyAlignment="1">
      <alignment horizontal="left"/>
    </xf>
    <xf numFmtId="0" fontId="8" fillId="9" borderId="7" xfId="0" applyFont="1" applyFill="1" applyBorder="1" applyAlignment="1">
      <alignment horizontal="left"/>
    </xf>
    <xf numFmtId="0" fontId="8" fillId="9" borderId="8" xfId="0" applyFont="1" applyFill="1" applyBorder="1" applyAlignment="1">
      <alignment horizontal="left"/>
    </xf>
    <xf numFmtId="0" fontId="7" fillId="8" borderId="9" xfId="0" applyFont="1" applyFill="1" applyBorder="1"/>
    <xf numFmtId="0" fontId="8" fillId="9" borderId="2" xfId="0" applyFont="1" applyFill="1" applyBorder="1"/>
    <xf numFmtId="0" fontId="8" fillId="9" borderId="10" xfId="0" applyFont="1" applyFill="1" applyBorder="1"/>
    <xf numFmtId="0" fontId="7" fillId="8" borderId="11" xfId="0" applyFont="1" applyFill="1" applyBorder="1"/>
    <xf numFmtId="9" fontId="8" fillId="0" borderId="0" xfId="0" applyNumberFormat="1" applyFont="1"/>
    <xf numFmtId="0" fontId="7" fillId="8" borderId="1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22" xfId="0" applyFont="1" applyFill="1" applyBorder="1" applyAlignment="1">
      <alignment horizontal="center" vertical="center" wrapText="1"/>
    </xf>
    <xf numFmtId="165" fontId="8" fillId="9" borderId="24" xfId="2" applyNumberFormat="1" applyFont="1" applyFill="1" applyBorder="1"/>
    <xf numFmtId="165" fontId="9" fillId="10" borderId="25" xfId="2" applyNumberFormat="1" applyFont="1" applyFill="1" applyBorder="1"/>
    <xf numFmtId="3" fontId="9" fillId="10" borderId="26" xfId="0" applyNumberFormat="1" applyFont="1" applyFill="1" applyBorder="1"/>
    <xf numFmtId="3" fontId="8" fillId="9" borderId="24" xfId="0" applyNumberFormat="1" applyFont="1" applyFill="1" applyBorder="1"/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8" fillId="9" borderId="24" xfId="0" applyFont="1" applyFill="1" applyBorder="1"/>
    <xf numFmtId="166" fontId="8" fillId="9" borderId="28" xfId="1" applyNumberFormat="1" applyFont="1" applyFill="1" applyBorder="1"/>
    <xf numFmtId="166" fontId="8" fillId="11" borderId="24" xfId="0" applyNumberFormat="1" applyFont="1" applyFill="1" applyBorder="1" applyAlignment="1">
      <alignment horizontal="center" vertical="center" wrapText="1"/>
    </xf>
    <xf numFmtId="165" fontId="8" fillId="11" borderId="24" xfId="2" applyNumberFormat="1" applyFont="1" applyFill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8" fillId="11" borderId="24" xfId="0" applyNumberFormat="1" applyFont="1" applyFill="1" applyBorder="1" applyAlignment="1">
      <alignment horizontal="center" vertical="center" wrapText="1"/>
    </xf>
    <xf numFmtId="166" fontId="8" fillId="11" borderId="28" xfId="0" applyNumberFormat="1" applyFont="1" applyFill="1" applyBorder="1" applyAlignment="1">
      <alignment horizontal="center" vertical="center" wrapText="1"/>
    </xf>
    <xf numFmtId="164" fontId="8" fillId="9" borderId="24" xfId="2" applyNumberFormat="1" applyFont="1" applyFill="1" applyBorder="1"/>
    <xf numFmtId="164" fontId="8" fillId="9" borderId="24" xfId="0" applyNumberFormat="1" applyFont="1" applyFill="1" applyBorder="1"/>
    <xf numFmtId="0" fontId="8" fillId="11" borderId="28" xfId="0" applyFont="1" applyFill="1" applyBorder="1"/>
    <xf numFmtId="3" fontId="8" fillId="0" borderId="1" xfId="0" applyNumberFormat="1" applyFont="1" applyBorder="1"/>
    <xf numFmtId="164" fontId="8" fillId="0" borderId="1" xfId="0" applyNumberFormat="1" applyFont="1" applyBorder="1"/>
    <xf numFmtId="5" fontId="8" fillId="0" borderId="0" xfId="0" applyNumberFormat="1" applyFont="1"/>
    <xf numFmtId="0" fontId="8" fillId="0" borderId="0" xfId="0" applyNumberFormat="1" applyFont="1"/>
    <xf numFmtId="0" fontId="8" fillId="0" borderId="0" xfId="0" applyFont="1" applyAlignment="1">
      <alignment horizontal="center"/>
    </xf>
    <xf numFmtId="5" fontId="8" fillId="0" borderId="0" xfId="0" applyNumberFormat="1" applyFont="1" applyAlignment="1">
      <alignment horizontal="center"/>
    </xf>
    <xf numFmtId="0" fontId="15" fillId="0" borderId="0" xfId="0" applyFont="1"/>
    <xf numFmtId="0" fontId="16" fillId="3" borderId="0" xfId="4" applyFont="1"/>
    <xf numFmtId="0" fontId="17" fillId="7" borderId="1" xfId="0" applyFont="1" applyFill="1" applyBorder="1" applyAlignment="1">
      <alignment wrapText="1"/>
    </xf>
    <xf numFmtId="0" fontId="15" fillId="0" borderId="0" xfId="0" applyFont="1" applyFill="1"/>
    <xf numFmtId="5" fontId="16" fillId="3" borderId="0" xfId="4" applyNumberFormat="1" applyFont="1"/>
    <xf numFmtId="165" fontId="18" fillId="6" borderId="1" xfId="0" applyNumberFormat="1" applyFont="1" applyFill="1" applyBorder="1" applyAlignment="1">
      <alignment horizontal="center" vertical="center"/>
    </xf>
    <xf numFmtId="166" fontId="18" fillId="6" borderId="1" xfId="0" applyNumberFormat="1" applyFont="1" applyFill="1" applyBorder="1" applyAlignment="1">
      <alignment horizontal="center" vertical="center"/>
    </xf>
    <xf numFmtId="10" fontId="13" fillId="6" borderId="1" xfId="3" applyNumberFormat="1" applyFont="1" applyFill="1" applyBorder="1" applyAlignment="1">
      <alignment horizontal="center" vertical="center"/>
    </xf>
    <xf numFmtId="44" fontId="13" fillId="6" borderId="1" xfId="2" applyFont="1" applyFill="1" applyBorder="1" applyAlignment="1">
      <alignment horizontal="center" vertical="center"/>
    </xf>
    <xf numFmtId="166" fontId="18" fillId="6" borderId="1" xfId="1" applyNumberFormat="1" applyFont="1" applyFill="1" applyBorder="1" applyAlignment="1">
      <alignment horizontal="center" vertical="center"/>
    </xf>
    <xf numFmtId="0" fontId="16" fillId="0" borderId="0" xfId="4" applyFont="1" applyFill="1"/>
    <xf numFmtId="5" fontId="16" fillId="0" borderId="0" xfId="4" applyNumberFormat="1" applyFont="1" applyFill="1"/>
    <xf numFmtId="0" fontId="19" fillId="0" borderId="0" xfId="0" applyFont="1" applyFill="1"/>
    <xf numFmtId="0" fontId="15" fillId="6" borderId="1" xfId="0" applyFont="1" applyFill="1" applyBorder="1" applyAlignment="1">
      <alignment horizontal="center" vertical="center" wrapText="1"/>
    </xf>
    <xf numFmtId="44" fontId="15" fillId="6" borderId="1" xfId="2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/>
    </xf>
    <xf numFmtId="0" fontId="13" fillId="12" borderId="0" xfId="0" applyFont="1" applyFill="1" applyAlignment="1">
      <alignment horizontal="center"/>
    </xf>
    <xf numFmtId="0" fontId="14" fillId="13" borderId="0" xfId="0" applyFont="1" applyFill="1" applyAlignment="1">
      <alignment horizontal="center"/>
    </xf>
    <xf numFmtId="168" fontId="4" fillId="11" borderId="0" xfId="0" applyNumberFormat="1" applyFont="1" applyFill="1" applyAlignment="1">
      <alignment horizontal="center"/>
    </xf>
    <xf numFmtId="164" fontId="4" fillId="11" borderId="0" xfId="0" applyNumberFormat="1" applyFont="1" applyFill="1" applyAlignment="1">
      <alignment horizontal="center"/>
    </xf>
    <xf numFmtId="169" fontId="4" fillId="11" borderId="0" xfId="0" applyNumberFormat="1" applyFont="1" applyFill="1" applyAlignment="1">
      <alignment horizontal="center"/>
    </xf>
    <xf numFmtId="3" fontId="13" fillId="11" borderId="0" xfId="0" applyNumberFormat="1" applyFont="1" applyFill="1" applyAlignment="1">
      <alignment horizontal="center"/>
    </xf>
    <xf numFmtId="0" fontId="13" fillId="11" borderId="7" xfId="0" applyFont="1" applyFill="1" applyBorder="1" applyAlignment="1">
      <alignment horizontal="center"/>
    </xf>
    <xf numFmtId="168" fontId="13" fillId="11" borderId="7" xfId="0" applyNumberFormat="1" applyFont="1" applyFill="1" applyBorder="1" applyAlignment="1">
      <alignment horizontal="center"/>
    </xf>
    <xf numFmtId="3" fontId="13" fillId="11" borderId="7" xfId="0" applyNumberFormat="1" applyFont="1" applyFill="1" applyBorder="1" applyAlignment="1">
      <alignment horizontal="center"/>
    </xf>
    <xf numFmtId="164" fontId="13" fillId="11" borderId="7" xfId="0" applyNumberFormat="1" applyFont="1" applyFill="1" applyBorder="1" applyAlignment="1">
      <alignment horizontal="center"/>
    </xf>
    <xf numFmtId="167" fontId="13" fillId="11" borderId="7" xfId="0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167" fontId="4" fillId="11" borderId="0" xfId="0" applyNumberFormat="1" applyFont="1" applyFill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/>
    </xf>
    <xf numFmtId="170" fontId="18" fillId="6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left"/>
    </xf>
    <xf numFmtId="9" fontId="0" fillId="0" borderId="0" xfId="3" applyFont="1"/>
    <xf numFmtId="165" fontId="0" fillId="0" borderId="0" xfId="2" applyNumberFormat="1" applyFont="1"/>
    <xf numFmtId="165" fontId="0" fillId="0" borderId="0" xfId="0" applyNumberFormat="1"/>
    <xf numFmtId="1" fontId="0" fillId="0" borderId="0" xfId="0" applyNumberFormat="1"/>
    <xf numFmtId="167" fontId="0" fillId="0" borderId="0" xfId="0" applyNumberFormat="1"/>
    <xf numFmtId="169" fontId="4" fillId="11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3" fontId="13" fillId="0" borderId="0" xfId="0" applyNumberFormat="1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164" fontId="4" fillId="14" borderId="0" xfId="0" applyNumberFormat="1" applyFont="1" applyFill="1" applyAlignment="1">
      <alignment horizontal="center"/>
    </xf>
    <xf numFmtId="169" fontId="4" fillId="14" borderId="0" xfId="0" applyNumberFormat="1" applyFont="1" applyFill="1" applyAlignment="1">
      <alignment horizontal="center"/>
    </xf>
    <xf numFmtId="3" fontId="13" fillId="14" borderId="0" xfId="0" applyNumberFormat="1" applyFont="1" applyFill="1" applyAlignment="1">
      <alignment horizontal="center"/>
    </xf>
    <xf numFmtId="0" fontId="1" fillId="14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9" fontId="0" fillId="0" borderId="0" xfId="3" applyFont="1" applyAlignment="1">
      <alignment horizontal="center"/>
    </xf>
    <xf numFmtId="0" fontId="13" fillId="15" borderId="36" xfId="0" applyFont="1" applyFill="1" applyBorder="1" applyAlignment="1">
      <alignment horizontal="center" wrapText="1"/>
    </xf>
    <xf numFmtId="0" fontId="1" fillId="0" borderId="36" xfId="0" applyFont="1" applyFill="1" applyBorder="1" applyAlignment="1">
      <alignment horizontal="left" wrapText="1"/>
    </xf>
    <xf numFmtId="0" fontId="14" fillId="15" borderId="36" xfId="0" applyFont="1" applyFill="1" applyBorder="1" applyAlignment="1">
      <alignment horizontal="center" wrapText="1"/>
    </xf>
    <xf numFmtId="0" fontId="2" fillId="0" borderId="36" xfId="0" applyFont="1" applyFill="1" applyBorder="1" applyAlignment="1">
      <alignment horizontal="center" wrapText="1"/>
    </xf>
    <xf numFmtId="164" fontId="4" fillId="0" borderId="36" xfId="0" applyNumberFormat="1" applyFont="1" applyFill="1" applyBorder="1" applyAlignment="1">
      <alignment horizontal="center" wrapText="1"/>
    </xf>
    <xf numFmtId="169" fontId="4" fillId="0" borderId="36" xfId="0" applyNumberFormat="1" applyFont="1" applyFill="1" applyBorder="1" applyAlignment="1">
      <alignment horizontal="center" wrapText="1"/>
    </xf>
    <xf numFmtId="3" fontId="13" fillId="0" borderId="36" xfId="0" applyNumberFormat="1" applyFont="1" applyFill="1" applyBorder="1" applyAlignment="1">
      <alignment horizontal="center" wrapText="1"/>
    </xf>
    <xf numFmtId="3" fontId="21" fillId="0" borderId="36" xfId="0" applyNumberFormat="1" applyFont="1" applyFill="1" applyBorder="1" applyAlignment="1">
      <alignment horizontal="center" wrapText="1"/>
    </xf>
    <xf numFmtId="164" fontId="13" fillId="15" borderId="36" xfId="0" applyNumberFormat="1" applyFont="1" applyFill="1" applyBorder="1" applyAlignment="1">
      <alignment horizontal="center" wrapText="1"/>
    </xf>
    <xf numFmtId="169" fontId="4" fillId="15" borderId="36" xfId="0" applyNumberFormat="1" applyFont="1" applyFill="1" applyBorder="1" applyAlignment="1">
      <alignment horizontal="center" wrapText="1"/>
    </xf>
    <xf numFmtId="3" fontId="13" fillId="15" borderId="36" xfId="0" applyNumberFormat="1" applyFont="1" applyFill="1" applyBorder="1" applyAlignment="1">
      <alignment horizontal="center" wrapText="1"/>
    </xf>
    <xf numFmtId="0" fontId="4" fillId="15" borderId="36" xfId="0" applyFont="1" applyFill="1" applyBorder="1" applyAlignment="1">
      <alignment horizontal="center" wrapText="1"/>
    </xf>
    <xf numFmtId="0" fontId="22" fillId="0" borderId="37" xfId="0" applyFont="1" applyBorder="1" applyAlignment="1">
      <alignment horizontal="left"/>
    </xf>
    <xf numFmtId="0" fontId="0" fillId="0" borderId="0" xfId="0" applyAlignment="1">
      <alignment wrapText="1"/>
    </xf>
    <xf numFmtId="164" fontId="8" fillId="0" borderId="1" xfId="0" applyNumberFormat="1" applyFont="1" applyFill="1" applyBorder="1"/>
    <xf numFmtId="3" fontId="8" fillId="0" borderId="1" xfId="0" applyNumberFormat="1" applyFont="1" applyFill="1" applyBorder="1"/>
    <xf numFmtId="5" fontId="8" fillId="0" borderId="0" xfId="0" applyNumberFormat="1" applyFont="1" applyFill="1"/>
    <xf numFmtId="0" fontId="8" fillId="0" borderId="0" xfId="0" applyNumberFormat="1" applyFont="1" applyFill="1"/>
    <xf numFmtId="0" fontId="8" fillId="0" borderId="0" xfId="0" applyFont="1" applyFill="1"/>
    <xf numFmtId="0" fontId="23" fillId="0" borderId="0" xfId="0" applyFont="1"/>
    <xf numFmtId="3" fontId="0" fillId="0" borderId="0" xfId="0" applyNumberFormat="1"/>
    <xf numFmtId="0" fontId="24" fillId="16" borderId="37" xfId="10" applyFont="1" applyFill="1" applyBorder="1" applyAlignment="1">
      <alignment horizontal="left"/>
    </xf>
    <xf numFmtId="0" fontId="25" fillId="0" borderId="37" xfId="10" applyFont="1" applyBorder="1" applyAlignment="1">
      <alignment horizontal="left"/>
    </xf>
    <xf numFmtId="171" fontId="25" fillId="0" borderId="38" xfId="10" applyNumberFormat="1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5" fontId="8" fillId="12" borderId="0" xfId="0" applyNumberFormat="1" applyFont="1" applyFill="1"/>
    <xf numFmtId="164" fontId="8" fillId="12" borderId="1" xfId="0" applyNumberFormat="1" applyFont="1" applyFill="1" applyBorder="1"/>
    <xf numFmtId="3" fontId="8" fillId="12" borderId="1" xfId="0" applyNumberFormat="1" applyFont="1" applyFill="1" applyBorder="1"/>
    <xf numFmtId="0" fontId="8" fillId="12" borderId="0" xfId="0" applyNumberFormat="1" applyFont="1" applyFill="1"/>
    <xf numFmtId="0" fontId="26" fillId="15" borderId="36" xfId="0" applyFont="1" applyFill="1" applyBorder="1" applyAlignment="1">
      <alignment horizontal="center" vertical="center"/>
    </xf>
    <xf numFmtId="0" fontId="26" fillId="15" borderId="36" xfId="0" applyFont="1" applyFill="1" applyBorder="1" applyAlignment="1">
      <alignment horizontal="center" vertical="center" wrapText="1"/>
    </xf>
    <xf numFmtId="0" fontId="27" fillId="15" borderId="36" xfId="0" applyFont="1" applyFill="1" applyBorder="1" applyAlignment="1">
      <alignment horizontal="center" vertical="center" wrapText="1"/>
    </xf>
    <xf numFmtId="0" fontId="28" fillId="0" borderId="36" xfId="0" applyFont="1" applyFill="1" applyBorder="1" applyAlignment="1">
      <alignment horizontal="center" vertical="center"/>
    </xf>
    <xf numFmtId="0" fontId="28" fillId="0" borderId="36" xfId="0" applyFont="1" applyFill="1" applyBorder="1" applyAlignment="1">
      <alignment horizontal="left" vertical="center"/>
    </xf>
    <xf numFmtId="164" fontId="28" fillId="0" borderId="36" xfId="0" applyNumberFormat="1" applyFont="1" applyFill="1" applyBorder="1" applyAlignment="1">
      <alignment horizontal="center" vertical="center"/>
    </xf>
    <xf numFmtId="0" fontId="28" fillId="0" borderId="0" xfId="0" applyFont="1"/>
    <xf numFmtId="0" fontId="10" fillId="17" borderId="0" xfId="10" applyFont="1" applyFill="1"/>
    <xf numFmtId="0" fontId="29" fillId="15" borderId="36" xfId="0" applyFont="1" applyFill="1" applyBorder="1" applyAlignment="1">
      <alignment horizontal="center" wrapText="1"/>
    </xf>
    <xf numFmtId="172" fontId="28" fillId="0" borderId="36" xfId="0" applyNumberFormat="1" applyFont="1" applyFill="1" applyBorder="1" applyAlignment="1">
      <alignment horizontal="center" vertical="center"/>
    </xf>
    <xf numFmtId="3" fontId="28" fillId="0" borderId="36" xfId="0" applyNumberFormat="1" applyFont="1" applyFill="1" applyBorder="1" applyAlignment="1">
      <alignment horizontal="center" vertical="center"/>
    </xf>
    <xf numFmtId="0" fontId="26" fillId="15" borderId="39" xfId="0" applyFont="1" applyFill="1" applyBorder="1" applyAlignment="1">
      <alignment horizontal="center" vertical="center"/>
    </xf>
    <xf numFmtId="0" fontId="26" fillId="15" borderId="40" xfId="0" applyFont="1" applyFill="1" applyBorder="1" applyAlignment="1">
      <alignment horizontal="center" vertical="center"/>
    </xf>
    <xf numFmtId="0" fontId="14" fillId="4" borderId="0" xfId="5" applyFont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5" fillId="5" borderId="1" xfId="0" applyFont="1" applyFill="1" applyBorder="1" applyAlignment="1">
      <alignment horizontal="center" wrapText="1"/>
    </xf>
    <xf numFmtId="0" fontId="7" fillId="8" borderId="27" xfId="0" applyFont="1" applyFill="1" applyBorder="1" applyAlignment="1">
      <alignment horizontal="center" vertical="center" wrapText="1"/>
    </xf>
    <xf numFmtId="0" fontId="7" fillId="8" borderId="29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23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wrapText="1"/>
    </xf>
    <xf numFmtId="0" fontId="8" fillId="8" borderId="13" xfId="0" applyFont="1" applyFill="1" applyBorder="1" applyAlignment="1">
      <alignment horizontal="center" wrapText="1"/>
    </xf>
    <xf numFmtId="0" fontId="7" fillId="8" borderId="19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 wrapText="1"/>
    </xf>
    <xf numFmtId="164" fontId="26" fillId="15" borderId="36" xfId="0" applyNumberFormat="1" applyFont="1" applyFill="1" applyBorder="1" applyAlignment="1">
      <alignment horizontal="center" vertical="center"/>
    </xf>
    <xf numFmtId="169" fontId="26" fillId="15" borderId="36" xfId="0" applyNumberFormat="1" applyFont="1" applyFill="1" applyBorder="1" applyAlignment="1">
      <alignment horizontal="center" vertical="center"/>
    </xf>
    <xf numFmtId="3" fontId="26" fillId="15" borderId="36" xfId="0" applyNumberFormat="1" applyFont="1" applyFill="1" applyBorder="1" applyAlignment="1">
      <alignment horizontal="center" vertical="center"/>
    </xf>
  </cellXfs>
  <cellStyles count="14">
    <cellStyle name="60% - Accent1" xfId="4" builtinId="32"/>
    <cellStyle name="60% - Accent4" xfId="5" builtinId="44"/>
    <cellStyle name="Comma" xfId="1" builtinId="3"/>
    <cellStyle name="Comma 2" xfId="6" xr:uid="{00000000-0005-0000-0000-000003000000}"/>
    <cellStyle name="Comma 2 2" xfId="7" xr:uid="{00000000-0005-0000-0000-000004000000}"/>
    <cellStyle name="Comma 2 3" xfId="8" xr:uid="{00000000-0005-0000-0000-000005000000}"/>
    <cellStyle name="Currency" xfId="2" builtinId="4"/>
    <cellStyle name="Currency 2" xfId="9" xr:uid="{00000000-0005-0000-0000-000007000000}"/>
    <cellStyle name="Normal" xfId="0" builtinId="0"/>
    <cellStyle name="Normal 2" xfId="10" xr:uid="{00000000-0005-0000-0000-000009000000}"/>
    <cellStyle name="Normal 2 2" xfId="11" xr:uid="{00000000-0005-0000-0000-00000A000000}"/>
    <cellStyle name="Normal 2 3" xfId="12" xr:uid="{00000000-0005-0000-0000-00000B000000}"/>
    <cellStyle name="Percent" xfId="3" builtinId="5"/>
    <cellStyle name="Percent 2" xfId="13" xr:uid="{00000000-0005-0000-0000-00000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Curve: HCC In office</a:t>
            </a:r>
          </a:p>
        </c:rich>
      </c:tx>
      <c:layout>
        <c:manualLayout>
          <c:xMode val="edge"/>
          <c:yMode val="edge"/>
          <c:x val="0.3113975099703446"/>
          <c:y val="4.06779661016949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461324575189843"/>
          <c:y val="0.15277917287366105"/>
          <c:w val="0.69167370145026763"/>
          <c:h val="0.64334482514010072"/>
        </c:manualLayout>
      </c:layout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xVal>
            <c:numRef>
              <c:f>'HCC Inoffice Curve'!$B$12</c:f>
              <c:numCache>
                <c:formatCode>_("$"* #,##0_);_("$"* \(#,##0\);_("$"* "-"??_);_(@_)</c:formatCode>
                <c:ptCount val="1"/>
                <c:pt idx="0">
                  <c:v>1100000</c:v>
                </c:pt>
              </c:numCache>
            </c:numRef>
          </c:xVal>
          <c:yVal>
            <c:numRef>
              <c:f>'HCC Inoffice Curve'!$C$12</c:f>
              <c:numCache>
                <c:formatCode>#,##0</c:formatCode>
                <c:ptCount val="1"/>
                <c:pt idx="0">
                  <c:v>7211.735697901333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6-47E6-8FF7-86C9BEED7196}"/>
            </c:ext>
          </c:extLst>
        </c:ser>
        <c:ser>
          <c:idx val="1"/>
          <c:order val="1"/>
          <c:tx>
            <c:strRef>
              <c:f>'HCC Inoffice Curve'!$D$3</c:f>
              <c:strCache>
                <c:ptCount val="1"/>
                <c:pt idx="0">
                  <c:v>Incr. Doses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'HCC Inoffice Curve'!$A$22:$A$42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'HCC Inoffice Curve'!$B$22:$B$42</c:f>
              <c:numCache>
                <c:formatCode>#,##0</c:formatCode>
                <c:ptCount val="21"/>
                <c:pt idx="0">
                  <c:v>0</c:v>
                </c:pt>
                <c:pt idx="1">
                  <c:v>2101.0175809348002</c:v>
                </c:pt>
                <c:pt idx="2">
                  <c:v>3896.6813773075119</c:v>
                </c:pt>
                <c:pt idx="3">
                  <c:v>5431.1826382223517</c:v>
                </c:pt>
                <c:pt idx="4">
                  <c:v>6742.3679651152343</c:v>
                </c:pt>
                <c:pt idx="5">
                  <c:v>7862.6364660803229</c:v>
                </c:pt>
                <c:pt idx="6">
                  <c:v>8819.7137978412211</c:v>
                </c:pt>
                <c:pt idx="7">
                  <c:v>9637.3189575029537</c:v>
                </c:pt>
                <c:pt idx="8">
                  <c:v>10335.737933591008</c:v>
                </c:pt>
                <c:pt idx="9">
                  <c:v>10932.316680109128</c:v>
                </c:pt>
                <c:pt idx="10">
                  <c:v>11441.88436180912</c:v>
                </c:pt>
                <c:pt idx="11">
                  <c:v>11877.116443598643</c:v>
                </c:pt>
                <c:pt idx="12">
                  <c:v>12248.845962864347</c:v>
                </c:pt>
                <c:pt idx="13">
                  <c:v>12566.330225751735</c:v>
                </c:pt>
                <c:pt idx="14">
                  <c:v>12837.479198854417</c:v>
                </c:pt>
                <c:pt idx="15">
                  <c:v>13069.051016137004</c:v>
                </c:pt>
                <c:pt idx="16">
                  <c:v>13266.819276439957</c:v>
                </c:pt>
                <c:pt idx="17">
                  <c:v>13435.716158440337</c:v>
                </c:pt>
                <c:pt idx="18">
                  <c:v>13579.954816993326</c:v>
                </c:pt>
                <c:pt idx="19">
                  <c:v>13703.13403717149</c:v>
                </c:pt>
                <c:pt idx="20">
                  <c:v>13808.32770110853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6-47E6-8FF7-86C9BEED7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72512"/>
        <c:axId val="686274816"/>
      </c:scatterChart>
      <c:valAx>
        <c:axId val="686272512"/>
        <c:scaling>
          <c:orientation val="minMax"/>
          <c:max val="5000000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 Spend ($ MM)</a:t>
                </a:r>
              </a:p>
            </c:rich>
          </c:tx>
          <c:layout>
            <c:manualLayout>
              <c:xMode val="edge"/>
              <c:yMode val="edge"/>
              <c:x val="0.38385556065604381"/>
              <c:y val="0.919185358586933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86274816"/>
        <c:crosses val="autoZero"/>
        <c:crossBetween val="midCat"/>
        <c:majorUnit val="1000000"/>
        <c:dispUnits>
          <c:builtInUnit val="millions"/>
        </c:dispUnits>
      </c:valAx>
      <c:valAx>
        <c:axId val="68627481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Incremental Doses</a:t>
                </a:r>
              </a:p>
            </c:rich>
          </c:tx>
          <c:layout>
            <c:manualLayout>
              <c:xMode val="edge"/>
              <c:yMode val="edge"/>
              <c:x val="2.3445648839349627E-2"/>
              <c:y val="0.3059467058143155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686272512"/>
        <c:crosses val="autoZero"/>
        <c:crossBetween val="midCat"/>
        <c:dispUnits>
          <c:builtInUnit val="thousands"/>
          <c:dispUnitsLbl/>
        </c:dispUnits>
      </c:valAx>
      <c:spPr>
        <a:noFill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18</xdr:row>
      <xdr:rowOff>123826</xdr:rowOff>
    </xdr:from>
    <xdr:to>
      <xdr:col>11</xdr:col>
      <xdr:colOff>76201</xdr:colOff>
      <xdr:row>40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5"/>
  <sheetViews>
    <sheetView showGridLines="0" tabSelected="1" zoomScale="80" zoomScaleNormal="80" workbookViewId="0">
      <selection activeCell="B3" sqref="B3:I6"/>
    </sheetView>
  </sheetViews>
  <sheetFormatPr defaultColWidth="11.85546875" defaultRowHeight="15" x14ac:dyDescent="0.25"/>
  <cols>
    <col min="1" max="1" width="4.28515625" customWidth="1"/>
    <col min="2" max="2" width="20.140625" customWidth="1"/>
    <col min="3" max="3" width="43" bestFit="1" customWidth="1"/>
    <col min="4" max="4" width="17.5703125" bestFit="1" customWidth="1"/>
    <col min="5" max="5" width="12.7109375" customWidth="1"/>
    <col min="6" max="6" width="21.7109375" customWidth="1"/>
    <col min="7" max="7" width="21" customWidth="1"/>
    <col min="8" max="8" width="15.7109375" bestFit="1" customWidth="1"/>
    <col min="9" max="9" width="20.28515625" customWidth="1"/>
    <col min="10" max="10" width="36.42578125" style="108" customWidth="1"/>
    <col min="12" max="12" width="23.42578125" bestFit="1" customWidth="1"/>
  </cols>
  <sheetData>
    <row r="1" spans="2:12" ht="27.75" customHeight="1" x14ac:dyDescent="0.25"/>
    <row r="2" spans="2:12" x14ac:dyDescent="0.25">
      <c r="B2" s="75"/>
    </row>
    <row r="3" spans="2:12" ht="33.75" customHeight="1" x14ac:dyDescent="0.25">
      <c r="B3" s="125" t="s">
        <v>0</v>
      </c>
      <c r="C3" s="125" t="s">
        <v>53</v>
      </c>
      <c r="D3" s="126" t="s">
        <v>109</v>
      </c>
      <c r="E3" s="126" t="s">
        <v>56</v>
      </c>
      <c r="F3" s="126" t="s">
        <v>119</v>
      </c>
      <c r="G3" s="126" t="s">
        <v>120</v>
      </c>
      <c r="H3" s="125" t="s">
        <v>60</v>
      </c>
      <c r="I3" s="126" t="s">
        <v>89</v>
      </c>
      <c r="J3" s="127" t="s">
        <v>52</v>
      </c>
      <c r="K3" s="114" t="s">
        <v>103</v>
      </c>
    </row>
    <row r="4" spans="2:12" ht="32.25" customHeight="1" x14ac:dyDescent="0.25">
      <c r="B4" s="128" t="s">
        <v>101</v>
      </c>
      <c r="C4" s="129" t="s">
        <v>108</v>
      </c>
      <c r="D4" s="130">
        <v>548678</v>
      </c>
      <c r="E4" s="134">
        <v>1.3770449327332117</v>
      </c>
      <c r="F4" s="130">
        <v>225.94</v>
      </c>
      <c r="G4" s="130">
        <f>E4*D4</f>
        <v>755554.25960219314</v>
      </c>
      <c r="H4" s="135">
        <f>G4/F4</f>
        <v>3344.0482411356693</v>
      </c>
      <c r="I4" s="135" t="s">
        <v>111</v>
      </c>
      <c r="J4" s="120" t="s">
        <v>118</v>
      </c>
      <c r="K4" s="131" t="s">
        <v>104</v>
      </c>
      <c r="L4" s="132" t="s">
        <v>116</v>
      </c>
    </row>
    <row r="5" spans="2:12" ht="41.45" customHeight="1" x14ac:dyDescent="0.25">
      <c r="B5" s="128" t="s">
        <v>101</v>
      </c>
      <c r="C5" s="129" t="s">
        <v>102</v>
      </c>
      <c r="D5" s="130">
        <v>551322</v>
      </c>
      <c r="E5" s="134">
        <v>1.5850361566954232</v>
      </c>
      <c r="F5" s="130">
        <v>225.94</v>
      </c>
      <c r="G5" s="130">
        <f>E5*D5</f>
        <v>873865.30398163409</v>
      </c>
      <c r="H5" s="135">
        <f>G5/F5</f>
        <v>3867.6874567656637</v>
      </c>
      <c r="I5" s="135" t="s">
        <v>111</v>
      </c>
      <c r="J5" s="119" t="s">
        <v>110</v>
      </c>
      <c r="K5" s="131" t="s">
        <v>104</v>
      </c>
      <c r="L5" s="132" t="s">
        <v>117</v>
      </c>
    </row>
    <row r="6" spans="2:12" ht="15.75" x14ac:dyDescent="0.25">
      <c r="B6" s="136" t="s">
        <v>98</v>
      </c>
      <c r="C6" s="137"/>
      <c r="D6" s="161">
        <f>SUM(D4:D5)</f>
        <v>1100000</v>
      </c>
      <c r="E6" s="162">
        <f>G6/D6</f>
        <v>1.4812905123489337</v>
      </c>
      <c r="F6" s="161"/>
      <c r="G6" s="161">
        <f>SUM(G4:G5)</f>
        <v>1629419.5635838271</v>
      </c>
      <c r="H6" s="163">
        <f>SUM(H4:H5)</f>
        <v>7211.735697901333</v>
      </c>
      <c r="I6" s="163"/>
      <c r="J6" s="133"/>
    </row>
    <row r="9" spans="2:12" x14ac:dyDescent="0.25">
      <c r="C9" s="116" t="s">
        <v>105</v>
      </c>
      <c r="D9" s="118" t="s">
        <v>107</v>
      </c>
      <c r="E9" s="76"/>
      <c r="F9" s="79"/>
      <c r="G9" s="80"/>
    </row>
    <row r="10" spans="2:12" x14ac:dyDescent="0.25">
      <c r="C10" s="117" t="s">
        <v>100</v>
      </c>
      <c r="D10" s="118">
        <v>548678</v>
      </c>
    </row>
    <row r="11" spans="2:12" x14ac:dyDescent="0.25">
      <c r="C11" s="117" t="s">
        <v>99</v>
      </c>
      <c r="D11" s="118">
        <v>551322</v>
      </c>
    </row>
    <row r="12" spans="2:12" x14ac:dyDescent="0.25">
      <c r="C12" s="117" t="s">
        <v>106</v>
      </c>
      <c r="D12" s="118">
        <v>34710</v>
      </c>
    </row>
    <row r="13" spans="2:12" x14ac:dyDescent="0.25">
      <c r="C13" s="107"/>
    </row>
    <row r="14" spans="2:12" x14ac:dyDescent="0.25">
      <c r="C14" s="107"/>
    </row>
    <row r="15" spans="2:12" x14ac:dyDescent="0.25">
      <c r="C15" s="107"/>
    </row>
  </sheetData>
  <mergeCells count="1">
    <mergeCell ref="B6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showGridLines="0" zoomScaleNormal="100" workbookViewId="0">
      <selection activeCell="L5" sqref="L5"/>
    </sheetView>
  </sheetViews>
  <sheetFormatPr defaultColWidth="9.140625" defaultRowHeight="16.5" x14ac:dyDescent="0.3"/>
  <cols>
    <col min="1" max="1" width="6" style="42" bestFit="1" customWidth="1"/>
    <col min="2" max="2" width="8" style="42" bestFit="1" customWidth="1"/>
    <col min="3" max="3" width="40.28515625" style="42" bestFit="1" customWidth="1"/>
    <col min="4" max="4" width="8" style="42" bestFit="1" customWidth="1"/>
    <col min="5" max="5" width="4.5703125" style="42" customWidth="1"/>
    <col min="6" max="6" width="18" style="42" bestFit="1" customWidth="1"/>
    <col min="7" max="7" width="3.5703125" style="42" customWidth="1"/>
    <col min="8" max="8" width="14.140625" style="42" bestFit="1" customWidth="1"/>
    <col min="9" max="9" width="12.28515625" style="42" customWidth="1"/>
    <col min="10" max="10" width="12.140625" style="42" customWidth="1"/>
    <col min="11" max="11" width="14.28515625" style="42" customWidth="1"/>
    <col min="12" max="12" width="15.140625" style="42" customWidth="1"/>
    <col min="13" max="13" width="11.7109375" style="42" customWidth="1"/>
    <col min="14" max="16384" width="9.140625" style="42"/>
  </cols>
  <sheetData>
    <row r="1" spans="1:13" x14ac:dyDescent="0.3">
      <c r="A1" s="138" t="s">
        <v>68</v>
      </c>
      <c r="B1" s="138"/>
      <c r="C1" s="138"/>
      <c r="D1" s="138"/>
      <c r="E1" s="138"/>
      <c r="F1" s="138"/>
      <c r="G1" s="138"/>
      <c r="H1" s="138"/>
      <c r="I1" s="138"/>
      <c r="J1" s="138"/>
    </row>
    <row r="3" spans="1:13" x14ac:dyDescent="0.3">
      <c r="B3" s="43" t="s">
        <v>58</v>
      </c>
      <c r="C3" s="43"/>
      <c r="D3" s="43"/>
      <c r="H3" s="139">
        <v>2023</v>
      </c>
      <c r="I3" s="140"/>
      <c r="J3" s="140"/>
      <c r="K3" s="140"/>
      <c r="L3" s="140" t="s">
        <v>1</v>
      </c>
      <c r="M3" s="140"/>
    </row>
    <row r="4" spans="1:13" ht="82.5" x14ac:dyDescent="0.3">
      <c r="B4" s="43"/>
      <c r="C4" s="43" t="s">
        <v>114</v>
      </c>
      <c r="D4" s="43"/>
      <c r="F4" s="44" t="s">
        <v>115</v>
      </c>
      <c r="H4" s="55" t="s">
        <v>2</v>
      </c>
      <c r="I4" s="71" t="s">
        <v>64</v>
      </c>
      <c r="J4" s="71" t="s">
        <v>65</v>
      </c>
      <c r="K4" s="56" t="s">
        <v>61</v>
      </c>
      <c r="L4" s="55" t="s">
        <v>62</v>
      </c>
      <c r="M4" s="55" t="s">
        <v>63</v>
      </c>
    </row>
    <row r="5" spans="1:13" s="45" customFormat="1" ht="25.5" customHeight="1" x14ac:dyDescent="0.3">
      <c r="B5" s="43"/>
      <c r="C5" s="43" t="s">
        <v>113</v>
      </c>
      <c r="D5" s="46">
        <v>225.94</v>
      </c>
      <c r="F5" s="115">
        <v>4647854</v>
      </c>
      <c r="G5" s="42"/>
      <c r="H5" s="47">
        <f>'HCC Inoffice'!D6</f>
        <v>1100000</v>
      </c>
      <c r="I5" s="48">
        <f>'HCC Inoffice'!H6</f>
        <v>7211.735697901333</v>
      </c>
      <c r="J5" s="49">
        <f>I5/F5</f>
        <v>1.5516269869710478E-3</v>
      </c>
      <c r="K5" s="50">
        <f>H5/I5</f>
        <v>152.52916164413901</v>
      </c>
      <c r="L5" s="73">
        <f>J5*2</f>
        <v>3.1032539739420956E-3</v>
      </c>
      <c r="M5" s="51">
        <f>L5*F5</f>
        <v>14423.471395802664</v>
      </c>
    </row>
    <row r="6" spans="1:13" s="45" customFormat="1" ht="26.25" customHeight="1" x14ac:dyDescent="0.3">
      <c r="B6" s="52"/>
      <c r="C6" s="43" t="s">
        <v>112</v>
      </c>
      <c r="D6" s="46"/>
      <c r="H6" s="54" t="s">
        <v>3</v>
      </c>
    </row>
    <row r="7" spans="1:13" s="45" customFormat="1" x14ac:dyDescent="0.3">
      <c r="B7" s="52"/>
      <c r="C7" s="52"/>
      <c r="D7" s="53"/>
    </row>
    <row r="8" spans="1:13" s="45" customFormat="1" x14ac:dyDescent="0.3">
      <c r="B8" s="52"/>
      <c r="C8" s="52"/>
      <c r="D8" s="53"/>
    </row>
  </sheetData>
  <mergeCells count="3">
    <mergeCell ref="A1:J1"/>
    <mergeCell ref="H3:K3"/>
    <mergeCell ref="L3:M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O42"/>
  <sheetViews>
    <sheetView showGridLines="0" topLeftCell="A12" workbookViewId="0">
      <selection activeCell="G18" sqref="G18"/>
    </sheetView>
  </sheetViews>
  <sheetFormatPr defaultColWidth="8.85546875" defaultRowHeight="12.75" x14ac:dyDescent="0.2"/>
  <cols>
    <col min="1" max="1" width="12.140625" style="2" customWidth="1"/>
    <col min="2" max="2" width="13.5703125" style="2" customWidth="1"/>
    <col min="3" max="3" width="12.5703125" style="2" customWidth="1"/>
    <col min="4" max="4" width="13.7109375" style="2" customWidth="1"/>
    <col min="5" max="5" width="15.7109375" style="2" customWidth="1"/>
    <col min="6" max="6" width="12.42578125" style="2" customWidth="1"/>
    <col min="7" max="7" width="12" style="2" customWidth="1"/>
    <col min="8" max="8" width="10.28515625" style="2" customWidth="1"/>
    <col min="9" max="9" width="11.7109375" style="2" customWidth="1"/>
    <col min="10" max="10" width="12.7109375" style="2" customWidth="1"/>
    <col min="11" max="11" width="14.28515625" style="2" bestFit="1" customWidth="1"/>
    <col min="12" max="13" width="12" style="2" bestFit="1" customWidth="1"/>
    <col min="14" max="14" width="11.42578125" style="2" bestFit="1" customWidth="1"/>
    <col min="15" max="15" width="11" style="2" customWidth="1"/>
    <col min="16" max="16384" width="8.85546875" style="2"/>
  </cols>
  <sheetData>
    <row r="1" spans="1:15" ht="13.5" thickBot="1" x14ac:dyDescent="0.25">
      <c r="A1" s="1" t="s">
        <v>4</v>
      </c>
      <c r="B1" s="2" t="s">
        <v>5</v>
      </c>
    </row>
    <row r="2" spans="1:15" x14ac:dyDescent="0.2">
      <c r="A2" s="3" t="s">
        <v>0</v>
      </c>
      <c r="B2" s="4" t="s">
        <v>59</v>
      </c>
      <c r="C2" s="5" t="s">
        <v>6</v>
      </c>
      <c r="D2" s="6" t="s">
        <v>7</v>
      </c>
      <c r="H2" s="7" t="s">
        <v>8</v>
      </c>
      <c r="I2" s="8"/>
      <c r="J2" s="8"/>
      <c r="K2" s="8"/>
      <c r="L2" s="9"/>
    </row>
    <row r="3" spans="1:15" ht="13.5" thickBot="1" x14ac:dyDescent="0.25">
      <c r="A3" s="10" t="s">
        <v>9</v>
      </c>
      <c r="B3" s="11" t="s">
        <v>86</v>
      </c>
      <c r="C3" s="1" t="s">
        <v>10</v>
      </c>
      <c r="D3" s="12" t="s">
        <v>87</v>
      </c>
      <c r="E3" s="1" t="s">
        <v>11</v>
      </c>
      <c r="F3" s="12" t="s">
        <v>88</v>
      </c>
    </row>
    <row r="4" spans="1:15" ht="15" customHeight="1" thickBot="1" x14ac:dyDescent="0.25">
      <c r="A4" s="13" t="s">
        <v>12</v>
      </c>
      <c r="B4" s="152" t="s">
        <v>13</v>
      </c>
      <c r="C4" s="152"/>
      <c r="D4" s="152"/>
      <c r="E4" s="152"/>
      <c r="F4" s="153"/>
      <c r="H4" s="2" t="s">
        <v>14</v>
      </c>
    </row>
    <row r="5" spans="1:15" x14ac:dyDescent="0.2">
      <c r="H5" s="2" t="s">
        <v>15</v>
      </c>
    </row>
    <row r="6" spans="1:15" ht="13.5" thickBot="1" x14ac:dyDescent="0.25">
      <c r="B6" s="14">
        <v>0.5</v>
      </c>
      <c r="C6" s="14">
        <v>1.5</v>
      </c>
    </row>
    <row r="7" spans="1:15" ht="27.6" customHeight="1" x14ac:dyDescent="0.2">
      <c r="A7" s="150" t="s">
        <v>16</v>
      </c>
      <c r="B7" s="155" t="s">
        <v>17</v>
      </c>
      <c r="C7" s="156"/>
      <c r="D7" s="157" t="s">
        <v>18</v>
      </c>
      <c r="E7" s="158"/>
      <c r="F7" s="159" t="s">
        <v>19</v>
      </c>
      <c r="G7" s="160"/>
    </row>
    <row r="8" spans="1:15" ht="25.5" x14ac:dyDescent="0.2">
      <c r="A8" s="154"/>
      <c r="B8" s="15" t="s">
        <v>20</v>
      </c>
      <c r="C8" s="16" t="s">
        <v>21</v>
      </c>
      <c r="D8" s="17" t="s">
        <v>22</v>
      </c>
      <c r="E8" s="16" t="s">
        <v>23</v>
      </c>
      <c r="F8" s="18" t="s">
        <v>24</v>
      </c>
      <c r="G8" s="19" t="s">
        <v>25</v>
      </c>
    </row>
    <row r="9" spans="1:15" ht="13.5" thickBot="1" x14ac:dyDescent="0.25">
      <c r="A9" s="151"/>
      <c r="B9" s="20">
        <f>B6*B12</f>
        <v>550000</v>
      </c>
      <c r="C9" s="20">
        <f>C6*B12</f>
        <v>1650000</v>
      </c>
      <c r="D9" s="21">
        <f>F9</f>
        <v>1100000</v>
      </c>
      <c r="E9" s="22">
        <f>(($O$12/(1+EXP($M$12+$N$12*D9)))-1) - ($F$12-$C$12)</f>
        <v>7211.7356979008764</v>
      </c>
      <c r="F9" s="20">
        <f>B12</f>
        <v>1100000</v>
      </c>
      <c r="G9" s="23">
        <f>C12</f>
        <v>7211.735697901333</v>
      </c>
    </row>
    <row r="10" spans="1:15" ht="13.5" thickBot="1" x14ac:dyDescent="0.25"/>
    <row r="11" spans="1:15" ht="51.6" customHeight="1" x14ac:dyDescent="0.2">
      <c r="A11" s="150" t="s">
        <v>26</v>
      </c>
      <c r="B11" s="24" t="s">
        <v>27</v>
      </c>
      <c r="C11" s="24" t="s">
        <v>28</v>
      </c>
      <c r="D11" s="24" t="s">
        <v>29</v>
      </c>
      <c r="E11" s="24" t="s">
        <v>30</v>
      </c>
      <c r="F11" s="25" t="s">
        <v>31</v>
      </c>
      <c r="H11" s="141" t="s">
        <v>32</v>
      </c>
      <c r="I11" s="24" t="s">
        <v>33</v>
      </c>
      <c r="J11" s="24" t="s">
        <v>34</v>
      </c>
      <c r="K11" s="24" t="s">
        <v>35</v>
      </c>
      <c r="L11" s="24" t="s">
        <v>36</v>
      </c>
      <c r="M11" s="24" t="s">
        <v>37</v>
      </c>
      <c r="N11" s="24" t="s">
        <v>38</v>
      </c>
      <c r="O11" s="25" t="s">
        <v>39</v>
      </c>
    </row>
    <row r="12" spans="1:15" ht="15" customHeight="1" thickBot="1" x14ac:dyDescent="0.25">
      <c r="A12" s="151"/>
      <c r="B12" s="20">
        <f>Data!H5</f>
        <v>1100000</v>
      </c>
      <c r="C12" s="23">
        <f>Data!I5</f>
        <v>7211.735697901333</v>
      </c>
      <c r="D12" s="26">
        <v>0</v>
      </c>
      <c r="E12" s="23">
        <f>Data!M5</f>
        <v>14423.471395802664</v>
      </c>
      <c r="F12" s="27">
        <f>Data!F5</f>
        <v>4647854</v>
      </c>
      <c r="H12" s="142"/>
      <c r="I12" s="28">
        <f>F12-C12</f>
        <v>4640642.2643020991</v>
      </c>
      <c r="J12" s="28">
        <f>I12+E12</f>
        <v>4655065.7356979018</v>
      </c>
      <c r="K12" s="29">
        <f>B12</f>
        <v>1100000</v>
      </c>
      <c r="L12" s="28">
        <f>F12</f>
        <v>4647854</v>
      </c>
      <c r="M12" s="30">
        <f>LN((($J$12+1)/($I$12+1))-1)</f>
        <v>-5.7737514324753851</v>
      </c>
      <c r="N12" s="31">
        <f>(LN((($J$12+1)/($L$12+1))-1)-$M$12)/$K$12</f>
        <v>-6.3154546566573907E-7</v>
      </c>
      <c r="O12" s="32">
        <f>J12+1</f>
        <v>4655066.7356979018</v>
      </c>
    </row>
    <row r="13" spans="1:15" ht="34.15" customHeight="1" x14ac:dyDescent="0.2">
      <c r="A13" s="143" t="s">
        <v>40</v>
      </c>
      <c r="B13" s="144"/>
      <c r="C13" s="144"/>
      <c r="D13" s="144"/>
      <c r="E13" s="144"/>
      <c r="F13" s="145"/>
      <c r="H13" s="143" t="s">
        <v>41</v>
      </c>
      <c r="I13" s="144"/>
      <c r="J13" s="144"/>
      <c r="K13" s="144"/>
      <c r="L13" s="144"/>
      <c r="M13" s="144"/>
      <c r="N13" s="144"/>
      <c r="O13" s="145"/>
    </row>
    <row r="14" spans="1:15" ht="33.6" customHeight="1" x14ac:dyDescent="0.2">
      <c r="A14" s="146"/>
      <c r="B14" s="147"/>
      <c r="C14" s="147"/>
      <c r="D14" s="147"/>
      <c r="E14" s="147"/>
      <c r="F14" s="148"/>
      <c r="H14" s="146"/>
      <c r="I14" s="147"/>
      <c r="J14" s="147"/>
      <c r="K14" s="147"/>
      <c r="L14" s="147"/>
      <c r="M14" s="147"/>
      <c r="N14" s="147"/>
      <c r="O14" s="148"/>
    </row>
    <row r="16" spans="1:15" ht="13.5" thickBot="1" x14ac:dyDescent="0.25"/>
    <row r="17" spans="1:5" ht="16.899999999999999" customHeight="1" x14ac:dyDescent="0.2">
      <c r="A17" s="141" t="s">
        <v>42</v>
      </c>
      <c r="B17" s="24" t="s">
        <v>43</v>
      </c>
      <c r="C17" s="24" t="s">
        <v>44</v>
      </c>
      <c r="D17" s="25" t="s">
        <v>45</v>
      </c>
    </row>
    <row r="18" spans="1:5" ht="23.65" customHeight="1" thickBot="1" x14ac:dyDescent="0.25">
      <c r="A18" s="142"/>
      <c r="B18" s="33">
        <v>0</v>
      </c>
      <c r="C18" s="34">
        <v>5000000</v>
      </c>
      <c r="D18" s="35">
        <v>20</v>
      </c>
    </row>
    <row r="20" spans="1:5" x14ac:dyDescent="0.2">
      <c r="A20" s="149" t="s">
        <v>46</v>
      </c>
      <c r="B20" s="149"/>
    </row>
    <row r="21" spans="1:5" x14ac:dyDescent="0.2">
      <c r="A21" s="15" t="s">
        <v>47</v>
      </c>
      <c r="B21" s="15" t="s">
        <v>87</v>
      </c>
      <c r="C21" s="40" t="s">
        <v>49</v>
      </c>
      <c r="D21" s="40" t="s">
        <v>48</v>
      </c>
      <c r="E21" s="41"/>
    </row>
    <row r="22" spans="1:5" x14ac:dyDescent="0.2">
      <c r="A22" s="37">
        <f>B18</f>
        <v>0</v>
      </c>
      <c r="B22" s="36">
        <f>(($O$12/(1+EXP($M$12+$N$12*A22)))-1) - ($F$12-$C$12)</f>
        <v>0</v>
      </c>
      <c r="C22" s="38">
        <f>B22*'HCC Inoffice'!$F$4</f>
        <v>0</v>
      </c>
      <c r="D22" s="39"/>
      <c r="E22" s="38"/>
    </row>
    <row r="23" spans="1:5" x14ac:dyDescent="0.2">
      <c r="A23" s="37">
        <f>A22+(($C$18-$B$18)/$D$18)</f>
        <v>250000</v>
      </c>
      <c r="B23" s="36">
        <f t="shared" ref="B23:B42" si="0">(($O$12/(1+EXP($M$12+$N$12*A23)))-1) - ($F$12-$C$12)</f>
        <v>2101.0175809348002</v>
      </c>
      <c r="C23" s="38">
        <f>B23*'HCC Inoffice'!$F$4</f>
        <v>474703.91223640874</v>
      </c>
      <c r="D23" s="39">
        <f>C23/A23</f>
        <v>1.8988156489456349</v>
      </c>
      <c r="E23" s="38"/>
    </row>
    <row r="24" spans="1:5" x14ac:dyDescent="0.2">
      <c r="A24" s="37">
        <f t="shared" ref="A24:A42" si="1">A23+(($C$18-$B$18)/$D$18)</f>
        <v>500000</v>
      </c>
      <c r="B24" s="36">
        <f t="shared" si="0"/>
        <v>3896.6813773075119</v>
      </c>
      <c r="C24" s="38">
        <f>B24*'HCC Inoffice'!$F$4</f>
        <v>880416.19038885925</v>
      </c>
      <c r="D24" s="39">
        <f t="shared" ref="D24:D42" si="2">C24/A24</f>
        <v>1.7608323807777184</v>
      </c>
      <c r="E24" s="38"/>
    </row>
    <row r="25" spans="1:5" x14ac:dyDescent="0.2">
      <c r="A25" s="37">
        <f t="shared" si="1"/>
        <v>750000</v>
      </c>
      <c r="B25" s="36">
        <f t="shared" si="0"/>
        <v>5431.1826382223517</v>
      </c>
      <c r="C25" s="38">
        <f>B25*'HCC Inoffice'!$F$4</f>
        <v>1227121.4052799582</v>
      </c>
      <c r="D25" s="39">
        <f t="shared" si="2"/>
        <v>1.6361618737066108</v>
      </c>
      <c r="E25" s="38"/>
    </row>
    <row r="26" spans="1:5" x14ac:dyDescent="0.2">
      <c r="A26" s="122">
        <f t="shared" si="1"/>
        <v>1000000</v>
      </c>
      <c r="B26" s="123">
        <f t="shared" si="0"/>
        <v>6742.3679651152343</v>
      </c>
      <c r="C26" s="121">
        <f>B26*'HCC Inoffice'!$F$4</f>
        <v>1523370.618038136</v>
      </c>
      <c r="D26" s="124">
        <f t="shared" si="2"/>
        <v>1.5233706180381361</v>
      </c>
      <c r="E26" s="38"/>
    </row>
    <row r="27" spans="1:5" s="113" customFormat="1" x14ac:dyDescent="0.2">
      <c r="A27" s="109">
        <f t="shared" si="1"/>
        <v>1250000</v>
      </c>
      <c r="B27" s="110">
        <f t="shared" si="0"/>
        <v>7862.6364660803229</v>
      </c>
      <c r="C27" s="38">
        <f>B27*'HCC Inoffice'!$F$4</f>
        <v>1776484.0831461882</v>
      </c>
      <c r="D27" s="112">
        <f t="shared" si="2"/>
        <v>1.4211872665169505</v>
      </c>
      <c r="E27" s="111"/>
    </row>
    <row r="28" spans="1:5" x14ac:dyDescent="0.2">
      <c r="A28" s="37">
        <f t="shared" si="1"/>
        <v>1500000</v>
      </c>
      <c r="B28" s="36">
        <f t="shared" si="0"/>
        <v>8819.7137978412211</v>
      </c>
      <c r="C28" s="38">
        <f>B28*'HCC Inoffice'!$F$4</f>
        <v>1992726.1354842454</v>
      </c>
      <c r="D28" s="39">
        <f t="shared" si="2"/>
        <v>1.3284840903228303</v>
      </c>
      <c r="E28" s="38"/>
    </row>
    <row r="29" spans="1:5" x14ac:dyDescent="0.2">
      <c r="A29" s="37">
        <f t="shared" si="1"/>
        <v>1750000</v>
      </c>
      <c r="B29" s="36">
        <f t="shared" si="0"/>
        <v>9637.3189575029537</v>
      </c>
      <c r="C29" s="38">
        <f>B29*'HCC Inoffice'!$F$4</f>
        <v>2177455.8452582173</v>
      </c>
      <c r="D29" s="39">
        <f t="shared" si="2"/>
        <v>1.2442604830046955</v>
      </c>
      <c r="E29" s="38"/>
    </row>
    <row r="30" spans="1:5" x14ac:dyDescent="0.2">
      <c r="A30" s="37">
        <f t="shared" si="1"/>
        <v>2000000</v>
      </c>
      <c r="B30" s="36">
        <f t="shared" si="0"/>
        <v>10335.737933591008</v>
      </c>
      <c r="C30" s="38">
        <f>B30*'HCC Inoffice'!$F$4</f>
        <v>2335256.6287155524</v>
      </c>
      <c r="D30" s="39">
        <f t="shared" si="2"/>
        <v>1.1676283143577761</v>
      </c>
      <c r="E30" s="38"/>
    </row>
    <row r="31" spans="1:5" x14ac:dyDescent="0.2">
      <c r="A31" s="37">
        <f t="shared" si="1"/>
        <v>2250000</v>
      </c>
      <c r="B31" s="36">
        <f t="shared" si="0"/>
        <v>10932.316680109128</v>
      </c>
      <c r="C31" s="38">
        <f>B31*'HCC Inoffice'!$F$4</f>
        <v>2470047.6307038562</v>
      </c>
      <c r="D31" s="39">
        <f t="shared" si="2"/>
        <v>1.0977989469794918</v>
      </c>
      <c r="E31" s="38"/>
    </row>
    <row r="32" spans="1:5" x14ac:dyDescent="0.2">
      <c r="A32" s="37">
        <f t="shared" si="1"/>
        <v>2500000</v>
      </c>
      <c r="B32" s="36">
        <f t="shared" si="0"/>
        <v>11441.88436180912</v>
      </c>
      <c r="C32" s="38">
        <f>B32*'HCC Inoffice'!$F$4</f>
        <v>2585179.3527071523</v>
      </c>
      <c r="D32" s="39">
        <f t="shared" si="2"/>
        <v>1.0340717410828608</v>
      </c>
      <c r="E32" s="38"/>
    </row>
    <row r="33" spans="1:5" x14ac:dyDescent="0.2">
      <c r="A33" s="37">
        <f t="shared" si="1"/>
        <v>2750000</v>
      </c>
      <c r="B33" s="36">
        <f t="shared" si="0"/>
        <v>11877.116443598643</v>
      </c>
      <c r="C33" s="38">
        <f>B33*'HCC Inoffice'!$F$4</f>
        <v>2683515.6892666775</v>
      </c>
      <c r="D33" s="39">
        <f t="shared" si="2"/>
        <v>0.97582388700606448</v>
      </c>
      <c r="E33" s="38"/>
    </row>
    <row r="34" spans="1:5" x14ac:dyDescent="0.2">
      <c r="A34" s="37">
        <f>A33+(($C$18-$B$18)/$D$18)</f>
        <v>3000000</v>
      </c>
      <c r="B34" s="36">
        <f t="shared" si="0"/>
        <v>12248.845962864347</v>
      </c>
      <c r="C34" s="38">
        <f>B34*'HCC Inoffice'!$F$4</f>
        <v>2767504.2568495707</v>
      </c>
      <c r="D34" s="39">
        <f t="shared" si="2"/>
        <v>0.92250141894985693</v>
      </c>
      <c r="E34" s="38"/>
    </row>
    <row r="35" spans="1:5" x14ac:dyDescent="0.2">
      <c r="A35" s="37">
        <f t="shared" si="1"/>
        <v>3250000</v>
      </c>
      <c r="B35" s="36">
        <f t="shared" si="0"/>
        <v>12566.330225751735</v>
      </c>
      <c r="C35" s="38">
        <f>B35*'HCC Inoffice'!$F$4</f>
        <v>2839236.6512063472</v>
      </c>
      <c r="D35" s="39">
        <f t="shared" si="2"/>
        <v>0.87361127729426069</v>
      </c>
      <c r="E35" s="38"/>
    </row>
    <row r="36" spans="1:5" x14ac:dyDescent="0.2">
      <c r="A36" s="37">
        <f t="shared" si="1"/>
        <v>3500000</v>
      </c>
      <c r="B36" s="36">
        <f t="shared" si="0"/>
        <v>12837.479198854417</v>
      </c>
      <c r="C36" s="38">
        <f>B36*'HCC Inoffice'!$F$4</f>
        <v>2900500.0501891668</v>
      </c>
      <c r="D36" s="39">
        <f t="shared" si="2"/>
        <v>0.82871430005404767</v>
      </c>
      <c r="E36" s="38"/>
    </row>
    <row r="37" spans="1:5" x14ac:dyDescent="0.2">
      <c r="A37" s="37">
        <f t="shared" si="1"/>
        <v>3750000</v>
      </c>
      <c r="B37" s="36">
        <f t="shared" si="0"/>
        <v>13069.051016137004</v>
      </c>
      <c r="C37" s="38">
        <f>B37*'HCC Inoffice'!$F$4</f>
        <v>2952821.3865859946</v>
      </c>
      <c r="D37" s="39">
        <f t="shared" si="2"/>
        <v>0.78741903642293187</v>
      </c>
      <c r="E37" s="38"/>
    </row>
    <row r="38" spans="1:5" x14ac:dyDescent="0.2">
      <c r="A38" s="37">
        <f t="shared" si="1"/>
        <v>4000000</v>
      </c>
      <c r="B38" s="36">
        <f t="shared" si="0"/>
        <v>13266.819276439957</v>
      </c>
      <c r="C38" s="38">
        <f>B38*'HCC Inoffice'!$F$4</f>
        <v>2997505.1473188438</v>
      </c>
      <c r="D38" s="39">
        <f t="shared" si="2"/>
        <v>0.74937628682971091</v>
      </c>
      <c r="E38" s="38"/>
    </row>
    <row r="39" spans="1:5" x14ac:dyDescent="0.2">
      <c r="A39" s="37">
        <f t="shared" si="1"/>
        <v>4250000</v>
      </c>
      <c r="B39" s="36">
        <f t="shared" si="0"/>
        <v>13435.716158440337</v>
      </c>
      <c r="C39" s="38">
        <f>B39*'HCC Inoffice'!$F$4</f>
        <v>3035665.7088380097</v>
      </c>
      <c r="D39" s="39">
        <f t="shared" si="2"/>
        <v>0.71427428443247287</v>
      </c>
      <c r="E39" s="38"/>
    </row>
    <row r="40" spans="1:5" x14ac:dyDescent="0.2">
      <c r="A40" s="37">
        <f t="shared" si="1"/>
        <v>4500000</v>
      </c>
      <c r="B40" s="36">
        <f t="shared" si="0"/>
        <v>13579.954816993326</v>
      </c>
      <c r="C40" s="38">
        <f>B40*'HCC Inoffice'!$F$4</f>
        <v>3068254.9913514722</v>
      </c>
      <c r="D40" s="39">
        <f t="shared" si="2"/>
        <v>0.68183444252254943</v>
      </c>
      <c r="E40" s="38"/>
    </row>
    <row r="41" spans="1:5" x14ac:dyDescent="0.2">
      <c r="A41" s="37">
        <f>A40+(($C$18-$B$18)/$D$18)</f>
        <v>4750000</v>
      </c>
      <c r="B41" s="36">
        <f t="shared" si="0"/>
        <v>13703.13403717149</v>
      </c>
      <c r="C41" s="38">
        <f>B41*'HCC Inoffice'!$F$4</f>
        <v>3096086.1043585264</v>
      </c>
      <c r="D41" s="39">
        <f t="shared" si="2"/>
        <v>0.6518076009175845</v>
      </c>
      <c r="E41" s="38"/>
    </row>
    <row r="42" spans="1:5" x14ac:dyDescent="0.2">
      <c r="A42" s="37">
        <f t="shared" si="1"/>
        <v>5000000</v>
      </c>
      <c r="B42" s="36">
        <f t="shared" si="0"/>
        <v>13808.32770110853</v>
      </c>
      <c r="C42" s="38">
        <f>B42*'HCC Inoffice'!$F$4</f>
        <v>3119853.5607884615</v>
      </c>
      <c r="D42" s="39">
        <f t="shared" si="2"/>
        <v>0.62397071215769229</v>
      </c>
      <c r="E42" s="38"/>
    </row>
  </sheetData>
  <mergeCells count="11">
    <mergeCell ref="B4:F4"/>
    <mergeCell ref="A7:A9"/>
    <mergeCell ref="B7:C7"/>
    <mergeCell ref="D7:E7"/>
    <mergeCell ref="F7:G7"/>
    <mergeCell ref="H11:H12"/>
    <mergeCell ref="A13:F14"/>
    <mergeCell ref="H13:O14"/>
    <mergeCell ref="A17:A18"/>
    <mergeCell ref="A20:B20"/>
    <mergeCell ref="A11:A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7FE96-FC4B-4514-B278-B01102785EBF}">
  <dimension ref="C8:K12"/>
  <sheetViews>
    <sheetView topLeftCell="A6" workbookViewId="0">
      <selection activeCell="E11" sqref="E11"/>
    </sheetView>
  </sheetViews>
  <sheetFormatPr defaultRowHeight="15" x14ac:dyDescent="0.25"/>
  <cols>
    <col min="3" max="3" width="11.85546875" customWidth="1"/>
  </cols>
  <sheetData>
    <row r="8" spans="3:11" ht="82.5" x14ac:dyDescent="0.3">
      <c r="C8" s="95" t="s">
        <v>0</v>
      </c>
      <c r="D8" s="95" t="s">
        <v>53</v>
      </c>
      <c r="E8" s="95" t="s">
        <v>91</v>
      </c>
      <c r="F8" s="95" t="s">
        <v>56</v>
      </c>
      <c r="G8" s="95" t="s">
        <v>92</v>
      </c>
      <c r="H8" s="95" t="s">
        <v>93</v>
      </c>
      <c r="I8" s="95" t="s">
        <v>60</v>
      </c>
      <c r="J8" s="95" t="s">
        <v>89</v>
      </c>
      <c r="K8" s="97" t="s">
        <v>52</v>
      </c>
    </row>
    <row r="9" spans="3:11" ht="25.9" customHeight="1" x14ac:dyDescent="0.3">
      <c r="C9" s="98" t="s">
        <v>59</v>
      </c>
      <c r="D9" s="96" t="s">
        <v>85</v>
      </c>
      <c r="E9" s="99">
        <f>580263+370145</f>
        <v>950408</v>
      </c>
      <c r="F9" s="100">
        <v>6</v>
      </c>
      <c r="G9" s="99">
        <v>163.51825543170901</v>
      </c>
      <c r="H9" s="99">
        <f>E9*F9</f>
        <v>5702448</v>
      </c>
      <c r="I9" s="101">
        <f>IFERROR(H9/G9,0)</f>
        <v>34873.464035833866</v>
      </c>
      <c r="J9" s="102" t="s">
        <v>94</v>
      </c>
      <c r="K9" s="96" t="s">
        <v>95</v>
      </c>
    </row>
    <row r="10" spans="3:11" ht="49.5" x14ac:dyDescent="0.3">
      <c r="C10" s="98" t="s">
        <v>59</v>
      </c>
      <c r="D10" s="96" t="s">
        <v>84</v>
      </c>
      <c r="E10" s="99">
        <v>396720</v>
      </c>
      <c r="F10" s="100">
        <v>4.6323415173791496</v>
      </c>
      <c r="G10" s="99">
        <v>163.51825543170901</v>
      </c>
      <c r="H10" s="99">
        <f t="shared" ref="H10:H11" si="0">E10*F10</f>
        <v>1837742.5267746563</v>
      </c>
      <c r="I10" s="101">
        <f t="shared" ref="I10:I11" si="1">IFERROR(H10/G10,0)</f>
        <v>11238.760601516828</v>
      </c>
      <c r="J10" s="102" t="s">
        <v>90</v>
      </c>
      <c r="K10" s="96"/>
    </row>
    <row r="11" spans="3:11" ht="16.899999999999999" customHeight="1" x14ac:dyDescent="0.3">
      <c r="C11" s="98" t="s">
        <v>59</v>
      </c>
      <c r="D11" s="96" t="s">
        <v>73</v>
      </c>
      <c r="E11" s="99">
        <v>277610</v>
      </c>
      <c r="F11" s="100">
        <v>3.5</v>
      </c>
      <c r="G11" s="99">
        <v>154</v>
      </c>
      <c r="H11" s="99">
        <f t="shared" si="0"/>
        <v>971635</v>
      </c>
      <c r="I11" s="101">
        <f t="shared" si="1"/>
        <v>6309.318181818182</v>
      </c>
      <c r="J11" s="102" t="s">
        <v>97</v>
      </c>
      <c r="K11" s="96" t="s">
        <v>96</v>
      </c>
    </row>
    <row r="12" spans="3:11" ht="16.5" x14ac:dyDescent="0.3">
      <c r="C12" s="95"/>
      <c r="D12" s="95"/>
      <c r="E12" s="103">
        <f>SUM(E9:E11)</f>
        <v>1624738</v>
      </c>
      <c r="F12" s="104">
        <f>H12/E12</f>
        <v>5.2388911484649565</v>
      </c>
      <c r="G12" s="103"/>
      <c r="H12" s="103">
        <f>SUM(H9:H11)</f>
        <v>8511825.526774656</v>
      </c>
      <c r="I12" s="105">
        <f>SUM(I9:I11)</f>
        <v>52421.542819168877</v>
      </c>
      <c r="J12" s="105"/>
      <c r="K12" s="10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77FF-F6AD-46FC-A08D-69667987EB18}">
  <dimension ref="A1:L19"/>
  <sheetViews>
    <sheetView showGridLines="0" zoomScale="120" zoomScaleNormal="120" workbookViewId="0">
      <selection activeCell="D7" sqref="D7"/>
    </sheetView>
  </sheetViews>
  <sheetFormatPr defaultColWidth="11.85546875" defaultRowHeight="15" x14ac:dyDescent="0.25"/>
  <cols>
    <col min="1" max="1" width="7.140625" customWidth="1"/>
    <col min="2" max="2" width="11" bestFit="1" customWidth="1"/>
    <col min="3" max="3" width="46.85546875" bestFit="1" customWidth="1"/>
    <col min="4" max="4" width="16.140625" customWidth="1"/>
    <col min="5" max="5" width="14.7109375" bestFit="1" customWidth="1"/>
    <col min="6" max="6" width="20.5703125" customWidth="1"/>
    <col min="7" max="7" width="14.42578125" customWidth="1"/>
    <col min="9" max="9" width="20.28515625" customWidth="1"/>
    <col min="10" max="10" width="59.7109375" customWidth="1"/>
  </cols>
  <sheetData>
    <row r="1" spans="1:12" ht="27.75" customHeight="1" x14ac:dyDescent="0.25"/>
    <row r="2" spans="1:12" x14ac:dyDescent="0.25">
      <c r="B2" s="75"/>
    </row>
    <row r="3" spans="1:12" ht="16.5" x14ac:dyDescent="0.3">
      <c r="B3" s="58" t="s">
        <v>0</v>
      </c>
      <c r="C3" s="58" t="s">
        <v>53</v>
      </c>
      <c r="D3" s="58" t="s">
        <v>54</v>
      </c>
      <c r="E3" s="58" t="s">
        <v>56</v>
      </c>
      <c r="F3" s="58" t="s">
        <v>79</v>
      </c>
      <c r="G3" s="58" t="s">
        <v>74</v>
      </c>
      <c r="H3" s="58" t="s">
        <v>60</v>
      </c>
      <c r="I3" s="58" t="s">
        <v>75</v>
      </c>
      <c r="J3" s="59" t="s">
        <v>52</v>
      </c>
    </row>
    <row r="4" spans="1:12" ht="16.5" x14ac:dyDescent="0.3">
      <c r="A4">
        <f>IF(E4="",0,1)</f>
        <v>1</v>
      </c>
      <c r="B4" s="87" t="s">
        <v>59</v>
      </c>
      <c r="C4" s="88" t="s">
        <v>69</v>
      </c>
      <c r="D4" s="89">
        <f>678845+281231</f>
        <v>960076</v>
      </c>
      <c r="E4" s="90">
        <v>6.6907641137438301</v>
      </c>
      <c r="F4" s="89">
        <f>Data!$D$5</f>
        <v>225.94</v>
      </c>
      <c r="G4" s="89">
        <f>D4*E4</f>
        <v>6423642.0472667217</v>
      </c>
      <c r="H4" s="91">
        <f>IFERROR(G4/F4,0)</f>
        <v>28430.7428842468</v>
      </c>
      <c r="I4" s="91"/>
      <c r="J4" s="88" t="s">
        <v>76</v>
      </c>
      <c r="L4" t="s">
        <v>82</v>
      </c>
    </row>
    <row r="5" spans="1:12" ht="16.5" x14ac:dyDescent="0.3">
      <c r="A5">
        <f t="shared" ref="A5:A8" si="0">IF(E5="",0,1)</f>
        <v>1</v>
      </c>
      <c r="B5" s="87" t="s">
        <v>59</v>
      </c>
      <c r="C5" s="88" t="s">
        <v>70</v>
      </c>
      <c r="D5" s="89">
        <f>61446+18392</f>
        <v>79838</v>
      </c>
      <c r="E5" s="90">
        <v>6.6907641137438301</v>
      </c>
      <c r="F5" s="89">
        <f>Data!$D$5</f>
        <v>225.94</v>
      </c>
      <c r="G5" s="89">
        <f t="shared" ref="G5:G8" si="1">D5*E5</f>
        <v>534177.22531307989</v>
      </c>
      <c r="H5" s="91">
        <f t="shared" ref="H5:H8" si="2">IFERROR(G5/F5,0)</f>
        <v>2364.2437165312908</v>
      </c>
      <c r="I5" s="91"/>
      <c r="J5" s="88" t="s">
        <v>78</v>
      </c>
    </row>
    <row r="6" spans="1:12" ht="16.5" x14ac:dyDescent="0.3">
      <c r="A6">
        <f t="shared" si="0"/>
        <v>1</v>
      </c>
      <c r="B6" s="87" t="s">
        <v>59</v>
      </c>
      <c r="C6" s="88" t="s">
        <v>71</v>
      </c>
      <c r="D6" s="89">
        <v>216215</v>
      </c>
      <c r="E6" s="90">
        <v>5.3870962928606296</v>
      </c>
      <c r="F6" s="89">
        <f>Data!D5</f>
        <v>225.94</v>
      </c>
      <c r="G6" s="89">
        <f t="shared" si="1"/>
        <v>1164771.0249608611</v>
      </c>
      <c r="H6" s="91">
        <f t="shared" si="2"/>
        <v>5155.2227359514081</v>
      </c>
      <c r="I6" s="91"/>
      <c r="J6" s="92" t="s">
        <v>80</v>
      </c>
    </row>
    <row r="7" spans="1:12" ht="16.5" x14ac:dyDescent="0.3">
      <c r="A7">
        <f t="shared" si="0"/>
        <v>1</v>
      </c>
      <c r="B7" s="82" t="s">
        <v>59</v>
      </c>
      <c r="C7" s="83" t="s">
        <v>72</v>
      </c>
      <c r="D7" s="84">
        <v>249235</v>
      </c>
      <c r="E7" s="85">
        <v>6.9340914913664298</v>
      </c>
      <c r="F7" s="84">
        <f>Data!$D$5</f>
        <v>225.94</v>
      </c>
      <c r="G7" s="84">
        <f t="shared" si="1"/>
        <v>1728218.2928507121</v>
      </c>
      <c r="H7" s="86">
        <f t="shared" si="2"/>
        <v>7649.0143084478714</v>
      </c>
      <c r="I7" s="86"/>
      <c r="J7" s="83" t="s">
        <v>81</v>
      </c>
    </row>
    <row r="8" spans="1:12" ht="16.5" x14ac:dyDescent="0.3">
      <c r="A8">
        <f t="shared" si="0"/>
        <v>1</v>
      </c>
      <c r="B8" s="82" t="s">
        <v>59</v>
      </c>
      <c r="C8" s="83" t="s">
        <v>73</v>
      </c>
      <c r="D8" s="84">
        <v>191631</v>
      </c>
      <c r="E8" s="85">
        <v>10</v>
      </c>
      <c r="F8" s="84">
        <f>Data!$D$5</f>
        <v>225.94</v>
      </c>
      <c r="G8" s="84">
        <f t="shared" si="1"/>
        <v>1916310</v>
      </c>
      <c r="H8" s="86">
        <f t="shared" si="2"/>
        <v>8481.4995131450833</v>
      </c>
      <c r="I8" s="86"/>
      <c r="J8" s="93" t="s">
        <v>83</v>
      </c>
    </row>
    <row r="9" spans="1:12" ht="16.5" x14ac:dyDescent="0.3">
      <c r="B9" s="64"/>
      <c r="C9" s="64"/>
      <c r="D9" s="67">
        <f>SUM(D4:D8)</f>
        <v>1696995</v>
      </c>
      <c r="E9" s="81">
        <f>G9/SUMPRODUCT(A4:A8,D4:D8)</f>
        <v>6.9340914913664298</v>
      </c>
      <c r="F9" s="67"/>
      <c r="G9" s="67">
        <f>SUM(G4:G8)</f>
        <v>11767118.590391375</v>
      </c>
      <c r="H9" s="66">
        <f>SUM(H4:H8)</f>
        <v>52080.723158322457</v>
      </c>
      <c r="I9" s="66"/>
      <c r="J9" s="69"/>
    </row>
    <row r="12" spans="1:12" x14ac:dyDescent="0.25">
      <c r="C12" t="s">
        <v>77</v>
      </c>
      <c r="D12" s="94">
        <f>SUMPRODUCT(A4:A8,D4:D8)/D9</f>
        <v>1</v>
      </c>
      <c r="E12" s="76"/>
      <c r="F12" s="79"/>
      <c r="G12" s="80"/>
    </row>
    <row r="18" spans="5:6" x14ac:dyDescent="0.25">
      <c r="E18" s="77"/>
      <c r="F18" s="78"/>
    </row>
    <row r="19" spans="5:6" x14ac:dyDescent="0.25">
      <c r="E19" s="77"/>
      <c r="F19" s="7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showGridLines="0" workbookViewId="0">
      <selection activeCell="C4" sqref="C4"/>
    </sheetView>
  </sheetViews>
  <sheetFormatPr defaultColWidth="11.85546875" defaultRowHeight="15" x14ac:dyDescent="0.25"/>
  <cols>
    <col min="1" max="1" width="11" bestFit="1" customWidth="1"/>
    <col min="2" max="2" width="46.85546875" bestFit="1" customWidth="1"/>
    <col min="3" max="3" width="16.140625" customWidth="1"/>
    <col min="5" max="5" width="8.85546875" customWidth="1"/>
    <col min="6" max="6" width="14.42578125" customWidth="1"/>
    <col min="8" max="8" width="42.7109375" bestFit="1" customWidth="1"/>
  </cols>
  <sheetData>
    <row r="1" spans="1:8" ht="27.75" customHeight="1" x14ac:dyDescent="0.25">
      <c r="A1" t="s">
        <v>50</v>
      </c>
    </row>
    <row r="2" spans="1:8" x14ac:dyDescent="0.25">
      <c r="A2" s="57" t="s">
        <v>51</v>
      </c>
    </row>
    <row r="3" spans="1:8" ht="16.5" x14ac:dyDescent="0.3">
      <c r="A3" s="58" t="s">
        <v>0</v>
      </c>
      <c r="B3" s="58" t="s">
        <v>53</v>
      </c>
      <c r="C3" s="58" t="s">
        <v>54</v>
      </c>
      <c r="D3" s="58" t="s">
        <v>56</v>
      </c>
      <c r="E3" s="58" t="s">
        <v>57</v>
      </c>
      <c r="F3" s="58" t="s">
        <v>55</v>
      </c>
      <c r="G3" s="58" t="s">
        <v>60</v>
      </c>
      <c r="H3" s="59" t="s">
        <v>52</v>
      </c>
    </row>
    <row r="4" spans="1:8" ht="16.5" x14ac:dyDescent="0.3">
      <c r="A4" s="72" t="s">
        <v>59</v>
      </c>
      <c r="B4" s="74" t="s">
        <v>66</v>
      </c>
      <c r="C4" s="60">
        <v>1000000</v>
      </c>
      <c r="D4" s="62">
        <v>4.5999999999999996</v>
      </c>
      <c r="E4" s="61">
        <v>125</v>
      </c>
      <c r="F4" s="70">
        <f>C4*D4</f>
        <v>4600000</v>
      </c>
      <c r="G4" s="63">
        <f>F4/E4</f>
        <v>36800</v>
      </c>
      <c r="H4" s="74" t="s">
        <v>67</v>
      </c>
    </row>
    <row r="5" spans="1:8" ht="16.5" x14ac:dyDescent="0.3">
      <c r="A5" s="64"/>
      <c r="B5" s="64"/>
      <c r="C5" s="65">
        <f>SUM(C4:C4)</f>
        <v>1000000</v>
      </c>
      <c r="D5" s="68">
        <f>F5/C5</f>
        <v>4.5999999999999996</v>
      </c>
      <c r="E5" s="67"/>
      <c r="F5" s="65">
        <f>SUM(F4:F4)</f>
        <v>4600000</v>
      </c>
      <c r="G5" s="66">
        <f>SUM(G4:G4)</f>
        <v>36800</v>
      </c>
      <c r="H5" s="69"/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BB6CABE6-46BF-457F-8B04-F455C7881C8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HCC Inoffice</vt:lpstr>
      <vt:lpstr>Data</vt:lpstr>
      <vt:lpstr>HCC Inoffice Curve</vt:lpstr>
      <vt:lpstr>2019</vt:lpstr>
      <vt:lpstr>2018</vt:lpstr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2023-07-27T13:19:46Z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e01b4d78-afdd-4f0e-a0ef-7046453bb31a</vt:lpwstr>
  </property>
  <property fmtid="{D5CDD505-2E9C-101B-9397-08002B2CF9AE}" pid="3" name="bjSaver">
    <vt:lpwstr>3O1Gvm5XUeGHackGhxGee6GW/bgAf7qU</vt:lpwstr>
  </property>
  <property fmtid="{D5CDD505-2E9C-101B-9397-08002B2CF9AE}" pid="4" name="bjDocumentSecurityLabel">
    <vt:lpwstr>Not Classified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6" name="bjDocumentLabelXML-0">
    <vt:lpwstr>ames.com/2008/01/sie/internal/label"&gt;&lt;element uid="9920fcc9-9f43-4d43-9e3e-b98a219cfd55" value="" /&gt;&lt;/sisl&gt;</vt:lpwstr>
  </property>
</Properties>
</file>