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6D839D2A-AC4F-4FCD-AFA4-D98687AAAB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CP MCM" sheetId="5" r:id="rId1"/>
    <sheet name="Data" sheetId="6" r:id="rId2"/>
    <sheet name="HCP MCM SCurve" sheetId="7" r:id="rId3"/>
  </sheets>
  <definedNames>
    <definedName name="_xlnm._FilterDatabase" localSheetId="0" hidden="1">'HCP MCM'!$A$3:$K$22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I10" i="5" l="1"/>
  <c r="E8" i="5" l="1"/>
  <c r="F8" i="5" l="1"/>
  <c r="H10" i="5" l="1"/>
  <c r="I4" i="5"/>
  <c r="D11" i="5"/>
  <c r="H8" i="5" l="1"/>
  <c r="I8" i="5" s="1"/>
  <c r="H6" i="5"/>
  <c r="I6" i="5" s="1"/>
  <c r="H7" i="5"/>
  <c r="I7" i="5" s="1"/>
  <c r="H9" i="5"/>
  <c r="I9" i="5" s="1"/>
  <c r="H5" i="5"/>
  <c r="I5" i="5" s="1"/>
  <c r="H11" i="5" l="1"/>
  <c r="I11" i="5" l="1"/>
  <c r="F11" i="5"/>
  <c r="H5" i="6"/>
  <c r="B12" i="7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K12" i="7"/>
  <c r="B9" i="7"/>
  <c r="F9" i="7"/>
  <c r="D9" i="7" s="1"/>
  <c r="I5" i="6" l="1"/>
  <c r="C12" i="7" l="1"/>
  <c r="K5" i="6"/>
  <c r="J5" i="6"/>
  <c r="L5" i="6" s="1"/>
  <c r="M5" i="6" s="1"/>
  <c r="E12" i="7" l="1"/>
  <c r="G9" i="7"/>
  <c r="I12" i="7"/>
  <c r="J12" i="7" l="1"/>
  <c r="M12" i="7" s="1"/>
  <c r="N12" i="7" s="1"/>
  <c r="O12" i="7" l="1"/>
  <c r="B37" i="7" s="1"/>
  <c r="C37" i="7" s="1"/>
  <c r="B33" i="7"/>
  <c r="C33" i="7" s="1"/>
  <c r="B34" i="7"/>
  <c r="C34" i="7" s="1"/>
  <c r="B25" i="7"/>
  <c r="C25" i="7" s="1"/>
  <c r="B22" i="7"/>
  <c r="C22" i="7" s="1"/>
  <c r="B40" i="7"/>
  <c r="C40" i="7" s="1"/>
  <c r="B29" i="7"/>
  <c r="C29" i="7" s="1"/>
  <c r="B41" i="7"/>
  <c r="C41" i="7" s="1"/>
  <c r="B42" i="7"/>
  <c r="C42" i="7" s="1"/>
  <c r="B28" i="7"/>
  <c r="C28" i="7" s="1"/>
  <c r="B36" i="7"/>
  <c r="C36" i="7" s="1"/>
  <c r="B27" i="7"/>
  <c r="C27" i="7" s="1"/>
  <c r="B39" i="7"/>
  <c r="C39" i="7" s="1"/>
  <c r="B26" i="7"/>
  <c r="C26" i="7" s="1"/>
  <c r="B35" i="7"/>
  <c r="C35" i="7" s="1"/>
  <c r="B24" i="7"/>
  <c r="C24" i="7" s="1"/>
  <c r="B23" i="7"/>
  <c r="C23" i="7" s="1"/>
  <c r="B32" i="7"/>
  <c r="C32" i="7" s="1"/>
  <c r="B31" i="7"/>
  <c r="C31" i="7" s="1"/>
  <c r="B38" i="7"/>
  <c r="C38" i="7" s="1"/>
  <c r="B30" i="7"/>
  <c r="C30" i="7" s="1"/>
  <c r="E9" i="7" l="1"/>
  <c r="D32" i="7"/>
  <c r="D40" i="7"/>
  <c r="D23" i="7"/>
  <c r="D42" i="7"/>
  <c r="D33" i="7"/>
  <c r="D24" i="7"/>
  <c r="D31" i="7"/>
  <c r="D35" i="7"/>
  <c r="D36" i="7"/>
  <c r="D29" i="7"/>
  <c r="D34" i="7"/>
  <c r="D26" i="7"/>
  <c r="D28" i="7"/>
  <c r="D30" i="7"/>
  <c r="D39" i="7"/>
  <c r="D38" i="7"/>
  <c r="D27" i="7"/>
  <c r="D41" i="7"/>
  <c r="D25" i="7"/>
  <c r="D37" i="7"/>
</calcChain>
</file>

<file path=xl/sharedStrings.xml><?xml version="1.0" encoding="utf-8"?>
<sst xmlns="http://schemas.openxmlformats.org/spreadsheetml/2006/main" count="96" uniqueCount="89">
  <si>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</si>
  <si>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</si>
  <si>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</si>
  <si>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</si>
  <si>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</si>
  <si>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</si>
  <si>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</si>
  <si>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</si>
  <si>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</si>
  <si>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</si>
  <si>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</si>
  <si>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</si>
  <si>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</si>
  <si>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</si>
  <si>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</si>
  <si>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</si>
  <si>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</si>
  <si>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</si>
  <si>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</si>
  <si>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</si>
  <si>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</si>
  <si>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</si>
  <si>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</si>
  <si>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</si>
  <si>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</si>
  <si>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</si>
  <si>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</si>
  <si>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</si>
  <si>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</si>
  <si>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</si>
  <si>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</si>
  <si>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</si>
  <si>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</si>
  <si>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</si>
  <si>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</si>
  <si>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</si>
  <si>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</si>
  <si>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</si>
  <si>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</si>
  <si>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</si>
  <si>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</si>
  <si>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</si>
  <si>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</si>
  <si>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</si>
  <si>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</si>
  <si>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</si>
  <si>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</si>
  <si>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</si>
  <si>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</si>
  <si>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</si>
  <si>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</si>
  <si>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</si>
  <si>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</si>
  <si>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</si>
  <si>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</si>
  <si>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</si>
  <si>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</si>
  <si>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</si>
  <si>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</si>
  <si>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</si>
  <si>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</si>
  <si>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</si>
  <si>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</si>
  <si>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</si>
  <si>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</si>
  <si>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2018 Projection</t>
  </si>
  <si>
    <t>HCP MCM</t>
  </si>
  <si>
    <t>Measurement Time Period</t>
  </si>
  <si>
    <t>Pre-tax PGM/Dose</t>
  </si>
  <si>
    <t>Deep Intent</t>
  </si>
  <si>
    <t>Total GARDASIL Doses in 2020</t>
  </si>
  <si>
    <t>`</t>
  </si>
  <si>
    <t>*changed multipler from 2.5 to 1.5 after seeing a seemingly overallocation of resources to mcm</t>
  </si>
  <si>
    <t>Medscape</t>
  </si>
  <si>
    <t>Nexgen</t>
  </si>
  <si>
    <t>Doximity</t>
  </si>
  <si>
    <t>Pulsepoint</t>
  </si>
  <si>
    <t>2022 Tax-rate</t>
  </si>
  <si>
    <t>2022 Pre-tax PGM/Rx</t>
  </si>
  <si>
    <t>2022 Pre-tax PGM/NPV</t>
  </si>
  <si>
    <t>Use deepintent as proxy</t>
  </si>
  <si>
    <t>Epocrates</t>
  </si>
  <si>
    <t>Patient Point</t>
  </si>
  <si>
    <t>GARDASIL ADOLESCENT</t>
  </si>
  <si>
    <t>2023 Pre-tax Spend</t>
  </si>
  <si>
    <t>2022 Estimated pre-tax ROI</t>
  </si>
  <si>
    <t>2023 Estimated Pre-tax Revenue</t>
  </si>
  <si>
    <t>Back office TV (Jan22-Dec22)</t>
  </si>
  <si>
    <t>Previous Pre-tax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</si>
</sst>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"/>
    <numFmt numFmtId="169" formatCode="#,##0.0"/>
    <numFmt numFmtId="170" formatCode="0.0\ \t\o\ \1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</cellStyleXfs>
  <cellXfs count="131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7" fillId="5" borderId="1" xfId="0" applyNumberFormat="1" applyFont="1" applyFill="1" applyBorder="1" applyAlignment="1">
      <alignment horizontal="center" vertical="center"/>
    </xf>
    <xf numFmtId="166" fontId="17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7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8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7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3" fontId="16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indent="1"/>
    </xf>
    <xf numFmtId="164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165" fontId="22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3" fontId="6" fillId="0" borderId="1" xfId="0" applyNumberFormat="1" applyFont="1" applyFill="1" applyBorder="1"/>
    <xf numFmtId="5" fontId="6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164" fontId="0" fillId="0" borderId="0" xfId="0" applyNumberFormat="1" applyBorder="1"/>
    <xf numFmtId="168" fontId="0" fillId="0" borderId="0" xfId="0" applyNumberFormat="1" applyBorder="1"/>
    <xf numFmtId="0" fontId="1" fillId="0" borderId="0" xfId="0" applyFont="1" applyFill="1"/>
    <xf numFmtId="0" fontId="23" fillId="12" borderId="36" xfId="0" applyFont="1" applyFill="1" applyBorder="1" applyAlignment="1">
      <alignment horizontal="center" vertical="center"/>
    </xf>
    <xf numFmtId="0" fontId="23" fillId="12" borderId="36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/>
    </xf>
    <xf numFmtId="164" fontId="25" fillId="0" borderId="36" xfId="0" applyNumberFormat="1" applyFont="1" applyBorder="1" applyAlignment="1">
      <alignment horizontal="center" vertical="center"/>
    </xf>
    <xf numFmtId="169" fontId="25" fillId="0" borderId="36" xfId="0" applyNumberFormat="1" applyFont="1" applyBorder="1" applyAlignment="1">
      <alignment horizontal="center" vertical="center"/>
    </xf>
    <xf numFmtId="3" fontId="25" fillId="0" borderId="36" xfId="0" applyNumberFormat="1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 wrapText="1"/>
    </xf>
    <xf numFmtId="1" fontId="25" fillId="0" borderId="36" xfId="0" applyNumberFormat="1" applyFont="1" applyBorder="1" applyAlignment="1">
      <alignment horizontal="center" vertical="center"/>
    </xf>
    <xf numFmtId="164" fontId="23" fillId="12" borderId="36" xfId="0" applyNumberFormat="1" applyFont="1" applyFill="1" applyBorder="1" applyAlignment="1">
      <alignment horizontal="center" vertical="center"/>
    </xf>
    <xf numFmtId="170" fontId="23" fillId="12" borderId="36" xfId="0" applyNumberFormat="1" applyFont="1" applyFill="1" applyBorder="1" applyAlignment="1">
      <alignment horizontal="center" vertical="center"/>
    </xf>
    <xf numFmtId="3" fontId="23" fillId="12" borderId="36" xfId="0" applyNumberFormat="1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wrapText="1"/>
    </xf>
    <xf numFmtId="0" fontId="23" fillId="12" borderId="37" xfId="0" applyFont="1" applyFill="1" applyBorder="1" applyAlignment="1">
      <alignment horizontal="center" vertical="center"/>
    </xf>
    <xf numFmtId="0" fontId="23" fillId="12" borderId="38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HCP MCM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'HCP MCM SCurve'!$B$12</c:f>
              <c:numCache>
                <c:formatCode>_("$"* #,##0_);_("$"* \(#,##0\);_("$"* "-"??_);_(@_)</c:formatCode>
                <c:ptCount val="1"/>
                <c:pt idx="0">
                  <c:v>5365372.8900000006</c:v>
                </c:pt>
              </c:numCache>
            </c:numRef>
          </c:xVal>
          <c:yVal>
            <c:numRef>
              <c:f>'HCP MCM SCurve'!$C$12</c:f>
              <c:numCache>
                <c:formatCode>#,##0</c:formatCode>
                <c:ptCount val="1"/>
                <c:pt idx="0">
                  <c:v>283253.12205540115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'HCP MCM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'HCP MCM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650000</c:v>
                </c:pt>
                <c:pt idx="2">
                  <c:v>1300000</c:v>
                </c:pt>
                <c:pt idx="3">
                  <c:v>1950000</c:v>
                </c:pt>
                <c:pt idx="4">
                  <c:v>2600000</c:v>
                </c:pt>
                <c:pt idx="5">
                  <c:v>3250000</c:v>
                </c:pt>
                <c:pt idx="6">
                  <c:v>3900000</c:v>
                </c:pt>
                <c:pt idx="7">
                  <c:v>4550000</c:v>
                </c:pt>
                <c:pt idx="8">
                  <c:v>5200000</c:v>
                </c:pt>
                <c:pt idx="9">
                  <c:v>5850000</c:v>
                </c:pt>
                <c:pt idx="10">
                  <c:v>6500000</c:v>
                </c:pt>
                <c:pt idx="11">
                  <c:v>7150000</c:v>
                </c:pt>
                <c:pt idx="12">
                  <c:v>7800000</c:v>
                </c:pt>
                <c:pt idx="13">
                  <c:v>8450000</c:v>
                </c:pt>
                <c:pt idx="14">
                  <c:v>9100000</c:v>
                </c:pt>
                <c:pt idx="15">
                  <c:v>9750000</c:v>
                </c:pt>
                <c:pt idx="16">
                  <c:v>10400000</c:v>
                </c:pt>
                <c:pt idx="17">
                  <c:v>11050000</c:v>
                </c:pt>
                <c:pt idx="18">
                  <c:v>11700000</c:v>
                </c:pt>
                <c:pt idx="19">
                  <c:v>12350000</c:v>
                </c:pt>
                <c:pt idx="20">
                  <c:v>13000000</c:v>
                </c:pt>
              </c:numCache>
            </c:numRef>
          </c:xVal>
          <c:yVal>
            <c:numRef>
              <c:f>'HCP MCM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45872.114945289679</c:v>
                </c:pt>
                <c:pt idx="2">
                  <c:v>88044.673788825981</c:v>
                </c:pt>
                <c:pt idx="3">
                  <c:v>126781.29542884324</c:v>
                </c:pt>
                <c:pt idx="4">
                  <c:v>162332.62462767493</c:v>
                </c:pt>
                <c:pt idx="5">
                  <c:v>194935.93195671681</c:v>
                </c:pt>
                <c:pt idx="6">
                  <c:v>224814.95543573517</c:v>
                </c:pt>
                <c:pt idx="7">
                  <c:v>252179.9406197397</c:v>
                </c:pt>
                <c:pt idx="8">
                  <c:v>277227.84062356781</c:v>
                </c:pt>
                <c:pt idx="9">
                  <c:v>300142.64227929991</c:v>
                </c:pt>
                <c:pt idx="10">
                  <c:v>321095.78914166149</c:v>
                </c:pt>
                <c:pt idx="11">
                  <c:v>340246.67628904525</c:v>
                </c:pt>
                <c:pt idx="12">
                  <c:v>357743.19575030077</c:v>
                </c:pt>
                <c:pt idx="13">
                  <c:v>373722.31488842424</c:v>
                </c:pt>
                <c:pt idx="14">
                  <c:v>388310.6731832223</c:v>
                </c:pt>
                <c:pt idx="15">
                  <c:v>401625.18558379728</c:v>
                </c:pt>
                <c:pt idx="16">
                  <c:v>413773.64296756778</c:v>
                </c:pt>
                <c:pt idx="17">
                  <c:v>424855.30227168929</c:v>
                </c:pt>
                <c:pt idx="18">
                  <c:v>434961.46058537532</c:v>
                </c:pt>
                <c:pt idx="19">
                  <c:v>444176.00893958937</c:v>
                </c:pt>
                <c:pt idx="20">
                  <c:v>452575.96273552347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ax val="9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majorUnit val="1000000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tabSelected="1" zoomScale="80" zoomScaleNormal="80" workbookViewId="0">
      <selection activeCell="C1" sqref="C1"/>
    </sheetView>
  </sheetViews>
  <sheetFormatPr defaultColWidth="11.85546875" defaultRowHeight="15" x14ac:dyDescent="0.25"/>
  <cols>
    <col min="1" max="1" width="9.28515625" bestFit="1" customWidth="1"/>
    <col min="2" max="2" width="23.85546875" bestFit="1" customWidth="1"/>
    <col min="3" max="3" width="31.28515625" customWidth="1"/>
    <col min="4" max="4" width="13.85546875" bestFit="1" customWidth="1"/>
    <col min="5" max="5" width="13.85546875" customWidth="1"/>
    <col min="6" max="6" width="17.7109375" customWidth="1"/>
    <col min="7" max="7" width="11.7109375" customWidth="1"/>
    <col min="8" max="8" width="18.42578125" bestFit="1" customWidth="1"/>
    <col min="9" max="9" width="14.5703125" bestFit="1" customWidth="1"/>
    <col min="10" max="10" width="15.5703125" customWidth="1"/>
    <col min="11" max="11" width="50.28515625" customWidth="1"/>
  </cols>
  <sheetData>
    <row r="1" spans="1:12" ht="21" customHeight="1" x14ac:dyDescent="0.25">
      <c r="B1" s="67"/>
      <c r="C1" s="67"/>
      <c r="D1" s="67"/>
      <c r="E1" s="67"/>
    </row>
    <row r="2" spans="1:12" x14ac:dyDescent="0.25">
      <c r="B2" s="64"/>
    </row>
    <row r="3" spans="1:12" ht="33.75" customHeight="1" x14ac:dyDescent="0.25">
      <c r="B3" s="92" t="s">
        <v>0</v>
      </c>
      <c r="C3" s="92" t="s">
        <v>52</v>
      </c>
      <c r="D3" s="93" t="s">
        <v>84</v>
      </c>
      <c r="E3" s="93" t="s">
        <v>88</v>
      </c>
      <c r="F3" s="93" t="s">
        <v>85</v>
      </c>
      <c r="G3" s="93" t="s">
        <v>68</v>
      </c>
      <c r="H3" s="93" t="s">
        <v>86</v>
      </c>
      <c r="I3" s="92" t="s">
        <v>58</v>
      </c>
      <c r="J3" s="93" t="s">
        <v>67</v>
      </c>
      <c r="K3" s="94" t="s">
        <v>51</v>
      </c>
    </row>
    <row r="4" spans="1:12" ht="18" customHeight="1" x14ac:dyDescent="0.25">
      <c r="A4" s="79"/>
      <c r="B4" s="95" t="s">
        <v>83</v>
      </c>
      <c r="C4" s="96" t="s">
        <v>69</v>
      </c>
      <c r="D4" s="97">
        <v>87137.890000000014</v>
      </c>
      <c r="E4" s="98">
        <v>8.6034012687017114</v>
      </c>
      <c r="F4" s="98">
        <v>7.6189734755300575</v>
      </c>
      <c r="G4" s="97">
        <v>225.94</v>
      </c>
      <c r="H4" s="97">
        <f>F4*D4</f>
        <v>663901.27262365597</v>
      </c>
      <c r="I4" s="99">
        <f>H4/G4</f>
        <v>2938.3963557743473</v>
      </c>
      <c r="J4" s="101">
        <v>2022</v>
      </c>
      <c r="K4" s="100"/>
    </row>
    <row r="5" spans="1:12" ht="18" customHeight="1" x14ac:dyDescent="0.25">
      <c r="A5" s="79"/>
      <c r="B5" s="95" t="s">
        <v>83</v>
      </c>
      <c r="C5" s="96" t="s">
        <v>73</v>
      </c>
      <c r="D5" s="97">
        <v>534302</v>
      </c>
      <c r="E5" s="98">
        <v>6.12511419607827</v>
      </c>
      <c r="F5" s="98">
        <v>7.9581682254250614</v>
      </c>
      <c r="G5" s="97">
        <v>225.94</v>
      </c>
      <c r="H5" s="97">
        <f>F5*D5</f>
        <v>4252065.1991810612</v>
      </c>
      <c r="I5" s="99">
        <f t="shared" ref="I5:I10" si="0">H5/G5</f>
        <v>18819.444096579009</v>
      </c>
      <c r="J5" s="101">
        <v>2022</v>
      </c>
      <c r="K5" s="100"/>
    </row>
    <row r="6" spans="1:12" ht="18" customHeight="1" x14ac:dyDescent="0.25">
      <c r="A6" s="79"/>
      <c r="B6" s="95" t="s">
        <v>83</v>
      </c>
      <c r="C6" s="96" t="s">
        <v>74</v>
      </c>
      <c r="D6" s="97">
        <v>540000</v>
      </c>
      <c r="E6" s="98">
        <v>19.814141005744411</v>
      </c>
      <c r="F6" s="98">
        <v>22.665070124422456</v>
      </c>
      <c r="G6" s="97">
        <v>225.94</v>
      </c>
      <c r="H6" s="97">
        <f t="shared" ref="H6:H10" si="1">F6*D6</f>
        <v>12239137.867188126</v>
      </c>
      <c r="I6" s="99">
        <f t="shared" si="0"/>
        <v>54169.858666850167</v>
      </c>
      <c r="J6" s="101">
        <v>2022</v>
      </c>
      <c r="K6" s="100"/>
    </row>
    <row r="7" spans="1:12" ht="18" customHeight="1" x14ac:dyDescent="0.25">
      <c r="A7" s="79"/>
      <c r="B7" s="95" t="s">
        <v>83</v>
      </c>
      <c r="C7" s="96" t="s">
        <v>75</v>
      </c>
      <c r="D7" s="97">
        <v>3000000</v>
      </c>
      <c r="E7" s="98">
        <v>13.210045565836371</v>
      </c>
      <c r="F7" s="98">
        <v>13.604676959878574</v>
      </c>
      <c r="G7" s="97">
        <v>225.94</v>
      </c>
      <c r="H7" s="97">
        <f t="shared" si="1"/>
        <v>40814030.879635721</v>
      </c>
      <c r="I7" s="99">
        <f t="shared" si="0"/>
        <v>180641.01478107338</v>
      </c>
      <c r="J7" s="101">
        <v>2022</v>
      </c>
      <c r="K7" s="100"/>
    </row>
    <row r="8" spans="1:12" ht="18" customHeight="1" x14ac:dyDescent="0.25">
      <c r="A8" s="79"/>
      <c r="B8" s="95" t="s">
        <v>83</v>
      </c>
      <c r="C8" s="96" t="s">
        <v>76</v>
      </c>
      <c r="D8" s="97">
        <v>75000</v>
      </c>
      <c r="E8" s="98">
        <f>E4</f>
        <v>8.6034012687017114</v>
      </c>
      <c r="F8" s="98">
        <f>F4</f>
        <v>7.6189734755300575</v>
      </c>
      <c r="G8" s="97">
        <v>225.94</v>
      </c>
      <c r="H8" s="97">
        <f t="shared" si="1"/>
        <v>571423.01066475431</v>
      </c>
      <c r="I8" s="99">
        <f t="shared" si="0"/>
        <v>2529.0918414833777</v>
      </c>
      <c r="J8" s="101">
        <v>2022</v>
      </c>
      <c r="K8" s="100" t="s">
        <v>80</v>
      </c>
    </row>
    <row r="9" spans="1:12" ht="18" customHeight="1" x14ac:dyDescent="0.25">
      <c r="A9" s="79"/>
      <c r="B9" s="95" t="s">
        <v>83</v>
      </c>
      <c r="C9" s="96" t="s">
        <v>81</v>
      </c>
      <c r="D9" s="97">
        <v>250000</v>
      </c>
      <c r="E9" s="98">
        <v>21.650651840166955</v>
      </c>
      <c r="F9" s="98">
        <v>17.776439240110701</v>
      </c>
      <c r="G9" s="97">
        <v>225.94</v>
      </c>
      <c r="H9" s="97">
        <f t="shared" si="1"/>
        <v>4444109.8100276757</v>
      </c>
      <c r="I9" s="99">
        <f t="shared" si="0"/>
        <v>19669.424670388933</v>
      </c>
      <c r="J9" s="101">
        <v>2022</v>
      </c>
      <c r="K9" s="100"/>
    </row>
    <row r="10" spans="1:12" ht="18" customHeight="1" x14ac:dyDescent="0.25">
      <c r="A10" s="79"/>
      <c r="B10" s="95" t="s">
        <v>83</v>
      </c>
      <c r="C10" s="96" t="s">
        <v>82</v>
      </c>
      <c r="D10" s="97">
        <v>878933</v>
      </c>
      <c r="E10" s="98">
        <v>4.766674221278743</v>
      </c>
      <c r="F10" s="98">
        <v>1.9085000000000001</v>
      </c>
      <c r="G10" s="97">
        <v>225.94</v>
      </c>
      <c r="H10" s="97">
        <f t="shared" si="1"/>
        <v>1677443.6305</v>
      </c>
      <c r="I10" s="99">
        <f>H10/G10</f>
        <v>7424.28799902629</v>
      </c>
      <c r="J10" s="101">
        <v>2022</v>
      </c>
      <c r="K10" s="100" t="s">
        <v>87</v>
      </c>
    </row>
    <row r="11" spans="1:12" ht="18" customHeight="1" x14ac:dyDescent="0.25">
      <c r="B11" s="106" t="s">
        <v>64</v>
      </c>
      <c r="C11" s="107"/>
      <c r="D11" s="102">
        <f>SUM(D4:D10)</f>
        <v>5365372.8900000006</v>
      </c>
      <c r="E11" s="103">
        <v>12.040099074587832</v>
      </c>
      <c r="F11" s="103">
        <f>H11/D11</f>
        <v>12.051746075345191</v>
      </c>
      <c r="G11" s="102"/>
      <c r="H11" s="102">
        <f>SUM(H4:H10)</f>
        <v>64662111.669820994</v>
      </c>
      <c r="I11" s="104">
        <f>SUM(I5:I10)</f>
        <v>283253.12205540115</v>
      </c>
      <c r="J11" s="104"/>
      <c r="K11" s="105"/>
    </row>
    <row r="13" spans="1:12" x14ac:dyDescent="0.25">
      <c r="C13" t="s">
        <v>71</v>
      </c>
    </row>
    <row r="14" spans="1:12" x14ac:dyDescent="0.25">
      <c r="B14" s="68"/>
      <c r="C14" s="68"/>
      <c r="D14" s="89"/>
      <c r="E14" s="89"/>
      <c r="F14" s="68"/>
      <c r="G14" s="68"/>
      <c r="H14" s="90"/>
      <c r="I14" s="68"/>
      <c r="J14" s="68"/>
      <c r="K14" s="68"/>
      <c r="L14" s="68"/>
    </row>
    <row r="15" spans="1:12" ht="15.75" x14ac:dyDescent="0.25">
      <c r="B15" s="69"/>
      <c r="C15" s="70"/>
      <c r="D15" s="71"/>
      <c r="E15" s="71"/>
      <c r="F15" s="72"/>
      <c r="G15" s="71"/>
      <c r="H15" s="71"/>
      <c r="I15" s="73"/>
      <c r="J15" s="73"/>
      <c r="K15" s="74"/>
      <c r="L15" s="68"/>
    </row>
    <row r="16" spans="1:12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2:12" x14ac:dyDescent="0.25">
      <c r="B17" s="68"/>
      <c r="C17" s="75"/>
      <c r="D17" s="75"/>
      <c r="E17" s="75"/>
      <c r="F17" s="68"/>
      <c r="G17" s="68"/>
      <c r="I17" s="65"/>
      <c r="J17" s="68"/>
      <c r="K17" s="68"/>
      <c r="L17" s="68"/>
    </row>
    <row r="18" spans="2:12" x14ac:dyDescent="0.25">
      <c r="C18" s="76"/>
      <c r="D18" s="76"/>
      <c r="E18" s="76"/>
      <c r="I18" s="65"/>
    </row>
    <row r="19" spans="2:12" x14ac:dyDescent="0.25">
      <c r="I19" s="65"/>
    </row>
    <row r="20" spans="2:12" x14ac:dyDescent="0.25">
      <c r="I20" s="65"/>
    </row>
    <row r="21" spans="2:12" x14ac:dyDescent="0.25">
      <c r="I21" s="65"/>
    </row>
    <row r="22" spans="2:12" x14ac:dyDescent="0.25">
      <c r="I22" s="65"/>
    </row>
    <row r="23" spans="2:12" x14ac:dyDescent="0.25">
      <c r="B23" s="68"/>
      <c r="C23" s="68"/>
      <c r="D23" s="68"/>
      <c r="E23" s="68"/>
      <c r="I23" s="65"/>
    </row>
    <row r="24" spans="2:12" x14ac:dyDescent="0.25">
      <c r="B24" s="68"/>
      <c r="C24" s="68"/>
      <c r="D24" s="68"/>
      <c r="E24" s="68"/>
      <c r="I24" s="65"/>
    </row>
    <row r="25" spans="2:12" x14ac:dyDescent="0.25">
      <c r="B25" s="78"/>
      <c r="C25" s="78"/>
      <c r="D25" s="78"/>
      <c r="E25" s="78"/>
      <c r="I25" s="65"/>
    </row>
    <row r="26" spans="2:12" x14ac:dyDescent="0.25">
      <c r="B26" s="68"/>
      <c r="C26" s="68"/>
      <c r="D26" s="68"/>
      <c r="E26" s="68"/>
      <c r="I26" s="77"/>
    </row>
  </sheetData>
  <mergeCells count="1">
    <mergeCell ref="B11:C11"/>
  </mergeCells>
  <pageMargins left="0.7" right="0.7" top="0.75" bottom="0.75" header="0.3" footer="0.3"/>
  <pageSetup orientation="portrait" r:id="rId1"/>
  <headerFooter>
    <oddHeader>&amp;L&amp;"Calibri"&amp;12&amp;K8E6A00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H5" sqref="H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7.285156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08" t="s">
        <v>56</v>
      </c>
      <c r="B1" s="108"/>
      <c r="C1" s="108"/>
      <c r="D1" s="108"/>
      <c r="E1" s="108"/>
      <c r="F1" s="108"/>
      <c r="G1" s="108"/>
      <c r="H1" s="108"/>
      <c r="I1" s="108"/>
      <c r="J1" s="108"/>
    </row>
    <row r="3" spans="1:13" x14ac:dyDescent="0.3">
      <c r="B3" s="43" t="s">
        <v>53</v>
      </c>
      <c r="C3" s="43"/>
      <c r="D3" s="43"/>
      <c r="H3" s="109" t="s">
        <v>65</v>
      </c>
      <c r="I3" s="110"/>
      <c r="J3" s="110"/>
      <c r="K3" s="110"/>
      <c r="L3" s="110" t="s">
        <v>1</v>
      </c>
      <c r="M3" s="110"/>
    </row>
    <row r="4" spans="1:13" ht="99" x14ac:dyDescent="0.3">
      <c r="B4" s="43"/>
      <c r="C4" s="43" t="s">
        <v>77</v>
      </c>
      <c r="D4" s="43"/>
      <c r="F4" s="44" t="s">
        <v>70</v>
      </c>
      <c r="H4" s="55" t="s">
        <v>2</v>
      </c>
      <c r="I4" s="56" t="s">
        <v>59</v>
      </c>
      <c r="J4" s="58" t="s">
        <v>60</v>
      </c>
      <c r="K4" s="59" t="s">
        <v>61</v>
      </c>
      <c r="L4" s="58" t="s">
        <v>63</v>
      </c>
      <c r="M4" s="58" t="s">
        <v>62</v>
      </c>
    </row>
    <row r="5" spans="1:13" s="45" customFormat="1" ht="25.5" customHeight="1" x14ac:dyDescent="0.3">
      <c r="B5" s="43"/>
      <c r="C5" s="43" t="s">
        <v>78</v>
      </c>
      <c r="D5" s="46">
        <v>225.94</v>
      </c>
      <c r="F5" s="66">
        <v>8649234</v>
      </c>
      <c r="G5" s="42"/>
      <c r="H5" s="47">
        <f>'HCP MCM'!D11</f>
        <v>5365372.8900000006</v>
      </c>
      <c r="I5" s="48">
        <f>'HCP MCM'!I11</f>
        <v>283253.12205540115</v>
      </c>
      <c r="J5" s="49">
        <f>I5/F5</f>
        <v>3.2748925749424881E-2</v>
      </c>
      <c r="K5" s="50">
        <f>H5/I5</f>
        <v>18.941972646467754</v>
      </c>
      <c r="L5" s="57">
        <f>J5*1.9</f>
        <v>6.2222958923907272E-2</v>
      </c>
      <c r="M5" s="51">
        <f>L5*F5</f>
        <v>538180.93190526217</v>
      </c>
    </row>
    <row r="6" spans="1:13" s="45" customFormat="1" ht="26.25" customHeight="1" x14ac:dyDescent="0.3">
      <c r="B6" s="52"/>
      <c r="C6" s="43" t="s">
        <v>79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  <c r="L8" s="91" t="s">
        <v>72</v>
      </c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  <headerFooter>
    <oddHeader>&amp;L&amp;"Calibri"&amp;12&amp;K8E6A00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42"/>
  <sheetViews>
    <sheetView showGridLines="0" topLeftCell="A8" workbookViewId="0">
      <selection activeCell="A20" sqref="A20:B20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10" width="10.7109375" style="2" bestFit="1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0.710937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57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66</v>
      </c>
      <c r="C3" s="1" t="s">
        <v>10</v>
      </c>
      <c r="D3" s="12" t="s">
        <v>54</v>
      </c>
      <c r="E3" s="1" t="s">
        <v>11</v>
      </c>
      <c r="F3" s="12" t="s">
        <v>55</v>
      </c>
    </row>
    <row r="4" spans="1:15" ht="15" customHeight="1" thickBot="1" x14ac:dyDescent="0.25">
      <c r="A4" s="13" t="s">
        <v>12</v>
      </c>
      <c r="B4" s="122" t="s">
        <v>13</v>
      </c>
      <c r="C4" s="122"/>
      <c r="D4" s="122"/>
      <c r="E4" s="122"/>
      <c r="F4" s="123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20" t="s">
        <v>16</v>
      </c>
      <c r="B7" s="125" t="s">
        <v>17</v>
      </c>
      <c r="C7" s="126"/>
      <c r="D7" s="127" t="s">
        <v>18</v>
      </c>
      <c r="E7" s="128"/>
      <c r="F7" s="129" t="s">
        <v>19</v>
      </c>
      <c r="G7" s="130"/>
    </row>
    <row r="8" spans="1:15" ht="25.5" x14ac:dyDescent="0.2">
      <c r="A8" s="124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21"/>
      <c r="B9" s="20">
        <f>B6*B12</f>
        <v>2682686.4450000003</v>
      </c>
      <c r="C9" s="20">
        <f>C6*B12</f>
        <v>8048059.3350000009</v>
      </c>
      <c r="D9" s="21">
        <f>F9</f>
        <v>5365372.8900000006</v>
      </c>
      <c r="E9" s="22">
        <f>(($O$12/(1+EXP($M$12+$N$12*D9)))-1) - ($F$12-$C$12)</f>
        <v>283253.12205540109</v>
      </c>
      <c r="F9" s="20">
        <f>B12</f>
        <v>5365372.8900000006</v>
      </c>
      <c r="G9" s="23">
        <f>C12</f>
        <v>283253.12205540115</v>
      </c>
    </row>
    <row r="10" spans="1:15" ht="13.5" thickBot="1" x14ac:dyDescent="0.25"/>
    <row r="11" spans="1:15" ht="51.6" customHeight="1" x14ac:dyDescent="0.2">
      <c r="A11" s="120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11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21"/>
      <c r="B12" s="20">
        <f>Data!H5</f>
        <v>5365372.8900000006</v>
      </c>
      <c r="C12" s="23">
        <f>Data!I5</f>
        <v>283253.12205540115</v>
      </c>
      <c r="D12" s="26">
        <v>0</v>
      </c>
      <c r="E12" s="23">
        <f>Data!M5</f>
        <v>538180.93190526217</v>
      </c>
      <c r="F12" s="27">
        <f>Data!F5</f>
        <v>8649234</v>
      </c>
      <c r="H12" s="112"/>
      <c r="I12" s="28">
        <f>F12-C12</f>
        <v>8365980.8779445989</v>
      </c>
      <c r="J12" s="28">
        <f>I12+E12</f>
        <v>8904161.809849862</v>
      </c>
      <c r="K12" s="29">
        <f>B12</f>
        <v>5365372.8900000006</v>
      </c>
      <c r="L12" s="28">
        <f>F12</f>
        <v>8649234</v>
      </c>
      <c r="M12" s="30">
        <f>LN((($J$12+1)/($I$12+1))-1)</f>
        <v>-2.7437341775638058</v>
      </c>
      <c r="N12" s="31">
        <f>(LN((($J$12+1)/($L$12+1))-1)-$M$12)/$K$12</f>
        <v>-1.4547200887920476E-7</v>
      </c>
      <c r="O12" s="32">
        <f>J12+1</f>
        <v>8904162.809849862</v>
      </c>
    </row>
    <row r="13" spans="1:15" ht="34.15" customHeight="1" x14ac:dyDescent="0.2">
      <c r="A13" s="113" t="s">
        <v>40</v>
      </c>
      <c r="B13" s="114"/>
      <c r="C13" s="114"/>
      <c r="D13" s="114"/>
      <c r="E13" s="114"/>
      <c r="F13" s="115"/>
      <c r="H13" s="113" t="s">
        <v>41</v>
      </c>
      <c r="I13" s="114"/>
      <c r="J13" s="114"/>
      <c r="K13" s="114"/>
      <c r="L13" s="114"/>
      <c r="M13" s="114"/>
      <c r="N13" s="114"/>
      <c r="O13" s="115"/>
    </row>
    <row r="14" spans="1:15" ht="33.6" customHeight="1" x14ac:dyDescent="0.2">
      <c r="A14" s="116"/>
      <c r="B14" s="117"/>
      <c r="C14" s="117"/>
      <c r="D14" s="117"/>
      <c r="E14" s="117"/>
      <c r="F14" s="118"/>
      <c r="H14" s="116"/>
      <c r="I14" s="117"/>
      <c r="J14" s="117"/>
      <c r="K14" s="117"/>
      <c r="L14" s="117"/>
      <c r="M14" s="117"/>
      <c r="N14" s="117"/>
      <c r="O14" s="118"/>
    </row>
    <row r="16" spans="1:15" ht="13.5" thickBot="1" x14ac:dyDescent="0.25"/>
    <row r="17" spans="1:5" ht="16.899999999999999" customHeight="1" x14ac:dyDescent="0.2">
      <c r="A17" s="111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12"/>
      <c r="B18" s="33">
        <v>0</v>
      </c>
      <c r="C18" s="34">
        <v>13000000</v>
      </c>
      <c r="D18" s="35">
        <v>20</v>
      </c>
    </row>
    <row r="20" spans="1:5" x14ac:dyDescent="0.2">
      <c r="A20" s="119" t="s">
        <v>46</v>
      </c>
      <c r="B20" s="119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B22*'HCP MCM'!$G$5</f>
        <v>0</v>
      </c>
      <c r="D22" s="39"/>
      <c r="E22" s="38"/>
    </row>
    <row r="23" spans="1:5" x14ac:dyDescent="0.2">
      <c r="A23" s="37">
        <f>A22+(($C$18-$B$18)/$D$18)</f>
        <v>650000</v>
      </c>
      <c r="B23" s="36">
        <f t="shared" ref="B23:B42" si="0">(($O$12/(1+EXP($M$12+$N$12*A23)))-1) - ($F$12-$C$12)</f>
        <v>45872.114945289679</v>
      </c>
      <c r="C23" s="38">
        <f>B23*'HCP MCM'!$G$5</f>
        <v>10364345.65073875</v>
      </c>
      <c r="D23" s="39">
        <f>C23/A23</f>
        <v>15.945147154982692</v>
      </c>
      <c r="E23" s="38"/>
    </row>
    <row r="24" spans="1:5" x14ac:dyDescent="0.2">
      <c r="A24" s="37">
        <f t="shared" ref="A24:A42" si="1">A23+(($C$18-$B$18)/$D$18)</f>
        <v>1300000</v>
      </c>
      <c r="B24" s="36">
        <f t="shared" si="0"/>
        <v>88044.673788825981</v>
      </c>
      <c r="C24" s="38">
        <f>B24*'HCP MCM'!$G$5</f>
        <v>19892813.595847342</v>
      </c>
      <c r="D24" s="39">
        <f t="shared" ref="D24:D42" si="2">C24/A24</f>
        <v>15.302164304497955</v>
      </c>
      <c r="E24" s="38"/>
    </row>
    <row r="25" spans="1:5" x14ac:dyDescent="0.2">
      <c r="A25" s="37">
        <f t="shared" si="1"/>
        <v>1950000</v>
      </c>
      <c r="B25" s="36">
        <f t="shared" si="0"/>
        <v>126781.29542884324</v>
      </c>
      <c r="C25" s="38">
        <f>B25*'HCP MCM'!$G$5</f>
        <v>28644965.889192842</v>
      </c>
      <c r="D25" s="39">
        <f t="shared" si="2"/>
        <v>14.689726097021969</v>
      </c>
      <c r="E25" s="38"/>
    </row>
    <row r="26" spans="1:5" x14ac:dyDescent="0.2">
      <c r="A26" s="37">
        <f t="shared" si="1"/>
        <v>2600000</v>
      </c>
      <c r="B26" s="36">
        <f t="shared" si="0"/>
        <v>162332.62462767493</v>
      </c>
      <c r="C26" s="38">
        <f>B26*'HCP MCM'!$G$5</f>
        <v>36677433.20837687</v>
      </c>
      <c r="D26" s="39">
        <f t="shared" si="2"/>
        <v>14.10670508014495</v>
      </c>
      <c r="E26" s="38"/>
    </row>
    <row r="27" spans="1:5" x14ac:dyDescent="0.2">
      <c r="A27" s="60">
        <f t="shared" si="1"/>
        <v>3250000</v>
      </c>
      <c r="B27" s="61">
        <f t="shared" si="0"/>
        <v>194935.93195671681</v>
      </c>
      <c r="C27" s="38">
        <f>B27*'HCP MCM'!$G$5</f>
        <v>44043824.466300599</v>
      </c>
      <c r="D27" s="63">
        <f t="shared" si="2"/>
        <v>13.551945989630953</v>
      </c>
      <c r="E27" s="62"/>
    </row>
    <row r="28" spans="1:5" x14ac:dyDescent="0.2">
      <c r="A28" s="37">
        <f t="shared" si="1"/>
        <v>3900000</v>
      </c>
      <c r="B28" s="36">
        <f t="shared" si="0"/>
        <v>224814.95543573517</v>
      </c>
      <c r="C28" s="38">
        <f>B28*'HCP MCM'!$G$5</f>
        <v>50794691.031150006</v>
      </c>
      <c r="D28" s="39">
        <f t="shared" si="2"/>
        <v>13.024279751576925</v>
      </c>
      <c r="E28" s="38"/>
    </row>
    <row r="29" spans="1:5" x14ac:dyDescent="0.2">
      <c r="A29" s="37">
        <f t="shared" si="1"/>
        <v>4550000</v>
      </c>
      <c r="B29" s="36">
        <f t="shared" si="0"/>
        <v>252179.9406197397</v>
      </c>
      <c r="C29" s="38">
        <f>B29*'HCP MCM'!$G$5</f>
        <v>56977535.783623986</v>
      </c>
      <c r="D29" s="39">
        <f t="shared" si="2"/>
        <v>12.522535337060217</v>
      </c>
      <c r="E29" s="38"/>
    </row>
    <row r="30" spans="1:5" x14ac:dyDescent="0.2">
      <c r="A30" s="37">
        <f t="shared" si="1"/>
        <v>5200000</v>
      </c>
      <c r="B30" s="36">
        <f t="shared" si="0"/>
        <v>277227.84062356781</v>
      </c>
      <c r="C30" s="38">
        <f>B30*'HCP MCM'!$G$5</f>
        <v>62636858.310488909</v>
      </c>
      <c r="D30" s="39">
        <f t="shared" si="2"/>
        <v>12.045549675094021</v>
      </c>
      <c r="E30" s="38"/>
    </row>
    <row r="31" spans="1:5" x14ac:dyDescent="0.2">
      <c r="A31" s="37">
        <f t="shared" si="1"/>
        <v>5850000</v>
      </c>
      <c r="B31" s="36">
        <f t="shared" si="0"/>
        <v>300142.64227929991</v>
      </c>
      <c r="C31" s="38">
        <f>B31*'HCP MCM'!$G$5</f>
        <v>67814228.59658502</v>
      </c>
      <c r="D31" s="39">
        <f t="shared" si="2"/>
        <v>11.592175828476073</v>
      </c>
      <c r="E31" s="38"/>
    </row>
    <row r="32" spans="1:5" s="84" customFormat="1" x14ac:dyDescent="0.2">
      <c r="A32" s="80">
        <f t="shared" si="1"/>
        <v>6500000</v>
      </c>
      <c r="B32" s="81">
        <f t="shared" si="0"/>
        <v>321095.78914166149</v>
      </c>
      <c r="C32" s="82">
        <f>B32*'HCP MCM'!$G$5</f>
        <v>72548382.598666996</v>
      </c>
      <c r="D32" s="83">
        <f t="shared" si="2"/>
        <v>11.161289630564154</v>
      </c>
      <c r="E32" s="82"/>
    </row>
    <row r="33" spans="1:5" x14ac:dyDescent="0.2">
      <c r="A33" s="37">
        <f t="shared" si="1"/>
        <v>7150000</v>
      </c>
      <c r="B33" s="36">
        <f t="shared" si="0"/>
        <v>340246.67628904525</v>
      </c>
      <c r="C33" s="38">
        <f>B33*'HCP MCM'!$G$5</f>
        <v>76875334.040746883</v>
      </c>
      <c r="D33" s="39">
        <f t="shared" si="2"/>
        <v>10.75179497073383</v>
      </c>
      <c r="E33" s="38"/>
    </row>
    <row r="34" spans="1:5" x14ac:dyDescent="0.2">
      <c r="A34" s="85">
        <f>A33+(($C$18-$B$18)/$D$18)</f>
        <v>7800000</v>
      </c>
      <c r="B34" s="86">
        <f t="shared" si="0"/>
        <v>357743.19575030077</v>
      </c>
      <c r="C34" s="87">
        <f>B34*'HCP MCM'!$G$5</f>
        <v>80828497.647822961</v>
      </c>
      <c r="D34" s="88">
        <f t="shared" si="2"/>
        <v>10.362627903567047</v>
      </c>
      <c r="E34" s="38"/>
    </row>
    <row r="35" spans="1:5" x14ac:dyDescent="0.2">
      <c r="A35" s="37">
        <f t="shared" si="1"/>
        <v>8450000</v>
      </c>
      <c r="B35" s="36">
        <f t="shared" si="0"/>
        <v>373722.31488842424</v>
      </c>
      <c r="C35" s="38">
        <f>B35*'HCP MCM'!$G$5</f>
        <v>84438819.825890571</v>
      </c>
      <c r="D35" s="39">
        <f t="shared" si="2"/>
        <v>9.9927597427089427</v>
      </c>
      <c r="E35" s="38"/>
    </row>
    <row r="36" spans="1:5" x14ac:dyDescent="0.2">
      <c r="A36" s="37">
        <f t="shared" si="1"/>
        <v>9100000</v>
      </c>
      <c r="B36" s="36">
        <f t="shared" si="0"/>
        <v>388310.6731832223</v>
      </c>
      <c r="C36" s="38">
        <f>B36*'HCP MCM'!$G$5</f>
        <v>87734913.499017239</v>
      </c>
      <c r="D36" s="39">
        <f t="shared" si="2"/>
        <v>9.6411992856062891</v>
      </c>
      <c r="E36" s="38"/>
    </row>
    <row r="37" spans="1:5" x14ac:dyDescent="0.2">
      <c r="A37" s="37">
        <f t="shared" si="1"/>
        <v>9750000</v>
      </c>
      <c r="B37" s="36">
        <f t="shared" si="0"/>
        <v>401625.18558379728</v>
      </c>
      <c r="C37" s="38">
        <f>B37*'HCP MCM'!$G$5</f>
        <v>90743194.43080315</v>
      </c>
      <c r="D37" s="39">
        <f t="shared" si="2"/>
        <v>9.3069943005951945</v>
      </c>
      <c r="E37" s="38"/>
    </row>
    <row r="38" spans="1:5" x14ac:dyDescent="0.2">
      <c r="A38" s="37">
        <f t="shared" si="1"/>
        <v>10400000</v>
      </c>
      <c r="B38" s="36">
        <f t="shared" si="0"/>
        <v>413773.64296756778</v>
      </c>
      <c r="C38" s="38">
        <f>B38*'HCP MCM'!$G$5</f>
        <v>93488016.892092258</v>
      </c>
      <c r="D38" s="39">
        <f t="shared" si="2"/>
        <v>8.9892323934704095</v>
      </c>
      <c r="E38" s="38"/>
    </row>
    <row r="39" spans="1:5" x14ac:dyDescent="0.2">
      <c r="A39" s="37">
        <f t="shared" si="1"/>
        <v>11050000</v>
      </c>
      <c r="B39" s="36">
        <f t="shared" si="0"/>
        <v>424855.30227168929</v>
      </c>
      <c r="C39" s="38">
        <f>B39*'HCP MCM'!$G$5</f>
        <v>95991806.995265484</v>
      </c>
      <c r="D39" s="39">
        <f t="shared" si="2"/>
        <v>8.6870413570376002</v>
      </c>
      <c r="E39" s="38"/>
    </row>
    <row r="40" spans="1:5" x14ac:dyDescent="0.2">
      <c r="A40" s="37">
        <f t="shared" si="1"/>
        <v>11700000</v>
      </c>
      <c r="B40" s="36">
        <f t="shared" si="0"/>
        <v>434961.46058537532</v>
      </c>
      <c r="C40" s="38">
        <f>B40*'HCP MCM'!$G$5</f>
        <v>98275192.404659703</v>
      </c>
      <c r="D40" s="39">
        <f t="shared" si="2"/>
        <v>8.3995890944153597</v>
      </c>
      <c r="E40" s="38"/>
    </row>
    <row r="41" spans="1:5" x14ac:dyDescent="0.2">
      <c r="A41" s="37">
        <f>A40+(($C$18-$B$18)/$D$18)</f>
        <v>12350000</v>
      </c>
      <c r="B41" s="36">
        <f t="shared" si="0"/>
        <v>444176.00893958937</v>
      </c>
      <c r="C41" s="38">
        <f>B41*'HCP MCM'!$G$5</f>
        <v>100357127.45981082</v>
      </c>
      <c r="D41" s="39">
        <f t="shared" si="2"/>
        <v>8.1260831951263821</v>
      </c>
      <c r="E41" s="38"/>
    </row>
    <row r="42" spans="1:5" x14ac:dyDescent="0.2">
      <c r="A42" s="37">
        <f t="shared" si="1"/>
        <v>13000000</v>
      </c>
      <c r="B42" s="36">
        <f t="shared" si="0"/>
        <v>452575.96273552347</v>
      </c>
      <c r="C42" s="38">
        <f>B42*'HCP MCM'!$G$5</f>
        <v>102255013.02046417</v>
      </c>
      <c r="D42" s="39">
        <f t="shared" si="2"/>
        <v>7.8657702323433973</v>
      </c>
      <c r="E42" s="38"/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headerFooter>
    <oddHeader>&amp;L&amp;"Calibri"&amp;12&amp;K8E6A00 Confidential&amp;1#_x000D_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HCP MCM</vt:lpstr>
      <vt:lpstr>Data</vt:lpstr>
      <vt:lpstr>HCP MCM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2024-03-05T06:08:33Z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  <property fmtid="{D5CDD505-2E9C-101B-9397-08002B2CF9AE}" pid="7" name="MSIP_Label_2c56a699-e9bd-437a-8412-901342082749_Enabled">
    <vt:lpwstr>true</vt:lpwstr>
  </property>
  <property fmtid="{D5CDD505-2E9C-101B-9397-08002B2CF9AE}" pid="8" name="MSIP_Label_2c56a699-e9bd-437a-8412-901342082749_SetDate">
    <vt:lpwstr>2024-03-05T04:32:17Z</vt:lpwstr>
  </property>
  <property fmtid="{D5CDD505-2E9C-101B-9397-08002B2CF9AE}" pid="9" name="MSIP_Label_2c56a699-e9bd-437a-8412-901342082749_Method">
    <vt:lpwstr>Privileged</vt:lpwstr>
  </property>
  <property fmtid="{D5CDD505-2E9C-101B-9397-08002B2CF9AE}" pid="10" name="MSIP_Label_2c56a699-e9bd-437a-8412-901342082749_Name">
    <vt:lpwstr>2c56a699-e9bd-437a-8412-901342082749</vt:lpwstr>
  </property>
  <property fmtid="{D5CDD505-2E9C-101B-9397-08002B2CF9AE}" pid="11" name="MSIP_Label_2c56a699-e9bd-437a-8412-901342082749_SiteId">
    <vt:lpwstr>a00de4ec-48a8-43a6-be74-e31274e2060d</vt:lpwstr>
  </property>
  <property fmtid="{D5CDD505-2E9C-101B-9397-08002B2CF9AE}" pid="12" name="MSIP_Label_2c56a699-e9bd-437a-8412-901342082749_ActionId">
    <vt:lpwstr>c50ae3f1-9376-4b53-842b-dea72be04d93</vt:lpwstr>
  </property>
  <property fmtid="{D5CDD505-2E9C-101B-9397-08002B2CF9AE}" pid="13" name="MSIP_Label_2c56a699-e9bd-437a-8412-901342082749_ContentBits">
    <vt:lpwstr>1</vt:lpwstr>
  </property>
</Properties>
</file>