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9E748832-7696-4E44-ACA0-9EC8F21D587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CC Inoffice" sheetId="5" r:id="rId1"/>
    <sheet name="Data" sheetId="6" r:id="rId2"/>
    <sheet name="HCC Inoffice Curve" sheetId="7" r:id="rId3"/>
    <sheet name="2019" sheetId="10" r:id="rId4"/>
    <sheet name="2018" sheetId="9" r:id="rId5"/>
    <sheet name="2017" sheetId="8" r:id="rId6"/>
  </sheets>
  <externalReferences>
    <externalReference r:id="rId7"/>
    <externalReference r:id="rId8"/>
  </externalReferences>
  <definedNames>
    <definedName name="PRAProgram">'[1]Drop Down Allowed Values'!$C$7:$C$56</definedName>
    <definedName name="Product">'[2]Drop Down Allowed Values'!$A$7:$A$36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4" i="5"/>
  <c r="I7" i="5" l="1"/>
  <c r="I6" i="5"/>
  <c r="I5" i="5"/>
  <c r="D8" i="5" l="1"/>
  <c r="E12" i="10" l="1"/>
  <c r="H11" i="10"/>
  <c r="I11" i="10" s="1"/>
  <c r="H10" i="10"/>
  <c r="I10" i="10" s="1"/>
  <c r="H9" i="10"/>
  <c r="I9" i="10" s="1"/>
  <c r="I12" i="10" s="1"/>
  <c r="E9" i="10"/>
  <c r="H12" i="10" l="1"/>
  <c r="F12" i="10" s="1"/>
  <c r="G8" i="9"/>
  <c r="F8" i="9"/>
  <c r="A8" i="9"/>
  <c r="G7" i="9"/>
  <c r="F7" i="9"/>
  <c r="A7" i="9"/>
  <c r="G6" i="9"/>
  <c r="F6" i="9"/>
  <c r="A6" i="9"/>
  <c r="F5" i="9"/>
  <c r="D5" i="9"/>
  <c r="G5" i="9" s="1"/>
  <c r="A5" i="9"/>
  <c r="F4" i="9"/>
  <c r="D4" i="9"/>
  <c r="D9" i="9" s="1"/>
  <c r="A4" i="9"/>
  <c r="D12" i="9" s="1"/>
  <c r="G4" i="9" l="1"/>
  <c r="H8" i="9"/>
  <c r="H7" i="9"/>
  <c r="H5" i="9"/>
  <c r="H6" i="9"/>
  <c r="G9" i="9"/>
  <c r="E9" i="9" s="1"/>
  <c r="H4" i="9"/>
  <c r="H9" i="9" l="1"/>
  <c r="C5" i="8" l="1"/>
  <c r="F4" i="8"/>
  <c r="G4" i="8" s="1"/>
  <c r="G5" i="8" s="1"/>
  <c r="F5" i="8" l="1"/>
  <c r="D5" i="8" s="1"/>
  <c r="H5" i="6"/>
  <c r="B12" i="7" s="1"/>
  <c r="B9" i="7" s="1"/>
  <c r="F12" i="7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C9" i="7" l="1"/>
  <c r="F9" i="7"/>
  <c r="D9" i="7" s="1"/>
  <c r="K12" i="7"/>
  <c r="H8" i="5" l="1"/>
  <c r="I4" i="5" l="1"/>
  <c r="I8" i="5" s="1"/>
  <c r="I5" i="6" s="1"/>
  <c r="F8" i="5"/>
  <c r="J5" i="6" l="1"/>
  <c r="L5" i="6" s="1"/>
  <c r="M5" i="6" s="1"/>
  <c r="E12" i="7" s="1"/>
  <c r="C12" i="7"/>
  <c r="K5" i="6"/>
  <c r="I12" i="7" l="1"/>
  <c r="J12" i="7" s="1"/>
  <c r="G9" i="7"/>
  <c r="O12" i="7" l="1"/>
  <c r="M12" i="7"/>
  <c r="N12" i="7" s="1"/>
  <c r="B30" i="7" l="1"/>
  <c r="B32" i="7"/>
  <c r="B31" i="7"/>
  <c r="B29" i="7"/>
  <c r="B22" i="7"/>
  <c r="C22" i="7" s="1"/>
  <c r="B35" i="7"/>
  <c r="B41" i="7"/>
  <c r="B23" i="7"/>
  <c r="B25" i="7"/>
  <c r="E9" i="7"/>
  <c r="B38" i="7"/>
  <c r="B24" i="7"/>
  <c r="B42" i="7"/>
  <c r="B34" i="7"/>
  <c r="B37" i="7"/>
  <c r="B28" i="7"/>
  <c r="B27" i="7"/>
  <c r="B26" i="7"/>
  <c r="B36" i="7"/>
  <c r="B33" i="7"/>
  <c r="B39" i="7"/>
  <c r="B40" i="7"/>
  <c r="C28" i="7" l="1"/>
  <c r="D28" i="7" s="1"/>
  <c r="C24" i="7"/>
  <c r="D24" i="7" s="1"/>
  <c r="C23" i="7"/>
  <c r="D23" i="7" s="1"/>
  <c r="C29" i="7"/>
  <c r="D29" i="7" s="1"/>
  <c r="C26" i="7"/>
  <c r="D26" i="7" s="1"/>
  <c r="C27" i="7"/>
  <c r="D27" i="7" s="1"/>
  <c r="C25" i="7"/>
  <c r="D25" i="7" s="1"/>
  <c r="C40" i="7"/>
  <c r="D40" i="7" s="1"/>
  <c r="C33" i="7"/>
  <c r="D33" i="7" s="1"/>
  <c r="C36" i="7"/>
  <c r="D36" i="7" s="1"/>
  <c r="C37" i="7"/>
  <c r="D37" i="7" s="1"/>
  <c r="C38" i="7"/>
  <c r="D38" i="7" s="1"/>
  <c r="C41" i="7"/>
  <c r="D41" i="7" s="1"/>
  <c r="C31" i="7"/>
  <c r="D31" i="7" s="1"/>
  <c r="C32" i="7"/>
  <c r="D32" i="7" s="1"/>
  <c r="C34" i="7"/>
  <c r="D34" i="7" s="1"/>
  <c r="C35" i="7"/>
  <c r="D35" i="7" s="1"/>
  <c r="C39" i="7"/>
  <c r="D39" i="7" s="1"/>
  <c r="C42" i="7"/>
  <c r="D42" i="7" s="1"/>
  <c r="C30" i="7"/>
  <c r="D30" i="7" s="1"/>
</calcChain>
</file>

<file path=xl/sharedStrings.xml><?xml version="1.0" encoding="utf-8"?>
<sst xmlns="http://schemas.openxmlformats.org/spreadsheetml/2006/main" count="226" uniqueCount="170">
  <si>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</si>
  <si>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</si>
  <si>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</si>
  <si>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</si>
  <si>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</si>
  <si>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</si>
  <si>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</si>
  <si>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</si>
  <si>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</si>
  <si>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</si>
  <si>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</si>
  <si>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</si>
  <si>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</si>
  <si>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</si>
  <si>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</si>
  <si>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</si>
  <si>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</si>
  <si>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</si>
  <si>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</si>
  <si>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</si>
  <si>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</si>
  <si>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</si>
  <si>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</si>
  <si>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</si>
  <si>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</si>
  <si>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</si>
  <si>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</si>
  <si>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</si>
  <si>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</si>
  <si>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</si>
  <si>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</si>
  <si>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</si>
  <si>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</si>
  <si>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</si>
  <si>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</si>
  <si>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</si>
  <si>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</si>
  <si>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</si>
  <si>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</si>
  <si>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</si>
  <si>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</si>
  <si>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</si>
  <si>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</si>
  <si>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</si>
  <si>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</si>
  <si>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</si>
  <si>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</si>
  <si>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 xml:space="preserve">Spend </t>
  </si>
  <si>
    <t>ROI:</t>
  </si>
  <si>
    <t>Pre-tax</t>
  </si>
  <si>
    <t>INITIAL:</t>
  </si>
  <si>
    <t>FINAL:</t>
  </si>
  <si>
    <t>Comments:</t>
  </si>
  <si>
    <t>Program</t>
  </si>
  <si>
    <t>Pre-tax cost</t>
  </si>
  <si>
    <t>Pre-tax NPV</t>
  </si>
  <si>
    <t>Pre-tax ROI</t>
  </si>
  <si>
    <t>2016 Pre-tax Pgm/Rx</t>
  </si>
  <si>
    <t>Parameters for back-calculation of Incremental Rx</t>
  </si>
  <si>
    <t>GARDASIL 9</t>
  </si>
  <si>
    <t># Incr. Doses</t>
  </si>
  <si>
    <t>Spend per Dose</t>
  </si>
  <si>
    <t>Anticipated Max Incr. Dose (in %) when HCC spend is increased to infinity</t>
  </si>
  <si>
    <t>Anticipated Max Incr. Dose</t>
  </si>
  <si>
    <t>Estimated Incr. Dose</t>
  </si>
  <si>
    <t>Estimated Incr. Dose (as % of NPA Dose)</t>
  </si>
  <si>
    <t xml:space="preserve">PatientPoint - Exam Room Brochure + Waiting Room TV </t>
  </si>
  <si>
    <t>Based on 2017 media plan, Roi based on IA&amp;DS file</t>
  </si>
  <si>
    <t>Merck GARDASIL Online Programs: Incremental doses per Tactic with ROI, Spend and Incremental Revenue</t>
  </si>
  <si>
    <t>PP Pediatric Exam Room English Brochure</t>
  </si>
  <si>
    <t>PP Pediatric Exam Room Spanish Brochure</t>
  </si>
  <si>
    <t>PP Waiting Room TV (PCP-stocking locations)</t>
  </si>
  <si>
    <t>Custom Magazine Guide - Pediatrics</t>
  </si>
  <si>
    <t>WebMD Exam Room Poster</t>
  </si>
  <si>
    <t>Pre-tax Revenue</t>
  </si>
  <si>
    <t>Compendium Name</t>
  </si>
  <si>
    <t>Includes carryover of $281,231</t>
  </si>
  <si>
    <t>% Budget with ROI available</t>
  </si>
  <si>
    <t>Includes carryover of $18,392. ROI used from the English brochure program</t>
  </si>
  <si>
    <t>2019 Pre-tax Pgm/Rx</t>
  </si>
  <si>
    <t>Based on a very old Gardasil study  May 2014 - Apr 2015. ROI 3.3953 based on $96.76 Pgm/Rx</t>
  </si>
  <si>
    <t>Assumed avg ROI here</t>
  </si>
  <si>
    <t>8.36 - Old ROI</t>
  </si>
  <si>
    <t>Using ratio of WebMD (6.75)  to PP exam room brochure (3.03) for Belsomra - 15 (Too high) and therefore, using 10</t>
  </si>
  <si>
    <t>PP Waiting Room TV</t>
  </si>
  <si>
    <t>PP Patient Point exam room brochure (English + Spanish)</t>
  </si>
  <si>
    <t>InOffice</t>
  </si>
  <si>
    <t>Incr. Doses</t>
  </si>
  <si>
    <t>Doses</t>
  </si>
  <si>
    <t>Measurement Time Period</t>
  </si>
  <si>
    <t>JAN18-AUG18</t>
  </si>
  <si>
    <t>2019 Pre-tax Spend</t>
  </si>
  <si>
    <t>2019 Estimated Pre-tax Pgm/Dose</t>
  </si>
  <si>
    <t>2019 Estimated Pre-tax Revenue</t>
  </si>
  <si>
    <t>MAR18-FEB19</t>
  </si>
  <si>
    <t>Includes carryover of $370,145 from 2018.The lower range assuming just one dose completion is 1 and the upper range assuming average dose completion is 8.2</t>
  </si>
  <si>
    <t xml:space="preserve"> For the 2018 program,overall there was not a significant impact, but for PCPs only there was an impactThere’s two ROIs here – one using the full cost but just the impact from PCPs (2:1) and one using just the cost of PCPs (4.5:1).   </t>
  </si>
  <si>
    <t>JUL18-APR19</t>
  </si>
  <si>
    <t>Total</t>
  </si>
  <si>
    <t>PatientPoint Waiting Room Video</t>
  </si>
  <si>
    <t>PatientPoint Digital Wallboard</t>
  </si>
  <si>
    <t>GARDASIL ADOLESCENT</t>
  </si>
  <si>
    <t>Waiting Room TV</t>
  </si>
  <si>
    <t>Exam Room Brochures</t>
  </si>
  <si>
    <t>Supplier</t>
  </si>
  <si>
    <t>PatientPoint</t>
  </si>
  <si>
    <t>Point of Care</t>
  </si>
  <si>
    <t>2022 Carryover Custom Guide (EL)</t>
  </si>
  <si>
    <t>2022 Carryover Custom Guide (SL)</t>
  </si>
  <si>
    <t>PatientPoint Custom Guide (EL) Cycle #1</t>
  </si>
  <si>
    <t>PatientPoint Custom Guide (EL) Cycle #2</t>
  </si>
  <si>
    <t>PatientPoint Custom Guide (SL) Cycle #1</t>
  </si>
  <si>
    <t>PatientPoint Custom Guide (SL) Cycle #2</t>
  </si>
  <si>
    <t>Targeted Media Health (Parent's Health)</t>
  </si>
  <si>
    <t>Point of Care - Hard Negotiated Value</t>
  </si>
  <si>
    <t/>
  </si>
  <si>
    <t>Digital Wallboard</t>
  </si>
  <si>
    <t>Targeted Media Health</t>
  </si>
  <si>
    <t>TMH</t>
  </si>
  <si>
    <t>2022 Estimated Pre-tax Pgm/Dose</t>
  </si>
  <si>
    <t>2022 Tax-rate</t>
  </si>
  <si>
    <t>2022 Pre-tax PGM/Rx</t>
  </si>
  <si>
    <t>2022 Pre-tax PGM/NPV</t>
  </si>
  <si>
    <r>
      <t xml:space="preserve">Total GARDASIL </t>
    </r>
    <r>
      <rPr>
        <b/>
        <sz val="10"/>
        <color rgb="FF0000FF"/>
        <rFont val="Arial Narrow"/>
        <family val="2"/>
      </rPr>
      <t xml:space="preserve">observed  </t>
    </r>
    <r>
      <rPr>
        <b/>
        <sz val="10"/>
        <color theme="1"/>
        <rFont val="Arial Narrow"/>
        <family val="2"/>
      </rPr>
      <t>Doses in 2022</t>
    </r>
  </si>
  <si>
    <t>Select Brand</t>
  </si>
  <si>
    <t>KEYTRUDA MEL</t>
  </si>
  <si>
    <t>NEXPLANON</t>
  </si>
  <si>
    <t>BELSOMRA</t>
  </si>
  <si>
    <t>KEYTRUDA RCC</t>
  </si>
  <si>
    <t>JANUVIA/JANUMET</t>
  </si>
  <si>
    <t>KEYTRUDA LUNG</t>
  </si>
  <si>
    <t>VERQUVO</t>
  </si>
  <si>
    <t>TIMEPD (ex. MMMYY-MMMYY)</t>
  </si>
  <si>
    <t>JAN19-OCT19</t>
  </si>
  <si>
    <t>JAN19-DEC19</t>
  </si>
  <si>
    <t>DEC19-MAY20</t>
  </si>
  <si>
    <t>NOV19-APR20</t>
  </si>
  <si>
    <t>NOV19-AUG20</t>
  </si>
  <si>
    <t>MAR20-DEC20</t>
  </si>
  <si>
    <t>APR20-FEB21</t>
  </si>
  <si>
    <t>JAN20-DEC20</t>
  </si>
  <si>
    <t>MAR21-FEB22</t>
  </si>
  <si>
    <t>SEP21-JUN22</t>
  </si>
  <si>
    <t>APR22-DEC22</t>
  </si>
  <si>
    <t>AFTERTAX_REVENUE_MIL (calculation)</t>
  </si>
  <si>
    <t>AFTERTAX_COST_MIL</t>
  </si>
  <si>
    <t>AFTERTAX Profitability index (calculation)</t>
  </si>
  <si>
    <t>GARDASIL ADULT</t>
  </si>
  <si>
    <t>Select Program</t>
  </si>
  <si>
    <t>Waiting Room Magazine</t>
  </si>
  <si>
    <t>Oct20-May21</t>
  </si>
  <si>
    <t>Lower PRETAX_REVENUE_MIL (calculation)</t>
  </si>
  <si>
    <t xml:space="preserve">PRETAX_COST_MIL </t>
  </si>
  <si>
    <t>Lower PRETAX Profitability index (calculation)</t>
  </si>
  <si>
    <t>Waiting Room Magazine+Poster</t>
  </si>
  <si>
    <t xml:space="preserve">Exam and waiting room </t>
  </si>
  <si>
    <t xml:space="preserve">exam room touch screen </t>
  </si>
  <si>
    <t>waiting room tv</t>
  </si>
  <si>
    <t>Adult - waiting room magzine</t>
  </si>
  <si>
    <t>tracie POC File</t>
  </si>
  <si>
    <t>2023 Pre-tax Spend</t>
  </si>
  <si>
    <t>2023 Estimated Pre-tax Revenue</t>
  </si>
  <si>
    <t>OCT20-MAY21</t>
  </si>
  <si>
    <t>APR22-MAR23</t>
  </si>
  <si>
    <t>PP Educate Program - Adjusted based on age and dose level</t>
  </si>
  <si>
    <t>JAN22-DEC22</t>
  </si>
  <si>
    <t>PP Interact Program - Adjusted based on age and dose level, adjusted for overlap with other PP programs</t>
  </si>
  <si>
    <t>PP Communicate Program - Adjusted based on age and dose level, adjusted for overlap with other PP programs</t>
  </si>
  <si>
    <t>Present Pre-tax ROI</t>
  </si>
  <si>
    <t>Previous Pre-tax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</si>
</sst>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0"/>
    <numFmt numFmtId="168" formatCode="&quot;$&quot;#,##0.0"/>
    <numFmt numFmtId="169" formatCode="0.0\ \t\o\ \1"/>
    <numFmt numFmtId="170" formatCode="0.0%"/>
    <numFmt numFmtId="171" formatCode="###"/>
    <numFmt numFmtId="172" formatCode="0.0"/>
    <numFmt numFmtId="173" formatCode="#,##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b/>
      <sz val="10"/>
      <color rgb="FF0000FF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u/>
      <sz val="8.25"/>
      <color rgb="FF000000"/>
      <name val="Arial"/>
      <family val="2"/>
    </font>
    <font>
      <sz val="8.25"/>
      <color rgb="FF000000"/>
      <name val="Arial"/>
      <family val="2"/>
    </font>
    <font>
      <sz val="10"/>
      <color rgb="FF0000FF"/>
      <name val="Arial Narrow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</cellStyleXfs>
  <cellXfs count="197">
    <xf numFmtId="0" fontId="0" fillId="0" borderId="0" xfId="0"/>
    <xf numFmtId="0" fontId="7" fillId="8" borderId="2" xfId="0" applyFont="1" applyFill="1" applyBorder="1"/>
    <xf numFmtId="0" fontId="8" fillId="0" borderId="0" xfId="0" applyFont="1"/>
    <xf numFmtId="0" fontId="7" fillId="8" borderId="3" xfId="0" applyFont="1" applyFill="1" applyBorder="1"/>
    <xf numFmtId="0" fontId="8" fillId="9" borderId="4" xfId="0" applyFont="1" applyFill="1" applyBorder="1"/>
    <xf numFmtId="0" fontId="7" fillId="8" borderId="4" xfId="0" applyFont="1" applyFill="1" applyBorder="1"/>
    <xf numFmtId="0" fontId="8" fillId="9" borderId="5" xfId="0" applyFont="1" applyFill="1" applyBorder="1"/>
    <xf numFmtId="0" fontId="8" fillId="9" borderId="6" xfId="0" applyFont="1" applyFill="1" applyBorder="1" applyAlignment="1">
      <alignment horizontal="left"/>
    </xf>
    <xf numFmtId="0" fontId="8" fillId="9" borderId="7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7" fillId="8" borderId="9" xfId="0" applyFont="1" applyFill="1" applyBorder="1"/>
    <xf numFmtId="0" fontId="8" fillId="9" borderId="2" xfId="0" applyFont="1" applyFill="1" applyBorder="1"/>
    <xf numFmtId="0" fontId="8" fillId="9" borderId="10" xfId="0" applyFont="1" applyFill="1" applyBorder="1"/>
    <xf numFmtId="0" fontId="7" fillId="8" borderId="11" xfId="0" applyFont="1" applyFill="1" applyBorder="1"/>
    <xf numFmtId="9" fontId="8" fillId="0" borderId="0" xfId="0" applyNumberFormat="1" applyFont="1"/>
    <xf numFmtId="0" fontId="7" fillId="8" borderId="1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165" fontId="8" fillId="9" borderId="24" xfId="2" applyNumberFormat="1" applyFont="1" applyFill="1" applyBorder="1"/>
    <xf numFmtId="165" fontId="9" fillId="10" borderId="25" xfId="2" applyNumberFormat="1" applyFont="1" applyFill="1" applyBorder="1"/>
    <xf numFmtId="3" fontId="9" fillId="10" borderId="26" xfId="0" applyNumberFormat="1" applyFont="1" applyFill="1" applyBorder="1"/>
    <xf numFmtId="3" fontId="8" fillId="9" borderId="24" xfId="0" applyNumberFormat="1" applyFont="1" applyFill="1" applyBorder="1"/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9" borderId="24" xfId="0" applyFont="1" applyFill="1" applyBorder="1"/>
    <xf numFmtId="166" fontId="8" fillId="9" borderId="28" xfId="1" applyNumberFormat="1" applyFont="1" applyFill="1" applyBorder="1"/>
    <xf numFmtId="166" fontId="8" fillId="11" borderId="24" xfId="0" applyNumberFormat="1" applyFont="1" applyFill="1" applyBorder="1" applyAlignment="1">
      <alignment horizontal="center" vertical="center" wrapText="1"/>
    </xf>
    <xf numFmtId="165" fontId="8" fillId="11" borderId="24" xfId="2" applyNumberFormat="1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4" xfId="0" applyNumberFormat="1" applyFont="1" applyFill="1" applyBorder="1" applyAlignment="1">
      <alignment horizontal="center" vertical="center" wrapText="1"/>
    </xf>
    <xf numFmtId="166" fontId="8" fillId="11" borderId="28" xfId="0" applyNumberFormat="1" applyFont="1" applyFill="1" applyBorder="1" applyAlignment="1">
      <alignment horizontal="center" vertical="center" wrapText="1"/>
    </xf>
    <xf numFmtId="164" fontId="8" fillId="9" borderId="24" xfId="2" applyNumberFormat="1" applyFont="1" applyFill="1" applyBorder="1"/>
    <xf numFmtId="164" fontId="8" fillId="9" borderId="24" xfId="0" applyNumberFormat="1" applyFont="1" applyFill="1" applyBorder="1"/>
    <xf numFmtId="0" fontId="8" fillId="11" borderId="28" xfId="0" applyFont="1" applyFill="1" applyBorder="1"/>
    <xf numFmtId="3" fontId="8" fillId="0" borderId="1" xfId="0" applyNumberFormat="1" applyFont="1" applyBorder="1"/>
    <xf numFmtId="164" fontId="8" fillId="0" borderId="1" xfId="0" applyNumberFormat="1" applyFont="1" applyBorder="1"/>
    <xf numFmtId="5" fontId="8" fillId="0" borderId="0" xfId="0" applyNumberFormat="1" applyFont="1"/>
    <xf numFmtId="0" fontId="8" fillId="0" borderId="0" xfId="0" applyNumberFormat="1" applyFont="1"/>
    <xf numFmtId="0" fontId="8" fillId="0" borderId="0" xfId="0" applyFont="1" applyAlignment="1">
      <alignment horizontal="center"/>
    </xf>
    <xf numFmtId="5" fontId="8" fillId="0" borderId="0" xfId="0" applyNumberFormat="1" applyFont="1" applyAlignment="1">
      <alignment horizontal="center"/>
    </xf>
    <xf numFmtId="0" fontId="15" fillId="0" borderId="0" xfId="0" applyFont="1"/>
    <xf numFmtId="0" fontId="16" fillId="3" borderId="0" xfId="4" applyFont="1"/>
    <xf numFmtId="0" fontId="17" fillId="7" borderId="1" xfId="0" applyFont="1" applyFill="1" applyBorder="1" applyAlignment="1">
      <alignment wrapText="1"/>
    </xf>
    <xf numFmtId="0" fontId="15" fillId="0" borderId="0" xfId="0" applyFont="1" applyFill="1"/>
    <xf numFmtId="5" fontId="16" fillId="3" borderId="0" xfId="4" applyNumberFormat="1" applyFont="1"/>
    <xf numFmtId="165" fontId="18" fillId="6" borderId="1" xfId="0" applyNumberFormat="1" applyFont="1" applyFill="1" applyBorder="1" applyAlignment="1">
      <alignment horizontal="center" vertical="center"/>
    </xf>
    <xf numFmtId="166" fontId="18" fillId="6" borderId="1" xfId="0" applyNumberFormat="1" applyFont="1" applyFill="1" applyBorder="1" applyAlignment="1">
      <alignment horizontal="center" vertical="center"/>
    </xf>
    <xf numFmtId="10" fontId="13" fillId="6" borderId="1" xfId="3" applyNumberFormat="1" applyFont="1" applyFill="1" applyBorder="1" applyAlignment="1">
      <alignment horizontal="center" vertical="center"/>
    </xf>
    <xf numFmtId="44" fontId="13" fillId="6" borderId="1" xfId="2" applyFont="1" applyFill="1" applyBorder="1" applyAlignment="1">
      <alignment horizontal="center" vertical="center"/>
    </xf>
    <xf numFmtId="166" fontId="18" fillId="6" borderId="1" xfId="1" applyNumberFormat="1" applyFont="1" applyFill="1" applyBorder="1" applyAlignment="1">
      <alignment horizontal="center" vertical="center"/>
    </xf>
    <xf numFmtId="0" fontId="16" fillId="0" borderId="0" xfId="4" applyFont="1" applyFill="1"/>
    <xf numFmtId="5" fontId="16" fillId="0" borderId="0" xfId="4" applyNumberFormat="1" applyFont="1" applyFill="1"/>
    <xf numFmtId="0" fontId="19" fillId="0" borderId="0" xfId="0" applyFont="1" applyFill="1"/>
    <xf numFmtId="0" fontId="15" fillId="6" borderId="1" xfId="0" applyFont="1" applyFill="1" applyBorder="1" applyAlignment="1">
      <alignment horizontal="center" vertical="center" wrapText="1"/>
    </xf>
    <xf numFmtId="44" fontId="15" fillId="6" borderId="1" xfId="2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/>
    </xf>
    <xf numFmtId="0" fontId="13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168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9" fontId="4" fillId="11" borderId="0" xfId="0" applyNumberFormat="1" applyFont="1" applyFill="1" applyAlignment="1">
      <alignment horizontal="center"/>
    </xf>
    <xf numFmtId="3" fontId="13" fillId="11" borderId="0" xfId="0" applyNumberFormat="1" applyFont="1" applyFill="1" applyAlignment="1">
      <alignment horizontal="center"/>
    </xf>
    <xf numFmtId="0" fontId="13" fillId="11" borderId="7" xfId="0" applyFont="1" applyFill="1" applyBorder="1" applyAlignment="1">
      <alignment horizontal="center"/>
    </xf>
    <xf numFmtId="168" fontId="13" fillId="11" borderId="7" xfId="0" applyNumberFormat="1" applyFont="1" applyFill="1" applyBorder="1" applyAlignment="1">
      <alignment horizontal="center"/>
    </xf>
    <xf numFmtId="3" fontId="13" fillId="11" borderId="7" xfId="0" applyNumberFormat="1" applyFont="1" applyFill="1" applyBorder="1" applyAlignment="1">
      <alignment horizontal="center"/>
    </xf>
    <xf numFmtId="164" fontId="13" fillId="11" borderId="7" xfId="0" applyNumberFormat="1" applyFont="1" applyFill="1" applyBorder="1" applyAlignment="1">
      <alignment horizontal="center"/>
    </xf>
    <xf numFmtId="167" fontId="13" fillId="11" borderId="7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167" fontId="4" fillId="11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170" fontId="18" fillId="6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9" fontId="0" fillId="0" borderId="0" xfId="3" applyFont="1"/>
    <xf numFmtId="165" fontId="0" fillId="0" borderId="0" xfId="2" applyNumberFormat="1" applyFont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169" fontId="4" fillId="11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4" fillId="14" borderId="0" xfId="0" applyNumberFormat="1" applyFont="1" applyFill="1" applyAlignment="1">
      <alignment horizontal="center"/>
    </xf>
    <xf numFmtId="169" fontId="4" fillId="14" borderId="0" xfId="0" applyNumberFormat="1" applyFont="1" applyFill="1" applyAlignment="1">
      <alignment horizontal="center"/>
    </xf>
    <xf numFmtId="3" fontId="13" fillId="14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9" fontId="0" fillId="0" borderId="0" xfId="3" applyFont="1" applyAlignment="1">
      <alignment horizontal="center"/>
    </xf>
    <xf numFmtId="0" fontId="13" fillId="15" borderId="36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left" wrapText="1"/>
    </xf>
    <xf numFmtId="0" fontId="14" fillId="15" borderId="36" xfId="0" applyFont="1" applyFill="1" applyBorder="1" applyAlignment="1">
      <alignment horizontal="center" wrapText="1"/>
    </xf>
    <xf numFmtId="0" fontId="2" fillId="0" borderId="36" xfId="0" applyFont="1" applyFill="1" applyBorder="1" applyAlignment="1">
      <alignment horizontal="center" wrapText="1"/>
    </xf>
    <xf numFmtId="164" fontId="4" fillId="0" borderId="36" xfId="0" applyNumberFormat="1" applyFont="1" applyFill="1" applyBorder="1" applyAlignment="1">
      <alignment horizontal="center" wrapText="1"/>
    </xf>
    <xf numFmtId="169" fontId="4" fillId="0" borderId="36" xfId="0" applyNumberFormat="1" applyFont="1" applyFill="1" applyBorder="1" applyAlignment="1">
      <alignment horizontal="center" wrapText="1"/>
    </xf>
    <xf numFmtId="3" fontId="13" fillId="0" borderId="36" xfId="0" applyNumberFormat="1" applyFont="1" applyFill="1" applyBorder="1" applyAlignment="1">
      <alignment horizontal="center" wrapText="1"/>
    </xf>
    <xf numFmtId="3" fontId="21" fillId="0" borderId="36" xfId="0" applyNumberFormat="1" applyFont="1" applyFill="1" applyBorder="1" applyAlignment="1">
      <alignment horizontal="center" wrapText="1"/>
    </xf>
    <xf numFmtId="164" fontId="13" fillId="15" borderId="36" xfId="0" applyNumberFormat="1" applyFont="1" applyFill="1" applyBorder="1" applyAlignment="1">
      <alignment horizontal="center" wrapText="1"/>
    </xf>
    <xf numFmtId="169" fontId="4" fillId="15" borderId="36" xfId="0" applyNumberFormat="1" applyFont="1" applyFill="1" applyBorder="1" applyAlignment="1">
      <alignment horizontal="center" wrapText="1"/>
    </xf>
    <xf numFmtId="3" fontId="13" fillId="15" borderId="36" xfId="0" applyNumberFormat="1" applyFont="1" applyFill="1" applyBorder="1" applyAlignment="1">
      <alignment horizontal="center" wrapText="1"/>
    </xf>
    <xf numFmtId="0" fontId="4" fillId="15" borderId="36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4" fontId="8" fillId="0" borderId="1" xfId="0" applyNumberFormat="1" applyFont="1" applyFill="1" applyBorder="1"/>
    <xf numFmtId="3" fontId="8" fillId="0" borderId="1" xfId="0" applyNumberFormat="1" applyFont="1" applyFill="1" applyBorder="1"/>
    <xf numFmtId="5" fontId="8" fillId="0" borderId="0" xfId="0" applyNumberFormat="1" applyFont="1" applyFill="1"/>
    <xf numFmtId="0" fontId="8" fillId="0" borderId="0" xfId="0" applyNumberFormat="1" applyFont="1" applyFill="1"/>
    <xf numFmtId="0" fontId="8" fillId="0" borderId="0" xfId="0" applyFont="1" applyFill="1"/>
    <xf numFmtId="0" fontId="22" fillId="0" borderId="0" xfId="0" applyFont="1"/>
    <xf numFmtId="0" fontId="23" fillId="16" borderId="37" xfId="10" applyFont="1" applyFill="1" applyBorder="1" applyAlignment="1">
      <alignment horizontal="left"/>
    </xf>
    <xf numFmtId="0" fontId="24" fillId="0" borderId="37" xfId="10" applyFont="1" applyBorder="1" applyAlignment="1">
      <alignment horizontal="left"/>
    </xf>
    <xf numFmtId="0" fontId="24" fillId="12" borderId="37" xfId="10" applyFont="1" applyFill="1" applyBorder="1" applyAlignment="1">
      <alignment horizontal="left"/>
    </xf>
    <xf numFmtId="171" fontId="24" fillId="0" borderId="38" xfId="10" applyNumberFormat="1" applyFont="1" applyBorder="1" applyAlignment="1">
      <alignment horizontal="right"/>
    </xf>
    <xf numFmtId="164" fontId="24" fillId="0" borderId="38" xfId="9" applyNumberFormat="1" applyFont="1" applyBorder="1" applyAlignment="1">
      <alignment horizontal="right"/>
    </xf>
    <xf numFmtId="164" fontId="0" fillId="0" borderId="0" xfId="0" applyNumberFormat="1"/>
    <xf numFmtId="3" fontId="25" fillId="0" borderId="1" xfId="0" applyNumberFormat="1" applyFont="1" applyBorder="1" applyAlignment="1">
      <alignment horizontal="center"/>
    </xf>
    <xf numFmtId="164" fontId="8" fillId="12" borderId="1" xfId="0" applyNumberFormat="1" applyFont="1" applyFill="1" applyBorder="1"/>
    <xf numFmtId="3" fontId="8" fillId="12" borderId="1" xfId="0" applyNumberFormat="1" applyFont="1" applyFill="1" applyBorder="1"/>
    <xf numFmtId="5" fontId="8" fillId="12" borderId="0" xfId="0" applyNumberFormat="1" applyFont="1" applyFill="1"/>
    <xf numFmtId="0" fontId="8" fillId="12" borderId="0" xfId="0" applyNumberFormat="1" applyFont="1" applyFill="1"/>
    <xf numFmtId="0" fontId="26" fillId="17" borderId="34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26" fillId="17" borderId="0" xfId="0" quotePrefix="1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0" fillId="18" borderId="0" xfId="0" applyFont="1" applyFill="1" applyAlignment="1">
      <alignment horizontal="center"/>
    </xf>
    <xf numFmtId="0" fontId="26" fillId="19" borderId="0" xfId="0" quotePrefix="1" applyFont="1" applyFill="1" applyAlignment="1">
      <alignment horizontal="left" wrapText="1"/>
    </xf>
    <xf numFmtId="0" fontId="26" fillId="17" borderId="0" xfId="0" quotePrefix="1" applyFont="1" applyFill="1" applyAlignment="1">
      <alignment horizontal="left" wrapText="1"/>
    </xf>
    <xf numFmtId="0" fontId="26" fillId="19" borderId="0" xfId="0" applyFont="1" applyFill="1" applyAlignment="1">
      <alignment horizontal="center" wrapText="1"/>
    </xf>
    <xf numFmtId="167" fontId="10" fillId="0" borderId="0" xfId="0" applyNumberFormat="1" applyFont="1"/>
    <xf numFmtId="8" fontId="10" fillId="0" borderId="0" xfId="0" applyNumberFormat="1" applyFont="1"/>
    <xf numFmtId="2" fontId="26" fillId="0" borderId="0" xfId="0" applyNumberFormat="1" applyFont="1" applyAlignment="1">
      <alignment horizontal="center"/>
    </xf>
    <xf numFmtId="172" fontId="26" fillId="0" borderId="0" xfId="0" applyNumberFormat="1" applyFont="1" applyAlignment="1">
      <alignment horizontal="center"/>
    </xf>
    <xf numFmtId="167" fontId="27" fillId="0" borderId="0" xfId="0" applyNumberFormat="1" applyFont="1"/>
    <xf numFmtId="8" fontId="27" fillId="0" borderId="0" xfId="0" applyNumberFormat="1" applyFont="1"/>
    <xf numFmtId="2" fontId="28" fillId="0" borderId="0" xfId="0" applyNumberFormat="1" applyFont="1" applyAlignment="1">
      <alignment horizontal="center"/>
    </xf>
    <xf numFmtId="167" fontId="10" fillId="18" borderId="0" xfId="0" applyNumberFormat="1" applyFont="1" applyFill="1"/>
    <xf numFmtId="8" fontId="10" fillId="18" borderId="0" xfId="0" applyNumberFormat="1" applyFont="1" applyFill="1"/>
    <xf numFmtId="2" fontId="26" fillId="18" borderId="0" xfId="0" applyNumberFormat="1" applyFont="1" applyFill="1" applyAlignment="1">
      <alignment horizontal="center"/>
    </xf>
    <xf numFmtId="0" fontId="26" fillId="19" borderId="0" xfId="0" quotePrefix="1" applyFont="1" applyFill="1" applyAlignment="1">
      <alignment horizontal="center" wrapText="1"/>
    </xf>
    <xf numFmtId="167" fontId="10" fillId="0" borderId="0" xfId="2" applyNumberFormat="1" applyFont="1" applyFill="1" applyAlignment="1">
      <alignment horizontal="center"/>
    </xf>
    <xf numFmtId="0" fontId="26" fillId="17" borderId="0" xfId="0" applyFont="1" applyFill="1" applyAlignment="1">
      <alignment horizontal="center" wrapText="1"/>
    </xf>
    <xf numFmtId="167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20" borderId="37" xfId="10" applyFill="1" applyBorder="1" applyAlignment="1">
      <alignment horizontal="center" vertical="center"/>
    </xf>
    <xf numFmtId="0" fontId="10" fillId="20" borderId="0" xfId="10" applyFill="1" applyAlignment="1">
      <alignment horizontal="center"/>
    </xf>
    <xf numFmtId="0" fontId="0" fillId="0" borderId="0" xfId="0" applyAlignment="1">
      <alignment horizontal="center"/>
    </xf>
    <xf numFmtId="0" fontId="27" fillId="0" borderId="36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left" vertical="center"/>
    </xf>
    <xf numFmtId="164" fontId="27" fillId="0" borderId="36" xfId="0" applyNumberFormat="1" applyFont="1" applyFill="1" applyBorder="1" applyAlignment="1">
      <alignment horizontal="center" vertical="center"/>
    </xf>
    <xf numFmtId="3" fontId="27" fillId="0" borderId="36" xfId="0" applyNumberFormat="1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left" vertical="center" wrapText="1"/>
    </xf>
    <xf numFmtId="0" fontId="29" fillId="15" borderId="36" xfId="0" applyFont="1" applyFill="1" applyBorder="1" applyAlignment="1">
      <alignment horizontal="center" vertical="center"/>
    </xf>
    <xf numFmtId="0" fontId="29" fillId="15" borderId="36" xfId="0" applyFont="1" applyFill="1" applyBorder="1" applyAlignment="1">
      <alignment horizontal="center" vertical="center" wrapText="1"/>
    </xf>
    <xf numFmtId="0" fontId="30" fillId="15" borderId="36" xfId="0" applyFont="1" applyFill="1" applyBorder="1" applyAlignment="1">
      <alignment horizontal="center" vertical="center" wrapText="1"/>
    </xf>
    <xf numFmtId="0" fontId="31" fillId="15" borderId="36" xfId="0" applyFont="1" applyFill="1" applyBorder="1" applyAlignment="1">
      <alignment horizontal="center" wrapText="1"/>
    </xf>
    <xf numFmtId="173" fontId="27" fillId="0" borderId="36" xfId="0" applyNumberFormat="1" applyFont="1" applyFill="1" applyBorder="1" applyAlignment="1">
      <alignment horizontal="center" vertical="center"/>
    </xf>
    <xf numFmtId="164" fontId="29" fillId="15" borderId="36" xfId="0" applyNumberFormat="1" applyFont="1" applyFill="1" applyBorder="1" applyAlignment="1">
      <alignment horizontal="center" vertical="center"/>
    </xf>
    <xf numFmtId="169" fontId="29" fillId="15" borderId="36" xfId="0" applyNumberFormat="1" applyFont="1" applyFill="1" applyBorder="1" applyAlignment="1">
      <alignment horizontal="center" vertical="center"/>
    </xf>
    <xf numFmtId="3" fontId="29" fillId="15" borderId="36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171" fontId="24" fillId="0" borderId="0" xfId="10" applyNumberFormat="1" applyFont="1" applyBorder="1" applyAlignment="1">
      <alignment horizontal="right"/>
    </xf>
    <xf numFmtId="164" fontId="24" fillId="0" borderId="0" xfId="9" applyNumberFormat="1" applyFont="1" applyBorder="1" applyAlignment="1">
      <alignment horizontal="right"/>
    </xf>
    <xf numFmtId="0" fontId="26" fillId="17" borderId="0" xfId="0" applyFont="1" applyFill="1" applyBorder="1" applyAlignment="1">
      <alignment horizontal="center" wrapText="1"/>
    </xf>
    <xf numFmtId="173" fontId="27" fillId="0" borderId="36" xfId="0" applyNumberFormat="1" applyFont="1" applyBorder="1" applyAlignment="1">
      <alignment horizontal="center" vertical="center"/>
    </xf>
    <xf numFmtId="0" fontId="29" fillId="15" borderId="39" xfId="0" applyFont="1" applyFill="1" applyBorder="1" applyAlignment="1">
      <alignment horizontal="center" vertical="center"/>
    </xf>
    <xf numFmtId="0" fontId="29" fillId="15" borderId="40" xfId="0" applyFont="1" applyFill="1" applyBorder="1" applyAlignment="1">
      <alignment horizontal="center" vertical="center"/>
    </xf>
    <xf numFmtId="0" fontId="14" fillId="4" borderId="0" xfId="5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9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wrapText="1"/>
    </xf>
    <xf numFmtId="0" fontId="8" fillId="8" borderId="13" xfId="0" applyFont="1" applyFill="1" applyBorder="1" applyAlignment="1">
      <alignment horizont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HCC Inoffice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Inoffice Curve'!$B$12</c:f>
              <c:numCache>
                <c:formatCode>_("$"* #,##0_);_("$"* \(#,##0\);_("$"* "-"??_);_(@_)</c:formatCode>
                <c:ptCount val="1"/>
                <c:pt idx="0">
                  <c:v>1700000</c:v>
                </c:pt>
              </c:numCache>
            </c:numRef>
          </c:xVal>
          <c:yVal>
            <c:numRef>
              <c:f>'HCC Inoffice Curve'!$C$12</c:f>
              <c:numCache>
                <c:formatCode>#,##0</c:formatCode>
                <c:ptCount val="1"/>
                <c:pt idx="0">
                  <c:v>23857.888119863572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6-47E6-8FF7-86C9BEED7196}"/>
            </c:ext>
          </c:extLst>
        </c:ser>
        <c:ser>
          <c:idx val="1"/>
          <c:order val="1"/>
          <c:tx>
            <c:strRef>
              <c:f>'HCC Inoffice Curve'!$D$3</c:f>
              <c:strCache>
                <c:ptCount val="1"/>
                <c:pt idx="0">
                  <c:v>Incr. Doses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Inoffice 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'HCC Inoffice 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4618.5865805447102</c:v>
                </c:pt>
                <c:pt idx="2">
                  <c:v>8792.1404699273407</c:v>
                </c:pt>
                <c:pt idx="3">
                  <c:v>12563.171570016071</c:v>
                </c:pt>
                <c:pt idx="4">
                  <c:v>15970.197880234569</c:v>
                </c:pt>
                <c:pt idx="5">
                  <c:v>19048.107636233792</c:v>
                </c:pt>
                <c:pt idx="6">
                  <c:v>21828.490975478664</c:v>
                </c:pt>
                <c:pt idx="7">
                  <c:v>24339.943237923086</c:v>
                </c:pt>
                <c:pt idx="8">
                  <c:v>26608.341957086697</c:v>
                </c:pt>
                <c:pt idx="9">
                  <c:v>28657.099522635341</c:v>
                </c:pt>
                <c:pt idx="10">
                  <c:v>30507.393406404182</c:v>
                </c:pt>
                <c:pt idx="11">
                  <c:v>32178.375745151192</c:v>
                </c:pt>
                <c:pt idx="12">
                  <c:v>33687.363969050348</c:v>
                </c:pt>
                <c:pt idx="13">
                  <c:v>35050.014058286324</c:v>
                </c:pt>
                <c:pt idx="14">
                  <c:v>36280.477903626859</c:v>
                </c:pt>
                <c:pt idx="15">
                  <c:v>37391.54614206776</c:v>
                </c:pt>
                <c:pt idx="16">
                  <c:v>38394.777737218887</c:v>
                </c:pt>
                <c:pt idx="17">
                  <c:v>39300.617476643994</c:v>
                </c:pt>
                <c:pt idx="18">
                  <c:v>40118.502465764061</c:v>
                </c:pt>
                <c:pt idx="19">
                  <c:v>40856.958610396832</c:v>
                </c:pt>
                <c:pt idx="20">
                  <c:v>41523.687997883186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6-47E6-8FF7-86C9BEED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72512"/>
        <c:axId val="686274816"/>
      </c:scatterChart>
      <c:valAx>
        <c:axId val="686272512"/>
        <c:scaling>
          <c:orientation val="minMax"/>
          <c:max val="5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86274816"/>
        <c:crosses val="autoZero"/>
        <c:crossBetween val="midCat"/>
        <c:majorUnit val="1000000"/>
        <c:dispUnits>
          <c:builtInUnit val="millions"/>
        </c:dispUnits>
      </c:valAx>
      <c:valAx>
        <c:axId val="6862748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Doses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686272512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_ROI_Inputs_w_MVD-Curr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%20ROI%20Inputs%20-%20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MVD Dose Lift - Pretax"/>
      <sheetName val="Allowed Value Explanations"/>
      <sheetName val="Exp Tax Rate"/>
      <sheetName val="NRx Lift - Aftertax"/>
      <sheetName val="Confounding Results (Excluded)"/>
      <sheetName val="NO ROI CALC"/>
      <sheetName val="FYI email - no discernable Lift"/>
      <sheetName val="count"/>
      <sheetName val="Sheet4"/>
    </sheetNames>
    <sheetDataSet>
      <sheetData sheetId="0"/>
      <sheetData sheetId="1">
        <row r="7">
          <cell r="C7" t="str">
            <v>Ads on Patient Info Sheets</v>
          </cell>
        </row>
        <row r="8">
          <cell r="C8" t="str">
            <v>Ads on Patient Questionaire Forms</v>
          </cell>
        </row>
        <row r="9">
          <cell r="C9" t="str">
            <v>Alerts</v>
          </cell>
        </row>
        <row r="10">
          <cell r="C10" t="str">
            <v>Back-Office TV</v>
          </cell>
        </row>
        <row r="11">
          <cell r="C11" t="str">
            <v>Banners</v>
          </cell>
        </row>
        <row r="12">
          <cell r="C12" t="str">
            <v>Broadcast &amp; Cable TV</v>
          </cell>
        </row>
        <row r="13">
          <cell r="C13" t="str">
            <v>CRM Program</v>
          </cell>
        </row>
        <row r="14">
          <cell r="C14" t="str">
            <v>Detail</v>
          </cell>
        </row>
        <row r="15">
          <cell r="C15" t="str">
            <v>Display</v>
          </cell>
        </row>
        <row r="16">
          <cell r="C16" t="str">
            <v>Display/Online Video</v>
          </cell>
        </row>
        <row r="17">
          <cell r="C17" t="str">
            <v>eDetails</v>
          </cell>
        </row>
        <row r="18">
          <cell r="C18" t="str">
            <v>Email Program</v>
          </cell>
        </row>
        <row r="19">
          <cell r="C19" t="str">
            <v>EssentialPoints</v>
          </cell>
        </row>
        <row r="20">
          <cell r="C20" t="str">
            <v>Exam &amp; Waiting Room Brochures</v>
          </cell>
        </row>
        <row r="21">
          <cell r="C21" t="str">
            <v>Exam Room Brochures</v>
          </cell>
        </row>
        <row r="22">
          <cell r="C22" t="str">
            <v>Exam Room Multi Assets</v>
          </cell>
        </row>
        <row r="23">
          <cell r="C23" t="str">
            <v>Exam Room Posters</v>
          </cell>
        </row>
        <row r="24">
          <cell r="C24" t="str">
            <v>Exam Room Tablets</v>
          </cell>
        </row>
        <row r="25">
          <cell r="C25" t="str">
            <v>Exam Room Touchscreen</v>
          </cell>
        </row>
        <row r="26">
          <cell r="C26" t="str">
            <v>Expanded Banners</v>
          </cell>
        </row>
        <row r="27">
          <cell r="C27" t="str">
            <v>Field Email</v>
          </cell>
        </row>
        <row r="28">
          <cell r="C28" t="str">
            <v>HCC Email</v>
          </cell>
        </row>
        <row r="29">
          <cell r="C29" t="str">
            <v>HCC APP with Banner Ads</v>
          </cell>
        </row>
        <row r="30">
          <cell r="C30" t="str">
            <v>HCP Display</v>
          </cell>
        </row>
        <row r="31">
          <cell r="C31" t="str">
            <v>HCP Journals</v>
          </cell>
        </row>
        <row r="32">
          <cell r="C32" t="str">
            <v>HCP Paid Search</v>
          </cell>
        </row>
        <row r="33">
          <cell r="C33" t="str">
            <v>HQ Email</v>
          </cell>
        </row>
        <row r="34">
          <cell r="C34" t="str">
            <v>Medscape Speaker PGM</v>
          </cell>
        </row>
        <row r="35">
          <cell r="C35" t="str">
            <v>MMF EMF</v>
          </cell>
        </row>
        <row r="36">
          <cell r="C36" t="str">
            <v>MMF LECTURE</v>
          </cell>
        </row>
        <row r="37">
          <cell r="C37" t="str">
            <v>MMF PDG</v>
          </cell>
        </row>
        <row r="38">
          <cell r="C38" t="str">
            <v>Mobile Alerts</v>
          </cell>
        </row>
        <row r="39">
          <cell r="C39" t="str">
            <v>Multiple Programs</v>
          </cell>
        </row>
        <row r="40">
          <cell r="C40" t="str">
            <v>Online Video</v>
          </cell>
        </row>
        <row r="41">
          <cell r="C41" t="str">
            <v>Paid Search</v>
          </cell>
        </row>
        <row r="42">
          <cell r="C42" t="str">
            <v>Patient Learning Center</v>
          </cell>
        </row>
        <row r="43">
          <cell r="C43" t="str">
            <v>PeerDirect</v>
          </cell>
        </row>
        <row r="44">
          <cell r="C44" t="str">
            <v>POC Program</v>
          </cell>
        </row>
        <row r="45">
          <cell r="C45" t="str">
            <v>Print:  GRPs</v>
          </cell>
        </row>
        <row r="46">
          <cell r="C46" t="str">
            <v>Print:  Journals</v>
          </cell>
        </row>
        <row r="47">
          <cell r="C47" t="str">
            <v>Radio</v>
          </cell>
        </row>
        <row r="48">
          <cell r="C48" t="str">
            <v>RFM</v>
          </cell>
        </row>
        <row r="49">
          <cell r="C49" t="str">
            <v>Social Media</v>
          </cell>
        </row>
        <row r="50">
          <cell r="C50" t="str">
            <v>Pharmacy Shelf Units</v>
          </cell>
        </row>
        <row r="51">
          <cell r="C51" t="str">
            <v>Total MMF</v>
          </cell>
        </row>
        <row r="52">
          <cell r="C52" t="str">
            <v>Total MCM</v>
          </cell>
        </row>
        <row r="53">
          <cell r="C53" t="str">
            <v>Waiting Room Check-In Tablet</v>
          </cell>
        </row>
        <row r="54">
          <cell r="C54" t="str">
            <v>Waiting Room Magazine</v>
          </cell>
        </row>
        <row r="55">
          <cell r="C55" t="str">
            <v>Waiting Room TV</v>
          </cell>
        </row>
        <row r="56">
          <cell r="C56" t="str">
            <v>Waiting Room Wallboard</v>
          </cell>
        </row>
      </sheetData>
      <sheetData sheetId="2">
        <row r="116">
          <cell r="E116" t="str">
            <v>PatientPoint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Allowed Value Explanations"/>
      <sheetName val="Exp Tax Rate"/>
      <sheetName val="NRx Lift - Aftertax"/>
      <sheetName val="NRx Lift - Pretax"/>
      <sheetName val="#Patients - Pretax"/>
      <sheetName val="Confounding Results (Excluded)"/>
      <sheetName val="NO ROI CALC"/>
      <sheetName val="FYI email - no discernable Lift"/>
      <sheetName val="count"/>
    </sheetNames>
    <sheetDataSet>
      <sheetData sheetId="0"/>
      <sheetData sheetId="1">
        <row r="7">
          <cell r="A7" t="str">
            <v>ASMANEX</v>
          </cell>
        </row>
        <row r="8">
          <cell r="A8" t="str">
            <v>BELSOMRA</v>
          </cell>
        </row>
        <row r="9">
          <cell r="A9" t="str">
            <v>DELSTRIGO</v>
          </cell>
        </row>
        <row r="10">
          <cell r="A10" t="str">
            <v>DULERA</v>
          </cell>
        </row>
        <row r="11">
          <cell r="A11" t="str">
            <v>EMEND IV</v>
          </cell>
        </row>
        <row r="12">
          <cell r="A12" t="str">
            <v>GRASTEK</v>
          </cell>
        </row>
        <row r="13">
          <cell r="A13" t="str">
            <v>GRASTEK/RAGWITEK</v>
          </cell>
        </row>
        <row r="14">
          <cell r="A14" t="str">
            <v>ISENTRESS</v>
          </cell>
        </row>
        <row r="15">
          <cell r="A15" t="str">
            <v>JANUVIA/JANUMET</v>
          </cell>
        </row>
        <row r="16">
          <cell r="A16" t="str">
            <v>KEYTRUDA LUNG</v>
          </cell>
        </row>
        <row r="17">
          <cell r="A17" t="str">
            <v>KEYTRUDA MEL&amp;LUNG</v>
          </cell>
        </row>
        <row r="18">
          <cell r="A18" t="str">
            <v>KEYTRUDA H&amp;N</v>
          </cell>
        </row>
        <row r="19">
          <cell r="A19" t="str">
            <v>KEYTRUDA BLADDER</v>
          </cell>
        </row>
        <row r="20">
          <cell r="A20" t="str">
            <v>KEYTRUDA RCC</v>
          </cell>
        </row>
        <row r="21">
          <cell r="A21" t="str">
            <v>KEYTRUDA MEL</v>
          </cell>
        </row>
        <row r="22">
          <cell r="A22" t="str">
            <v>KEYTRUDA</v>
          </cell>
        </row>
        <row r="23">
          <cell r="A23" t="str">
            <v>NASONEX</v>
          </cell>
        </row>
        <row r="24">
          <cell r="A24" t="str">
            <v>NEXPLANON</v>
          </cell>
        </row>
        <row r="25">
          <cell r="A25" t="str">
            <v>NUVARING</v>
          </cell>
        </row>
        <row r="26">
          <cell r="A26" t="str">
            <v>STEGLATRO</v>
          </cell>
        </row>
        <row r="27">
          <cell r="A27" t="str">
            <v>VERQUVO</v>
          </cell>
        </row>
        <row r="28">
          <cell r="A28" t="str">
            <v>VICTRELIS</v>
          </cell>
        </row>
        <row r="29">
          <cell r="A29" t="str">
            <v>VYTORIN</v>
          </cell>
        </row>
        <row r="30">
          <cell r="A30" t="str">
            <v>ZERBAXA</v>
          </cell>
        </row>
        <row r="31">
          <cell r="A31" t="str">
            <v>ZETIA</v>
          </cell>
        </row>
        <row r="32">
          <cell r="A32" t="str">
            <v>ZETIA/VYTORIN</v>
          </cell>
        </row>
        <row r="33">
          <cell r="A33" t="str">
            <v>ZIOPTAN</v>
          </cell>
        </row>
        <row r="34">
          <cell r="A34" t="str">
            <v>LYNPARZA PROSTATE</v>
          </cell>
        </row>
        <row r="35">
          <cell r="A35" t="str">
            <v>LYNPARZA OVARIAN</v>
          </cell>
        </row>
        <row r="36">
          <cell r="A36" t="str">
            <v>LENVIMA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0"/>
  <sheetViews>
    <sheetView showGridLines="0" zoomScale="80" zoomScaleNormal="80" workbookViewId="0">
      <selection activeCell="I7" sqref="I7"/>
    </sheetView>
  </sheetViews>
  <sheetFormatPr defaultColWidth="11.85546875" defaultRowHeight="15" x14ac:dyDescent="0.25"/>
  <cols>
    <col min="1" max="1" width="9.140625" customWidth="1"/>
    <col min="2" max="2" width="23.7109375" bestFit="1" customWidth="1"/>
    <col min="3" max="3" width="22" customWidth="1"/>
    <col min="4" max="4" width="17.5703125" bestFit="1" customWidth="1"/>
    <col min="5" max="5" width="15.140625" bestFit="1" customWidth="1"/>
    <col min="6" max="6" width="14.5703125" bestFit="1" customWidth="1"/>
    <col min="7" max="7" width="21.7109375" customWidth="1"/>
    <col min="8" max="8" width="18.140625" customWidth="1"/>
    <col min="9" max="9" width="14.5703125" bestFit="1" customWidth="1"/>
    <col min="10" max="10" width="17.140625" customWidth="1"/>
    <col min="11" max="11" width="112.140625" style="107" bestFit="1" customWidth="1"/>
    <col min="12" max="12" width="13.140625" bestFit="1" customWidth="1"/>
    <col min="13" max="13" width="36.28515625" bestFit="1" customWidth="1"/>
  </cols>
  <sheetData>
    <row r="1" spans="2:13" ht="27.75" customHeight="1" x14ac:dyDescent="0.25"/>
    <row r="2" spans="2:13" x14ac:dyDescent="0.25">
      <c r="B2" s="75"/>
      <c r="F2">
        <v>1000000</v>
      </c>
    </row>
    <row r="3" spans="2:13" ht="33.75" customHeight="1" x14ac:dyDescent="0.25">
      <c r="B3" s="159" t="s">
        <v>0</v>
      </c>
      <c r="C3" s="159" t="s">
        <v>53</v>
      </c>
      <c r="D3" s="160" t="s">
        <v>160</v>
      </c>
      <c r="E3" s="160" t="s">
        <v>169</v>
      </c>
      <c r="F3" s="160" t="s">
        <v>168</v>
      </c>
      <c r="G3" s="160" t="s">
        <v>119</v>
      </c>
      <c r="H3" s="160" t="s">
        <v>161</v>
      </c>
      <c r="I3" s="159" t="s">
        <v>60</v>
      </c>
      <c r="J3" s="160" t="s">
        <v>89</v>
      </c>
      <c r="K3" s="161" t="s">
        <v>52</v>
      </c>
      <c r="L3" s="113" t="s">
        <v>104</v>
      </c>
      <c r="M3" s="153" t="s">
        <v>159</v>
      </c>
    </row>
    <row r="4" spans="2:13" ht="32.25" customHeight="1" x14ac:dyDescent="0.25">
      <c r="B4" s="154" t="s">
        <v>101</v>
      </c>
      <c r="C4" s="155" t="s">
        <v>103</v>
      </c>
      <c r="D4" s="156">
        <v>282103</v>
      </c>
      <c r="E4" s="171">
        <v>7.3698178878570211</v>
      </c>
      <c r="F4" s="163">
        <v>5.8548999999999998</v>
      </c>
      <c r="G4" s="156">
        <v>225.94</v>
      </c>
      <c r="H4" s="156">
        <f>D4*F4</f>
        <v>1651684.8547</v>
      </c>
      <c r="I4" s="157">
        <f>H4/G4</f>
        <v>7310.2808475701513</v>
      </c>
      <c r="J4" s="157" t="s">
        <v>163</v>
      </c>
      <c r="K4" s="167" t="s">
        <v>164</v>
      </c>
      <c r="L4" t="s">
        <v>105</v>
      </c>
      <c r="M4" s="151" t="s">
        <v>155</v>
      </c>
    </row>
    <row r="5" spans="2:13" ht="32.25" customHeight="1" x14ac:dyDescent="0.25">
      <c r="B5" s="154" t="s">
        <v>101</v>
      </c>
      <c r="C5" s="155" t="s">
        <v>102</v>
      </c>
      <c r="D5" s="156">
        <v>771263</v>
      </c>
      <c r="E5" s="171">
        <v>5.2328216850080675</v>
      </c>
      <c r="F5" s="163">
        <v>3.516</v>
      </c>
      <c r="G5" s="156">
        <v>225.94</v>
      </c>
      <c r="H5" s="156">
        <f t="shared" ref="H5:H7" si="0">D5*F5</f>
        <v>2711760.7080000001</v>
      </c>
      <c r="I5" s="157">
        <f>H5/G5</f>
        <v>12002.127591395947</v>
      </c>
      <c r="J5" s="157" t="s">
        <v>165</v>
      </c>
      <c r="K5" s="167" t="s">
        <v>167</v>
      </c>
      <c r="L5" t="s">
        <v>105</v>
      </c>
      <c r="M5" s="152" t="s">
        <v>157</v>
      </c>
    </row>
    <row r="6" spans="2:13" ht="32.25" customHeight="1" x14ac:dyDescent="0.25">
      <c r="B6" s="154" t="s">
        <v>101</v>
      </c>
      <c r="C6" s="155" t="s">
        <v>116</v>
      </c>
      <c r="D6" s="156">
        <v>238634</v>
      </c>
      <c r="E6" s="171">
        <v>3.2185465282653585</v>
      </c>
      <c r="F6" s="163">
        <v>1.5849</v>
      </c>
      <c r="G6" s="156">
        <v>225.94</v>
      </c>
      <c r="H6" s="156">
        <f t="shared" si="0"/>
        <v>378211.02659999998</v>
      </c>
      <c r="I6" s="157">
        <f t="shared" ref="I6:I7" si="1">H6/G6</f>
        <v>1673.9445277507302</v>
      </c>
      <c r="J6" s="157" t="s">
        <v>165</v>
      </c>
      <c r="K6" s="167" t="s">
        <v>166</v>
      </c>
      <c r="L6" t="s">
        <v>105</v>
      </c>
      <c r="M6" s="152" t="s">
        <v>156</v>
      </c>
    </row>
    <row r="7" spans="2:13" ht="32.25" customHeight="1" x14ac:dyDescent="0.25">
      <c r="B7" s="154" t="s">
        <v>101</v>
      </c>
      <c r="C7" s="155" t="s">
        <v>117</v>
      </c>
      <c r="D7" s="156">
        <v>408000</v>
      </c>
      <c r="E7" s="171">
        <v>1.5901829718185652</v>
      </c>
      <c r="F7" s="163">
        <v>1.5901829718185652</v>
      </c>
      <c r="G7" s="156">
        <v>225.94</v>
      </c>
      <c r="H7" s="156">
        <f t="shared" si="0"/>
        <v>648794.6525019746</v>
      </c>
      <c r="I7" s="157">
        <f t="shared" si="1"/>
        <v>2871.5351531467409</v>
      </c>
      <c r="J7" s="157" t="s">
        <v>162</v>
      </c>
      <c r="K7" s="158"/>
      <c r="L7" t="s">
        <v>118</v>
      </c>
      <c r="M7" s="152" t="s">
        <v>158</v>
      </c>
    </row>
    <row r="8" spans="2:13" x14ac:dyDescent="0.25">
      <c r="B8" s="172" t="s">
        <v>98</v>
      </c>
      <c r="C8" s="173"/>
      <c r="D8" s="164">
        <f>SUM(D4:D7)</f>
        <v>1700000</v>
      </c>
      <c r="E8" s="165">
        <v>4.4304581009356214</v>
      </c>
      <c r="F8" s="165">
        <f>H8/D8</f>
        <v>3.1708536716482199</v>
      </c>
      <c r="G8" s="164"/>
      <c r="H8" s="164">
        <f>SUM(H4:H7)</f>
        <v>5390451.2418019734</v>
      </c>
      <c r="I8" s="166">
        <f>SUM(I4:I7)</f>
        <v>23857.888119863572</v>
      </c>
      <c r="J8" s="166"/>
      <c r="K8" s="162"/>
    </row>
    <row r="11" spans="2:13" x14ac:dyDescent="0.25">
      <c r="C11" s="114" t="s">
        <v>106</v>
      </c>
      <c r="D11" s="117" t="s">
        <v>115</v>
      </c>
      <c r="E11" s="168"/>
      <c r="F11" s="76"/>
      <c r="G11" s="79"/>
      <c r="H11" s="80"/>
    </row>
    <row r="12" spans="2:13" x14ac:dyDescent="0.25">
      <c r="C12" s="115" t="s">
        <v>107</v>
      </c>
      <c r="D12" s="117" t="s">
        <v>115</v>
      </c>
      <c r="E12" s="168"/>
      <c r="I12">
        <v>4.4000000000000004</v>
      </c>
    </row>
    <row r="13" spans="2:13" x14ac:dyDescent="0.25">
      <c r="C13" s="115" t="s">
        <v>108</v>
      </c>
      <c r="D13" s="117" t="s">
        <v>115</v>
      </c>
      <c r="E13" s="168"/>
    </row>
    <row r="14" spans="2:13" x14ac:dyDescent="0.25">
      <c r="C14" s="116" t="s">
        <v>109</v>
      </c>
      <c r="D14" s="118">
        <v>102911.5</v>
      </c>
      <c r="E14" s="169"/>
    </row>
    <row r="15" spans="2:13" x14ac:dyDescent="0.25">
      <c r="C15" s="116" t="s">
        <v>110</v>
      </c>
      <c r="D15" s="118">
        <v>102911.5</v>
      </c>
      <c r="E15" s="169"/>
    </row>
    <row r="16" spans="2:13" x14ac:dyDescent="0.25">
      <c r="C16" s="116" t="s">
        <v>111</v>
      </c>
      <c r="D16" s="118">
        <v>38140</v>
      </c>
      <c r="E16" s="169"/>
    </row>
    <row r="17" spans="3:9" x14ac:dyDescent="0.25">
      <c r="C17" s="116" t="s">
        <v>112</v>
      </c>
      <c r="D17" s="118">
        <v>38140</v>
      </c>
      <c r="E17" s="169"/>
      <c r="F17" s="119"/>
    </row>
    <row r="18" spans="3:9" x14ac:dyDescent="0.25">
      <c r="C18" s="116" t="s">
        <v>100</v>
      </c>
      <c r="D18" s="118">
        <v>238634</v>
      </c>
      <c r="E18" s="169"/>
    </row>
    <row r="19" spans="3:9" x14ac:dyDescent="0.25">
      <c r="C19" s="116" t="s">
        <v>99</v>
      </c>
      <c r="D19" s="118">
        <v>771263</v>
      </c>
      <c r="E19" s="169"/>
    </row>
    <row r="20" spans="3:9" x14ac:dyDescent="0.25">
      <c r="C20" s="116" t="s">
        <v>113</v>
      </c>
      <c r="D20" s="118">
        <v>408000</v>
      </c>
      <c r="E20" s="169"/>
    </row>
    <row r="21" spans="3:9" x14ac:dyDescent="0.25">
      <c r="C21" s="115" t="s">
        <v>114</v>
      </c>
      <c r="D21" s="118">
        <v>55293</v>
      </c>
      <c r="E21" s="169"/>
    </row>
    <row r="24" spans="3:9" ht="64.5" x14ac:dyDescent="0.25">
      <c r="C24" s="125" t="s">
        <v>124</v>
      </c>
      <c r="D24" s="125" t="s">
        <v>148</v>
      </c>
      <c r="E24" s="170"/>
      <c r="F24" s="129" t="s">
        <v>132</v>
      </c>
      <c r="G24" s="146" t="s">
        <v>151</v>
      </c>
      <c r="H24" s="148" t="s">
        <v>152</v>
      </c>
      <c r="I24" s="135" t="s">
        <v>153</v>
      </c>
    </row>
    <row r="25" spans="3:9" x14ac:dyDescent="0.25">
      <c r="C25" s="126" t="s">
        <v>147</v>
      </c>
      <c r="D25" s="130" t="s">
        <v>149</v>
      </c>
      <c r="E25" s="130"/>
      <c r="F25" s="130" t="s">
        <v>150</v>
      </c>
      <c r="G25" s="147">
        <v>0.56289455854730752</v>
      </c>
      <c r="H25" s="149">
        <v>0.35398099999999999</v>
      </c>
      <c r="I25" s="150">
        <v>1.5901829718185652</v>
      </c>
    </row>
    <row r="28" spans="3:9" ht="51.75" x14ac:dyDescent="0.25">
      <c r="C28" s="125" t="s">
        <v>124</v>
      </c>
      <c r="D28" s="125" t="s">
        <v>148</v>
      </c>
      <c r="E28" s="170"/>
      <c r="F28" s="129" t="s">
        <v>132</v>
      </c>
      <c r="G28" s="133" t="s">
        <v>144</v>
      </c>
      <c r="H28" s="134" t="s">
        <v>145</v>
      </c>
      <c r="I28" s="135" t="s">
        <v>146</v>
      </c>
    </row>
    <row r="29" spans="3:9" x14ac:dyDescent="0.25">
      <c r="C29" s="126" t="s">
        <v>125</v>
      </c>
      <c r="D29" s="130" t="s">
        <v>149</v>
      </c>
      <c r="E29" s="130"/>
      <c r="F29" s="130" t="s">
        <v>133</v>
      </c>
      <c r="G29" s="136">
        <v>2.8019547459539997</v>
      </c>
      <c r="H29" s="137">
        <v>0.26783988000000003</v>
      </c>
      <c r="I29" s="138">
        <v>10.461305261763108</v>
      </c>
    </row>
    <row r="30" spans="3:9" x14ac:dyDescent="0.25">
      <c r="C30" s="126" t="s">
        <v>126</v>
      </c>
      <c r="D30" s="130" t="s">
        <v>149</v>
      </c>
      <c r="E30" s="130"/>
      <c r="F30" s="130" t="s">
        <v>134</v>
      </c>
      <c r="G30" s="136">
        <v>8.9669855491810466</v>
      </c>
      <c r="H30" s="137">
        <v>1.77580249</v>
      </c>
      <c r="I30" s="138">
        <v>5.0495399120546605</v>
      </c>
    </row>
    <row r="31" spans="3:9" x14ac:dyDescent="0.25">
      <c r="C31" s="126" t="s">
        <v>127</v>
      </c>
      <c r="D31" s="130" t="s">
        <v>149</v>
      </c>
      <c r="E31" s="130"/>
      <c r="F31" s="130" t="s">
        <v>135</v>
      </c>
      <c r="G31" s="136">
        <v>0.54497462540734165</v>
      </c>
      <c r="H31" s="137">
        <v>0.9376367000000001</v>
      </c>
      <c r="I31" s="138">
        <v>0.58122151725432847</v>
      </c>
    </row>
    <row r="32" spans="3:9" x14ac:dyDescent="0.25">
      <c r="C32" s="126" t="s">
        <v>126</v>
      </c>
      <c r="D32" s="130" t="s">
        <v>149</v>
      </c>
      <c r="E32" s="130"/>
      <c r="F32" s="130" t="s">
        <v>136</v>
      </c>
      <c r="G32" s="136">
        <v>5.5549655311156076</v>
      </c>
      <c r="H32" s="137">
        <v>0.93573326000000001</v>
      </c>
      <c r="I32" s="138">
        <v>5.9364840051914021</v>
      </c>
    </row>
    <row r="33" spans="3:9" x14ac:dyDescent="0.25">
      <c r="C33" s="126" t="s">
        <v>128</v>
      </c>
      <c r="D33" s="130" t="s">
        <v>149</v>
      </c>
      <c r="E33" s="130"/>
      <c r="F33" s="130" t="s">
        <v>137</v>
      </c>
      <c r="G33" s="136">
        <v>1.2373566561</v>
      </c>
      <c r="H33" s="137">
        <v>0.47731899999999999</v>
      </c>
      <c r="I33" s="138">
        <v>2.5923054730693731</v>
      </c>
    </row>
    <row r="34" spans="3:9" x14ac:dyDescent="0.25">
      <c r="C34" s="126" t="s">
        <v>129</v>
      </c>
      <c r="D34" s="130" t="s">
        <v>149</v>
      </c>
      <c r="E34" s="130"/>
      <c r="F34" s="130" t="s">
        <v>138</v>
      </c>
      <c r="G34" s="136">
        <v>4.7863443001364798</v>
      </c>
      <c r="H34" s="137">
        <v>0.66884741000000003</v>
      </c>
      <c r="I34" s="138">
        <v>7.1561079979908717</v>
      </c>
    </row>
    <row r="35" spans="3:9" x14ac:dyDescent="0.25">
      <c r="C35" s="126" t="s">
        <v>125</v>
      </c>
      <c r="D35" s="130" t="s">
        <v>149</v>
      </c>
      <c r="E35" s="130"/>
      <c r="F35" s="130" t="s">
        <v>139</v>
      </c>
      <c r="G35" s="136">
        <v>1.9476229473450002</v>
      </c>
      <c r="H35" s="137">
        <v>1.4641299999999999</v>
      </c>
      <c r="I35" s="138">
        <v>1.3302254221585517</v>
      </c>
    </row>
    <row r="36" spans="3:9" x14ac:dyDescent="0.25">
      <c r="C36" s="126" t="s">
        <v>130</v>
      </c>
      <c r="D36" s="130" t="s">
        <v>149</v>
      </c>
      <c r="E36" s="130"/>
      <c r="F36" s="130" t="s">
        <v>140</v>
      </c>
      <c r="G36" s="136">
        <v>4.288372140492001</v>
      </c>
      <c r="H36" s="137">
        <v>0.86665899999999996</v>
      </c>
      <c r="I36" s="138">
        <v>4.9481654728007225</v>
      </c>
    </row>
    <row r="37" spans="3:9" x14ac:dyDescent="0.25">
      <c r="C37" s="126" t="s">
        <v>125</v>
      </c>
      <c r="D37" s="130" t="s">
        <v>149</v>
      </c>
      <c r="E37" s="130"/>
      <c r="F37" s="130" t="s">
        <v>141</v>
      </c>
      <c r="G37" s="136">
        <v>4.4481063082499999</v>
      </c>
      <c r="H37" s="137">
        <v>0.93348299999999995</v>
      </c>
      <c r="I37" s="139">
        <v>4.7650640753500602</v>
      </c>
    </row>
    <row r="38" spans="3:9" x14ac:dyDescent="0.25">
      <c r="C38" s="126" t="s">
        <v>130</v>
      </c>
      <c r="D38" s="130" t="s">
        <v>149</v>
      </c>
      <c r="E38" s="130"/>
      <c r="F38" s="130" t="s">
        <v>141</v>
      </c>
      <c r="G38" s="136">
        <v>7.5</v>
      </c>
      <c r="H38" s="137">
        <v>0.75</v>
      </c>
      <c r="I38" s="139">
        <v>10</v>
      </c>
    </row>
    <row r="39" spans="3:9" x14ac:dyDescent="0.25">
      <c r="C39" s="127" t="s">
        <v>131</v>
      </c>
      <c r="D39" s="131" t="s">
        <v>154</v>
      </c>
      <c r="E39" s="131"/>
      <c r="F39" s="131" t="s">
        <v>142</v>
      </c>
      <c r="G39" s="140">
        <v>0.99485275530303163</v>
      </c>
      <c r="H39" s="141">
        <v>0.46200000000000002</v>
      </c>
      <c r="I39" s="142">
        <v>2.1533609422143543</v>
      </c>
    </row>
    <row r="40" spans="3:9" x14ac:dyDescent="0.25">
      <c r="C40" s="128" t="s">
        <v>129</v>
      </c>
      <c r="D40" s="132" t="s">
        <v>149</v>
      </c>
      <c r="E40" s="132"/>
      <c r="F40" s="132" t="s">
        <v>143</v>
      </c>
      <c r="G40" s="143">
        <v>0.56562659999999998</v>
      </c>
      <c r="H40" s="144">
        <v>0.47739999999999999</v>
      </c>
      <c r="I40" s="145">
        <v>1.1848064516129031</v>
      </c>
    </row>
  </sheetData>
  <mergeCells count="1">
    <mergeCell ref="B8:C8"/>
  </mergeCells>
  <dataValidations disablePrompts="1" count="2">
    <dataValidation type="list" showInputMessage="1" showErrorMessage="1" sqref="C29:C40" xr:uid="{C20D354D-3294-430F-AA8F-4A3D31982621}">
      <formula1>Product</formula1>
    </dataValidation>
    <dataValidation type="list" showInputMessage="1" showErrorMessage="1" sqref="D25:E25 D29:E40" xr:uid="{24C8C919-901E-4BD7-AB53-1773A31357DA}">
      <formula1>PRAProgram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M5" sqref="M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8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74" t="s">
        <v>68</v>
      </c>
      <c r="B1" s="174"/>
      <c r="C1" s="174"/>
      <c r="D1" s="174"/>
      <c r="E1" s="174"/>
      <c r="F1" s="174"/>
      <c r="G1" s="174"/>
      <c r="H1" s="174"/>
      <c r="I1" s="174"/>
      <c r="J1" s="174"/>
    </row>
    <row r="3" spans="1:13" x14ac:dyDescent="0.3">
      <c r="B3" s="43" t="s">
        <v>58</v>
      </c>
      <c r="C3" s="43"/>
      <c r="D3" s="43"/>
      <c r="H3" s="175">
        <v>2023</v>
      </c>
      <c r="I3" s="176"/>
      <c r="J3" s="176"/>
      <c r="K3" s="176"/>
      <c r="L3" s="176" t="s">
        <v>1</v>
      </c>
      <c r="M3" s="176"/>
    </row>
    <row r="4" spans="1:13" ht="82.5" x14ac:dyDescent="0.3">
      <c r="B4" s="43"/>
      <c r="C4" s="43" t="s">
        <v>120</v>
      </c>
      <c r="D4" s="43"/>
      <c r="F4" s="44" t="s">
        <v>123</v>
      </c>
      <c r="H4" s="55" t="s">
        <v>2</v>
      </c>
      <c r="I4" s="71" t="s">
        <v>64</v>
      </c>
      <c r="J4" s="71" t="s">
        <v>65</v>
      </c>
      <c r="K4" s="56" t="s">
        <v>61</v>
      </c>
      <c r="L4" s="55" t="s">
        <v>62</v>
      </c>
      <c r="M4" s="55" t="s">
        <v>63</v>
      </c>
    </row>
    <row r="5" spans="1:13" s="45" customFormat="1" ht="25.5" customHeight="1" x14ac:dyDescent="0.3">
      <c r="B5" s="43"/>
      <c r="C5" s="43" t="s">
        <v>121</v>
      </c>
      <c r="D5" s="46">
        <v>225.94</v>
      </c>
      <c r="F5" s="120">
        <v>8649234</v>
      </c>
      <c r="G5" s="42"/>
      <c r="H5" s="47">
        <f>'HCC Inoffice'!D8</f>
        <v>1700000</v>
      </c>
      <c r="I5" s="48">
        <f>'HCC Inoffice'!I8</f>
        <v>23857.888119863572</v>
      </c>
      <c r="J5" s="49">
        <f>I5/F5</f>
        <v>2.7583816231429941E-3</v>
      </c>
      <c r="K5" s="50">
        <f>H5/I5</f>
        <v>71.255259118455498</v>
      </c>
      <c r="L5" s="73">
        <f>J5*2</f>
        <v>5.5167632462859882E-3</v>
      </c>
      <c r="M5" s="51">
        <f>L5*F5</f>
        <v>47715.776239727144</v>
      </c>
    </row>
    <row r="6" spans="1:13" s="45" customFormat="1" ht="26.25" customHeight="1" x14ac:dyDescent="0.3">
      <c r="B6" s="52"/>
      <c r="C6" s="43" t="s">
        <v>122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42"/>
  <sheetViews>
    <sheetView showGridLines="0" tabSelected="1" workbookViewId="0">
      <selection activeCell="I7" sqref="I7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9" width="11.7109375" style="2" customWidth="1"/>
    <col min="10" max="10" width="12.7109375" style="2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1" style="2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86</v>
      </c>
      <c r="C3" s="1" t="s">
        <v>10</v>
      </c>
      <c r="D3" s="12" t="s">
        <v>87</v>
      </c>
      <c r="E3" s="1" t="s">
        <v>11</v>
      </c>
      <c r="F3" s="12" t="s">
        <v>88</v>
      </c>
    </row>
    <row r="4" spans="1:15" ht="15" customHeight="1" thickBot="1" x14ac:dyDescent="0.25">
      <c r="A4" s="13" t="s">
        <v>12</v>
      </c>
      <c r="B4" s="188" t="s">
        <v>13</v>
      </c>
      <c r="C4" s="188"/>
      <c r="D4" s="188"/>
      <c r="E4" s="188"/>
      <c r="F4" s="189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86" t="s">
        <v>16</v>
      </c>
      <c r="B7" s="191" t="s">
        <v>17</v>
      </c>
      <c r="C7" s="192"/>
      <c r="D7" s="193" t="s">
        <v>18</v>
      </c>
      <c r="E7" s="194"/>
      <c r="F7" s="195" t="s">
        <v>19</v>
      </c>
      <c r="G7" s="196"/>
    </row>
    <row r="8" spans="1:15" ht="25.5" x14ac:dyDescent="0.2">
      <c r="A8" s="190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87"/>
      <c r="B9" s="20">
        <f>B6*B12</f>
        <v>850000</v>
      </c>
      <c r="C9" s="20">
        <f>C6*B12</f>
        <v>2550000</v>
      </c>
      <c r="D9" s="21">
        <f>F9</f>
        <v>1700000</v>
      </c>
      <c r="E9" s="22">
        <f>(($O$12/(1+EXP($M$12+$N$12*D9)))-1) - ($F$12-$C$12)</f>
        <v>23857.888119863346</v>
      </c>
      <c r="F9" s="20">
        <f>B12</f>
        <v>1700000</v>
      </c>
      <c r="G9" s="23">
        <f>C12</f>
        <v>23857.888119863572</v>
      </c>
    </row>
    <row r="10" spans="1:15" ht="13.5" thickBot="1" x14ac:dyDescent="0.25"/>
    <row r="11" spans="1:15" ht="51.6" customHeight="1" x14ac:dyDescent="0.2">
      <c r="A11" s="186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77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87"/>
      <c r="B12" s="20">
        <f>Data!H5</f>
        <v>1700000</v>
      </c>
      <c r="C12" s="23">
        <f>Data!I5</f>
        <v>23857.888119863572</v>
      </c>
      <c r="D12" s="26">
        <v>0</v>
      </c>
      <c r="E12" s="23">
        <f>Data!M5</f>
        <v>47715.776239727144</v>
      </c>
      <c r="F12" s="27">
        <f>Data!F5</f>
        <v>8649234</v>
      </c>
      <c r="H12" s="178"/>
      <c r="I12" s="28">
        <f>F12-C12</f>
        <v>8625376.1118801367</v>
      </c>
      <c r="J12" s="28">
        <f>I12+E12</f>
        <v>8673091.8881198633</v>
      </c>
      <c r="K12" s="29">
        <f>B12</f>
        <v>1700000</v>
      </c>
      <c r="L12" s="28">
        <f>F12</f>
        <v>8649234</v>
      </c>
      <c r="M12" s="30">
        <f>LN((($J$12+1)/($I$12+1))-1)</f>
        <v>-5.1972018820696562</v>
      </c>
      <c r="N12" s="31">
        <f>(LN((($J$12+1)/($L$12+1))-1)-$M$12)/$K$12</f>
        <v>-4.0935845482839045E-7</v>
      </c>
      <c r="O12" s="32">
        <f>J12+1</f>
        <v>8673092.8881198633</v>
      </c>
    </row>
    <row r="13" spans="1:15" ht="34.15" customHeight="1" x14ac:dyDescent="0.2">
      <c r="A13" s="179" t="s">
        <v>40</v>
      </c>
      <c r="B13" s="180"/>
      <c r="C13" s="180"/>
      <c r="D13" s="180"/>
      <c r="E13" s="180"/>
      <c r="F13" s="181"/>
      <c r="H13" s="179" t="s">
        <v>41</v>
      </c>
      <c r="I13" s="180"/>
      <c r="J13" s="180"/>
      <c r="K13" s="180"/>
      <c r="L13" s="180"/>
      <c r="M13" s="180"/>
      <c r="N13" s="180"/>
      <c r="O13" s="181"/>
    </row>
    <row r="14" spans="1:15" ht="33.6" customHeight="1" x14ac:dyDescent="0.2">
      <c r="A14" s="182"/>
      <c r="B14" s="183"/>
      <c r="C14" s="183"/>
      <c r="D14" s="183"/>
      <c r="E14" s="183"/>
      <c r="F14" s="184"/>
      <c r="H14" s="182"/>
      <c r="I14" s="183"/>
      <c r="J14" s="183"/>
      <c r="K14" s="183"/>
      <c r="L14" s="183"/>
      <c r="M14" s="183"/>
      <c r="N14" s="183"/>
      <c r="O14" s="184"/>
    </row>
    <row r="16" spans="1:15" ht="13.5" thickBot="1" x14ac:dyDescent="0.25"/>
    <row r="17" spans="1:5" ht="16.899999999999999" customHeight="1" x14ac:dyDescent="0.2">
      <c r="A17" s="177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78"/>
      <c r="B18" s="33">
        <v>0</v>
      </c>
      <c r="C18" s="34">
        <v>5000000</v>
      </c>
      <c r="D18" s="35">
        <v>20</v>
      </c>
    </row>
    <row r="20" spans="1:5" x14ac:dyDescent="0.2">
      <c r="A20" s="185" t="s">
        <v>46</v>
      </c>
      <c r="B20" s="185"/>
    </row>
    <row r="21" spans="1:5" x14ac:dyDescent="0.2">
      <c r="A21" s="15" t="s">
        <v>47</v>
      </c>
      <c r="B21" s="15" t="s">
        <v>87</v>
      </c>
      <c r="C21" s="40" t="s">
        <v>49</v>
      </c>
      <c r="D21" s="40" t="s">
        <v>48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B22*Data!$D$5</f>
        <v>0</v>
      </c>
      <c r="D22" s="39"/>
      <c r="E22" s="38"/>
    </row>
    <row r="23" spans="1:5" x14ac:dyDescent="0.2">
      <c r="A23" s="37">
        <f>A22+(($C$18-$B$18)/$D$18)</f>
        <v>250000</v>
      </c>
      <c r="B23" s="36">
        <f t="shared" ref="B23:B42" si="0">(($O$12/(1+EXP($M$12+$N$12*A23)))-1) - ($F$12-$C$12)</f>
        <v>4618.5865805447102</v>
      </c>
      <c r="C23" s="38">
        <f>B23*Data!$D$5</f>
        <v>1043523.4520082718</v>
      </c>
      <c r="D23" s="39">
        <f>C23/A23</f>
        <v>4.1740938080330876</v>
      </c>
      <c r="E23" s="38"/>
    </row>
    <row r="24" spans="1:5" x14ac:dyDescent="0.2">
      <c r="A24" s="37">
        <f t="shared" ref="A24:A42" si="1">A23+(($C$18-$B$18)/$D$18)</f>
        <v>500000</v>
      </c>
      <c r="B24" s="36">
        <f t="shared" si="0"/>
        <v>8792.1404699273407</v>
      </c>
      <c r="C24" s="38">
        <f>B24*Data!$D$5</f>
        <v>1986496.2177753833</v>
      </c>
      <c r="D24" s="39">
        <f t="shared" ref="D24:D42" si="2">C24/A24</f>
        <v>3.9729924355507666</v>
      </c>
      <c r="E24" s="38"/>
    </row>
    <row r="25" spans="1:5" x14ac:dyDescent="0.2">
      <c r="A25" s="37">
        <f t="shared" si="1"/>
        <v>750000</v>
      </c>
      <c r="B25" s="36">
        <f t="shared" si="0"/>
        <v>12563.171570016071</v>
      </c>
      <c r="C25" s="38">
        <f>B25*Data!$D$5</f>
        <v>2838522.984529431</v>
      </c>
      <c r="D25" s="39">
        <f t="shared" si="2"/>
        <v>3.7846973127059078</v>
      </c>
      <c r="E25" s="38"/>
    </row>
    <row r="26" spans="1:5" x14ac:dyDescent="0.2">
      <c r="A26" s="37">
        <f t="shared" si="1"/>
        <v>1000000</v>
      </c>
      <c r="B26" s="36">
        <f t="shared" si="0"/>
        <v>15970.197880234569</v>
      </c>
      <c r="C26" s="38">
        <f>B26*Data!$D$5</f>
        <v>3608306.5090601984</v>
      </c>
      <c r="D26" s="39">
        <f t="shared" si="2"/>
        <v>3.6083065090601982</v>
      </c>
      <c r="E26" s="38"/>
    </row>
    <row r="27" spans="1:5" s="112" customFormat="1" x14ac:dyDescent="0.2">
      <c r="A27" s="108">
        <f t="shared" si="1"/>
        <v>1250000</v>
      </c>
      <c r="B27" s="109">
        <f t="shared" si="0"/>
        <v>19048.107636233792</v>
      </c>
      <c r="C27" s="38">
        <f>B27*Data!$D$5</f>
        <v>4303729.4393306626</v>
      </c>
      <c r="D27" s="111">
        <f t="shared" si="2"/>
        <v>3.4429835514645299</v>
      </c>
      <c r="E27" s="110"/>
    </row>
    <row r="28" spans="1:5" x14ac:dyDescent="0.2">
      <c r="A28" s="37">
        <f t="shared" si="1"/>
        <v>1500000</v>
      </c>
      <c r="B28" s="36">
        <f t="shared" si="0"/>
        <v>21828.490975478664</v>
      </c>
      <c r="C28" s="38">
        <f>B28*Data!$D$5</f>
        <v>4931929.2509996491</v>
      </c>
      <c r="D28" s="39">
        <f t="shared" si="2"/>
        <v>3.2879528339997659</v>
      </c>
      <c r="E28" s="38"/>
    </row>
    <row r="29" spans="1:5" x14ac:dyDescent="0.2">
      <c r="A29" s="121">
        <f t="shared" si="1"/>
        <v>1750000</v>
      </c>
      <c r="B29" s="122">
        <f t="shared" si="0"/>
        <v>24339.943237923086</v>
      </c>
      <c r="C29" s="123">
        <f>B29*Data!$D$5</f>
        <v>5499366.7751763416</v>
      </c>
      <c r="D29" s="124">
        <f t="shared" si="2"/>
        <v>3.1424953001007667</v>
      </c>
      <c r="E29" s="38"/>
    </row>
    <row r="30" spans="1:5" x14ac:dyDescent="0.2">
      <c r="A30" s="37">
        <f t="shared" si="1"/>
        <v>2000000</v>
      </c>
      <c r="B30" s="36">
        <f t="shared" si="0"/>
        <v>26608.341957086697</v>
      </c>
      <c r="C30" s="38">
        <f>B30*Data!$D$5</f>
        <v>6011888.7817841684</v>
      </c>
      <c r="D30" s="39">
        <f t="shared" si="2"/>
        <v>3.0059443908920844</v>
      </c>
      <c r="E30" s="38"/>
    </row>
    <row r="31" spans="1:5" x14ac:dyDescent="0.2">
      <c r="A31" s="37">
        <f t="shared" si="1"/>
        <v>2250000</v>
      </c>
      <c r="B31" s="36">
        <f t="shared" si="0"/>
        <v>28657.099522635341</v>
      </c>
      <c r="C31" s="38">
        <f>B31*Data!$D$5</f>
        <v>6474785.0661442289</v>
      </c>
      <c r="D31" s="39">
        <f t="shared" si="2"/>
        <v>2.8776822516196572</v>
      </c>
      <c r="E31" s="38"/>
    </row>
    <row r="32" spans="1:5" x14ac:dyDescent="0.2">
      <c r="A32" s="37">
        <f t="shared" si="1"/>
        <v>2500000</v>
      </c>
      <c r="B32" s="36">
        <f t="shared" si="0"/>
        <v>30507.393406404182</v>
      </c>
      <c r="C32" s="38">
        <f>B32*Data!$D$5</f>
        <v>6892840.4662429607</v>
      </c>
      <c r="D32" s="39">
        <f t="shared" si="2"/>
        <v>2.7571361864971844</v>
      </c>
      <c r="E32" s="38"/>
    </row>
    <row r="33" spans="1:5" x14ac:dyDescent="0.2">
      <c r="A33" s="37">
        <f t="shared" si="1"/>
        <v>2750000</v>
      </c>
      <c r="B33" s="36">
        <f t="shared" si="0"/>
        <v>32178.375745151192</v>
      </c>
      <c r="C33" s="38">
        <f>B33*Data!$D$5</f>
        <v>7270382.2158594606</v>
      </c>
      <c r="D33" s="39">
        <f t="shared" si="2"/>
        <v>2.6437753512216222</v>
      </c>
      <c r="E33" s="38"/>
    </row>
    <row r="34" spans="1:5" x14ac:dyDescent="0.2">
      <c r="A34" s="37">
        <f>A33+(($C$18-$B$18)/$D$18)</f>
        <v>3000000</v>
      </c>
      <c r="B34" s="36">
        <f t="shared" si="0"/>
        <v>33687.363969050348</v>
      </c>
      <c r="C34" s="38">
        <f>B34*Data!$D$5</f>
        <v>7611323.0151672354</v>
      </c>
      <c r="D34" s="39">
        <f t="shared" si="2"/>
        <v>2.5371076717224117</v>
      </c>
      <c r="E34" s="38"/>
    </row>
    <row r="35" spans="1:5" x14ac:dyDescent="0.2">
      <c r="A35" s="37">
        <f t="shared" si="1"/>
        <v>3250000</v>
      </c>
      <c r="B35" s="36">
        <f t="shared" si="0"/>
        <v>35050.014058286324</v>
      </c>
      <c r="C35" s="38">
        <f>B35*Data!$D$5</f>
        <v>7919200.1763292123</v>
      </c>
      <c r="D35" s="39">
        <f t="shared" si="2"/>
        <v>2.4366769773320653</v>
      </c>
      <c r="E35" s="38"/>
    </row>
    <row r="36" spans="1:5" x14ac:dyDescent="0.2">
      <c r="A36" s="37">
        <f t="shared" si="1"/>
        <v>3500000</v>
      </c>
      <c r="B36" s="36">
        <f t="shared" si="0"/>
        <v>36280.477903626859</v>
      </c>
      <c r="C36" s="38">
        <f>B36*Data!$D$5</f>
        <v>8197211.1775454525</v>
      </c>
      <c r="D36" s="39">
        <f t="shared" si="2"/>
        <v>2.3420603364415578</v>
      </c>
      <c r="E36" s="38"/>
    </row>
    <row r="37" spans="1:5" x14ac:dyDescent="0.2">
      <c r="A37" s="37">
        <f t="shared" si="1"/>
        <v>3750000</v>
      </c>
      <c r="B37" s="36">
        <f t="shared" si="0"/>
        <v>37391.54614206776</v>
      </c>
      <c r="C37" s="38">
        <f>B37*Data!$D$5</f>
        <v>8448245.9353387896</v>
      </c>
      <c r="D37" s="39">
        <f t="shared" si="2"/>
        <v>2.2528655827570105</v>
      </c>
      <c r="E37" s="38"/>
    </row>
    <row r="38" spans="1:5" x14ac:dyDescent="0.2">
      <c r="A38" s="37">
        <f t="shared" si="1"/>
        <v>4000000</v>
      </c>
      <c r="B38" s="36">
        <f t="shared" si="0"/>
        <v>38394.777737218887</v>
      </c>
      <c r="C38" s="38">
        <f>B38*Data!$D$5</f>
        <v>8674916.0819472354</v>
      </c>
      <c r="D38" s="39">
        <f t="shared" si="2"/>
        <v>2.168729020486809</v>
      </c>
      <c r="E38" s="38"/>
    </row>
    <row r="39" spans="1:5" x14ac:dyDescent="0.2">
      <c r="A39" s="37">
        <f t="shared" si="1"/>
        <v>4250000</v>
      </c>
      <c r="B39" s="36">
        <f t="shared" si="0"/>
        <v>39300.617476643994</v>
      </c>
      <c r="C39" s="38">
        <f>B39*Data!$D$5</f>
        <v>8879581.512672944</v>
      </c>
      <c r="D39" s="39">
        <f t="shared" si="2"/>
        <v>2.0893132970995163</v>
      </c>
      <c r="E39" s="38"/>
    </row>
    <row r="40" spans="1:5" x14ac:dyDescent="0.2">
      <c r="A40" s="37">
        <f t="shared" si="1"/>
        <v>4500000</v>
      </c>
      <c r="B40" s="36">
        <f t="shared" si="0"/>
        <v>40118.502465764061</v>
      </c>
      <c r="C40" s="38">
        <f>B40*Data!$D$5</f>
        <v>9064374.4471147321</v>
      </c>
      <c r="D40" s="39">
        <f t="shared" si="2"/>
        <v>2.0143054326921628</v>
      </c>
      <c r="E40" s="38"/>
    </row>
    <row r="41" spans="1:5" x14ac:dyDescent="0.2">
      <c r="A41" s="37">
        <f>A40+(($C$18-$B$18)/$D$18)</f>
        <v>4750000</v>
      </c>
      <c r="B41" s="36">
        <f t="shared" si="0"/>
        <v>40856.958610396832</v>
      </c>
      <c r="C41" s="38">
        <f>B41*Data!$D$5</f>
        <v>9231221.2284330595</v>
      </c>
      <c r="D41" s="39">
        <f t="shared" si="2"/>
        <v>1.9434149954595914</v>
      </c>
      <c r="E41" s="38"/>
    </row>
    <row r="42" spans="1:5" x14ac:dyDescent="0.2">
      <c r="A42" s="37">
        <f t="shared" si="1"/>
        <v>5000000</v>
      </c>
      <c r="B42" s="36">
        <f t="shared" si="0"/>
        <v>41523.687997883186</v>
      </c>
      <c r="C42" s="38">
        <f>B42*Data!$D$5</f>
        <v>9381862.0662417263</v>
      </c>
      <c r="D42" s="39">
        <f t="shared" si="2"/>
        <v>1.8763724132483453</v>
      </c>
      <c r="E42" s="38"/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FE96-FC4B-4514-B278-B01102785EBF}">
  <dimension ref="C8:K12"/>
  <sheetViews>
    <sheetView topLeftCell="A6" workbookViewId="0">
      <selection activeCell="E9" sqref="E9"/>
    </sheetView>
  </sheetViews>
  <sheetFormatPr defaultRowHeight="15" x14ac:dyDescent="0.25"/>
  <cols>
    <col min="3" max="3" width="11.85546875" customWidth="1"/>
  </cols>
  <sheetData>
    <row r="8" spans="3:11" ht="82.5" x14ac:dyDescent="0.3">
      <c r="C8" s="95" t="s">
        <v>0</v>
      </c>
      <c r="D8" s="95" t="s">
        <v>53</v>
      </c>
      <c r="E8" s="95" t="s">
        <v>91</v>
      </c>
      <c r="F8" s="95" t="s">
        <v>56</v>
      </c>
      <c r="G8" s="95" t="s">
        <v>92</v>
      </c>
      <c r="H8" s="95" t="s">
        <v>93</v>
      </c>
      <c r="I8" s="95" t="s">
        <v>60</v>
      </c>
      <c r="J8" s="95" t="s">
        <v>89</v>
      </c>
      <c r="K8" s="97" t="s">
        <v>52</v>
      </c>
    </row>
    <row r="9" spans="3:11" ht="25.9" customHeight="1" x14ac:dyDescent="0.3">
      <c r="C9" s="98" t="s">
        <v>59</v>
      </c>
      <c r="D9" s="96" t="s">
        <v>85</v>
      </c>
      <c r="E9" s="99">
        <f>580263+370145</f>
        <v>950408</v>
      </c>
      <c r="F9" s="100">
        <v>6</v>
      </c>
      <c r="G9" s="99">
        <v>163.51825543170901</v>
      </c>
      <c r="H9" s="99">
        <f>E9*F9</f>
        <v>5702448</v>
      </c>
      <c r="I9" s="101">
        <f>IFERROR(H9/G9,0)</f>
        <v>34873.464035833866</v>
      </c>
      <c r="J9" s="102" t="s">
        <v>94</v>
      </c>
      <c r="K9" s="96" t="s">
        <v>95</v>
      </c>
    </row>
    <row r="10" spans="3:11" ht="49.5" x14ac:dyDescent="0.3">
      <c r="C10" s="98" t="s">
        <v>59</v>
      </c>
      <c r="D10" s="96" t="s">
        <v>84</v>
      </c>
      <c r="E10" s="99">
        <v>396720</v>
      </c>
      <c r="F10" s="100">
        <v>4.6323415173791496</v>
      </c>
      <c r="G10" s="99">
        <v>163.51825543170901</v>
      </c>
      <c r="H10" s="99">
        <f t="shared" ref="H10:H11" si="0">E10*F10</f>
        <v>1837742.5267746563</v>
      </c>
      <c r="I10" s="101">
        <f t="shared" ref="I10:I11" si="1">IFERROR(H10/G10,0)</f>
        <v>11238.760601516828</v>
      </c>
      <c r="J10" s="102" t="s">
        <v>90</v>
      </c>
      <c r="K10" s="96"/>
    </row>
    <row r="11" spans="3:11" ht="16.899999999999999" customHeight="1" x14ac:dyDescent="0.3">
      <c r="C11" s="98" t="s">
        <v>59</v>
      </c>
      <c r="D11" s="96" t="s">
        <v>73</v>
      </c>
      <c r="E11" s="99">
        <v>277610</v>
      </c>
      <c r="F11" s="100">
        <v>3.5</v>
      </c>
      <c r="G11" s="99">
        <v>154</v>
      </c>
      <c r="H11" s="99">
        <f t="shared" si="0"/>
        <v>971635</v>
      </c>
      <c r="I11" s="101">
        <f t="shared" si="1"/>
        <v>6309.318181818182</v>
      </c>
      <c r="J11" s="102" t="s">
        <v>97</v>
      </c>
      <c r="K11" s="96" t="s">
        <v>96</v>
      </c>
    </row>
    <row r="12" spans="3:11" ht="16.5" x14ac:dyDescent="0.3">
      <c r="C12" s="95"/>
      <c r="D12" s="95"/>
      <c r="E12" s="103">
        <f>SUM(E9:E11)</f>
        <v>1624738</v>
      </c>
      <c r="F12" s="104">
        <f>H12/E12</f>
        <v>5.2388911484649565</v>
      </c>
      <c r="G12" s="103"/>
      <c r="H12" s="103">
        <f>SUM(H9:H11)</f>
        <v>8511825.526774656</v>
      </c>
      <c r="I12" s="105">
        <f>SUM(I9:I11)</f>
        <v>52421.542819168877</v>
      </c>
      <c r="J12" s="105"/>
      <c r="K12" s="10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77FF-F6AD-46FC-A08D-69667987EB18}">
  <dimension ref="A1:L19"/>
  <sheetViews>
    <sheetView showGridLines="0" zoomScale="120" zoomScaleNormal="120" workbookViewId="0">
      <selection activeCell="B7" sqref="B7"/>
    </sheetView>
  </sheetViews>
  <sheetFormatPr defaultColWidth="11.85546875" defaultRowHeight="15" x14ac:dyDescent="0.25"/>
  <cols>
    <col min="1" max="1" width="7.140625" customWidth="1"/>
    <col min="2" max="2" width="11" bestFit="1" customWidth="1"/>
    <col min="3" max="3" width="46.85546875" bestFit="1" customWidth="1"/>
    <col min="4" max="4" width="16.140625" customWidth="1"/>
    <col min="5" max="5" width="14.7109375" bestFit="1" customWidth="1"/>
    <col min="6" max="6" width="20.5703125" customWidth="1"/>
    <col min="7" max="7" width="14.42578125" customWidth="1"/>
    <col min="9" max="9" width="20.28515625" customWidth="1"/>
    <col min="10" max="10" width="59.7109375" customWidth="1"/>
  </cols>
  <sheetData>
    <row r="1" spans="1:12" ht="27.75" customHeight="1" x14ac:dyDescent="0.25"/>
    <row r="2" spans="1:12" x14ac:dyDescent="0.25">
      <c r="B2" s="75"/>
    </row>
    <row r="3" spans="1:12" ht="16.5" x14ac:dyDescent="0.3">
      <c r="B3" s="58" t="s">
        <v>0</v>
      </c>
      <c r="C3" s="58" t="s">
        <v>53</v>
      </c>
      <c r="D3" s="58" t="s">
        <v>54</v>
      </c>
      <c r="E3" s="58" t="s">
        <v>56</v>
      </c>
      <c r="F3" s="58" t="s">
        <v>79</v>
      </c>
      <c r="G3" s="58" t="s">
        <v>74</v>
      </c>
      <c r="H3" s="58" t="s">
        <v>60</v>
      </c>
      <c r="I3" s="58" t="s">
        <v>75</v>
      </c>
      <c r="J3" s="59" t="s">
        <v>52</v>
      </c>
    </row>
    <row r="4" spans="1:12" ht="16.5" x14ac:dyDescent="0.3">
      <c r="A4">
        <f>IF(E4="",0,1)</f>
        <v>1</v>
      </c>
      <c r="B4" s="87" t="s">
        <v>59</v>
      </c>
      <c r="C4" s="88" t="s">
        <v>69</v>
      </c>
      <c r="D4" s="89">
        <f>678845+281231</f>
        <v>960076</v>
      </c>
      <c r="E4" s="90">
        <v>6.6907641137438301</v>
      </c>
      <c r="F4" s="89">
        <f>Data!$D$5</f>
        <v>225.94</v>
      </c>
      <c r="G4" s="89">
        <f>D4*E4</f>
        <v>6423642.0472667217</v>
      </c>
      <c r="H4" s="91">
        <f>IFERROR(G4/F4,0)</f>
        <v>28430.7428842468</v>
      </c>
      <c r="I4" s="91"/>
      <c r="J4" s="88" t="s">
        <v>76</v>
      </c>
      <c r="L4" t="s">
        <v>82</v>
      </c>
    </row>
    <row r="5" spans="1:12" ht="16.5" x14ac:dyDescent="0.3">
      <c r="A5">
        <f t="shared" ref="A5:A8" si="0">IF(E5="",0,1)</f>
        <v>1</v>
      </c>
      <c r="B5" s="87" t="s">
        <v>59</v>
      </c>
      <c r="C5" s="88" t="s">
        <v>70</v>
      </c>
      <c r="D5" s="89">
        <f>61446+18392</f>
        <v>79838</v>
      </c>
      <c r="E5" s="90">
        <v>6.6907641137438301</v>
      </c>
      <c r="F5" s="89">
        <f>Data!$D$5</f>
        <v>225.94</v>
      </c>
      <c r="G5" s="89">
        <f t="shared" ref="G5:G8" si="1">D5*E5</f>
        <v>534177.22531307989</v>
      </c>
      <c r="H5" s="91">
        <f t="shared" ref="H5:H8" si="2">IFERROR(G5/F5,0)</f>
        <v>2364.2437165312908</v>
      </c>
      <c r="I5" s="91"/>
      <c r="J5" s="88" t="s">
        <v>78</v>
      </c>
    </row>
    <row r="6" spans="1:12" ht="16.5" x14ac:dyDescent="0.3">
      <c r="A6">
        <f t="shared" si="0"/>
        <v>1</v>
      </c>
      <c r="B6" s="87" t="s">
        <v>59</v>
      </c>
      <c r="C6" s="88" t="s">
        <v>71</v>
      </c>
      <c r="D6" s="89">
        <v>216215</v>
      </c>
      <c r="E6" s="90">
        <v>5.3870962928606296</v>
      </c>
      <c r="F6" s="89">
        <f>Data!D5</f>
        <v>225.94</v>
      </c>
      <c r="G6" s="89">
        <f t="shared" si="1"/>
        <v>1164771.0249608611</v>
      </c>
      <c r="H6" s="91">
        <f t="shared" si="2"/>
        <v>5155.2227359514081</v>
      </c>
      <c r="I6" s="91"/>
      <c r="J6" s="92" t="s">
        <v>80</v>
      </c>
    </row>
    <row r="7" spans="1:12" ht="16.5" x14ac:dyDescent="0.3">
      <c r="A7">
        <f t="shared" si="0"/>
        <v>1</v>
      </c>
      <c r="B7" s="82" t="s">
        <v>59</v>
      </c>
      <c r="C7" s="83" t="s">
        <v>72</v>
      </c>
      <c r="D7" s="84">
        <v>249235</v>
      </c>
      <c r="E7" s="85">
        <v>6.9340914913664298</v>
      </c>
      <c r="F7" s="84">
        <f>Data!$D$5</f>
        <v>225.94</v>
      </c>
      <c r="G7" s="84">
        <f t="shared" si="1"/>
        <v>1728218.2928507121</v>
      </c>
      <c r="H7" s="86">
        <f t="shared" si="2"/>
        <v>7649.0143084478714</v>
      </c>
      <c r="I7" s="86"/>
      <c r="J7" s="83" t="s">
        <v>81</v>
      </c>
    </row>
    <row r="8" spans="1:12" ht="16.5" x14ac:dyDescent="0.3">
      <c r="A8">
        <f t="shared" si="0"/>
        <v>1</v>
      </c>
      <c r="B8" s="82" t="s">
        <v>59</v>
      </c>
      <c r="C8" s="83" t="s">
        <v>73</v>
      </c>
      <c r="D8" s="84">
        <v>191631</v>
      </c>
      <c r="E8" s="85">
        <v>10</v>
      </c>
      <c r="F8" s="84">
        <f>Data!$D$5</f>
        <v>225.94</v>
      </c>
      <c r="G8" s="84">
        <f t="shared" si="1"/>
        <v>1916310</v>
      </c>
      <c r="H8" s="86">
        <f t="shared" si="2"/>
        <v>8481.4995131450833</v>
      </c>
      <c r="I8" s="86"/>
      <c r="J8" s="93" t="s">
        <v>83</v>
      </c>
    </row>
    <row r="9" spans="1:12" ht="16.5" x14ac:dyDescent="0.3">
      <c r="B9" s="64"/>
      <c r="C9" s="64"/>
      <c r="D9" s="67">
        <f>SUM(D4:D8)</f>
        <v>1696995</v>
      </c>
      <c r="E9" s="81">
        <f>G9/SUMPRODUCT(A4:A8,D4:D8)</f>
        <v>6.9340914913664298</v>
      </c>
      <c r="F9" s="67"/>
      <c r="G9" s="67">
        <f>SUM(G4:G8)</f>
        <v>11767118.590391375</v>
      </c>
      <c r="H9" s="66">
        <f>SUM(H4:H8)</f>
        <v>52080.723158322457</v>
      </c>
      <c r="I9" s="66"/>
      <c r="J9" s="69"/>
    </row>
    <row r="12" spans="1:12" x14ac:dyDescent="0.25">
      <c r="C12" t="s">
        <v>77</v>
      </c>
      <c r="D12" s="94">
        <f>SUMPRODUCT(A4:A8,D4:D8)/D9</f>
        <v>1</v>
      </c>
      <c r="E12" s="76"/>
      <c r="F12" s="79"/>
      <c r="G12" s="80"/>
    </row>
    <row r="18" spans="5:6" x14ac:dyDescent="0.25">
      <c r="E18" s="77"/>
      <c r="F18" s="78"/>
    </row>
    <row r="19" spans="5:6" x14ac:dyDescent="0.25">
      <c r="E19" s="77"/>
      <c r="F19" s="7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showGridLines="0" workbookViewId="0">
      <selection activeCell="C4" sqref="C4"/>
    </sheetView>
  </sheetViews>
  <sheetFormatPr defaultColWidth="11.85546875" defaultRowHeight="15" x14ac:dyDescent="0.25"/>
  <cols>
    <col min="1" max="1" width="11" bestFit="1" customWidth="1"/>
    <col min="2" max="2" width="46.85546875" bestFit="1" customWidth="1"/>
    <col min="3" max="3" width="16.140625" customWidth="1"/>
    <col min="5" max="5" width="8.85546875" customWidth="1"/>
    <col min="6" max="6" width="14.42578125" customWidth="1"/>
    <col min="8" max="8" width="42.7109375" bestFit="1" customWidth="1"/>
  </cols>
  <sheetData>
    <row r="1" spans="1:8" ht="27.75" customHeight="1" x14ac:dyDescent="0.25">
      <c r="A1" t="s">
        <v>50</v>
      </c>
    </row>
    <row r="2" spans="1:8" x14ac:dyDescent="0.25">
      <c r="A2" s="57" t="s">
        <v>51</v>
      </c>
    </row>
    <row r="3" spans="1:8" ht="16.5" x14ac:dyDescent="0.3">
      <c r="A3" s="58" t="s">
        <v>0</v>
      </c>
      <c r="B3" s="58" t="s">
        <v>53</v>
      </c>
      <c r="C3" s="58" t="s">
        <v>54</v>
      </c>
      <c r="D3" s="58" t="s">
        <v>56</v>
      </c>
      <c r="E3" s="58" t="s">
        <v>57</v>
      </c>
      <c r="F3" s="58" t="s">
        <v>55</v>
      </c>
      <c r="G3" s="58" t="s">
        <v>60</v>
      </c>
      <c r="H3" s="59" t="s">
        <v>52</v>
      </c>
    </row>
    <row r="4" spans="1:8" ht="16.5" x14ac:dyDescent="0.3">
      <c r="A4" s="72" t="s">
        <v>59</v>
      </c>
      <c r="B4" s="74" t="s">
        <v>66</v>
      </c>
      <c r="C4" s="60">
        <v>1000000</v>
      </c>
      <c r="D4" s="62">
        <v>4.5999999999999996</v>
      </c>
      <c r="E4" s="61">
        <v>125</v>
      </c>
      <c r="F4" s="70">
        <f>C4*D4</f>
        <v>4600000</v>
      </c>
      <c r="G4" s="63">
        <f>F4/E4</f>
        <v>36800</v>
      </c>
      <c r="H4" s="74" t="s">
        <v>67</v>
      </c>
    </row>
    <row r="5" spans="1:8" ht="16.5" x14ac:dyDescent="0.3">
      <c r="A5" s="64"/>
      <c r="B5" s="64"/>
      <c r="C5" s="65">
        <f>SUM(C4:C4)</f>
        <v>1000000</v>
      </c>
      <c r="D5" s="68">
        <f>F5/C5</f>
        <v>4.5999999999999996</v>
      </c>
      <c r="E5" s="67"/>
      <c r="F5" s="65">
        <f>SUM(F4:F4)</f>
        <v>4600000</v>
      </c>
      <c r="G5" s="66">
        <f>SUM(G4:G4)</f>
        <v>36800</v>
      </c>
      <c r="H5" s="69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BB6CABE6-46BF-457F-8B04-F455C7881C8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HCC Inoffice</vt:lpstr>
      <vt:lpstr>Data</vt:lpstr>
      <vt:lpstr>HCC Inoffice Curve</vt:lpstr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2023-11-06T09:57:53Z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e01b4d78-afdd-4f0e-a0ef-7046453bb31a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