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ADB8FB32-1529-48EC-A17F-C92F658952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CP MCM" sheetId="5" r:id="rId1"/>
    <sheet name="Data" sheetId="6" r:id="rId2"/>
    <sheet name="HCP MCM SCurve" sheetId="7" r:id="rId3"/>
  </sheets>
  <externalReferences>
    <externalReference r:id="rId4"/>
  </externalReferences>
  <definedNames>
    <definedName name="_xlnm._FilterDatabase" localSheetId="0" hidden="1">'HCP MCM'!$A$3:$K$22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I4" i="5"/>
  <c r="D11" i="5"/>
  <c r="F11" i="5" s="1"/>
  <c r="H11" i="5"/>
  <c r="H8" i="5" l="1"/>
  <c r="I8" i="5" s="1"/>
  <c r="H9" i="5"/>
  <c r="I9" i="5" s="1"/>
  <c r="H10" i="5" l="1"/>
  <c r="I10" i="5" s="1"/>
  <c r="H5" i="5"/>
  <c r="I5" i="5" s="1"/>
  <c r="H6" i="5"/>
  <c r="I6" i="5" s="1"/>
  <c r="H7" i="5"/>
  <c r="I7" i="5" s="1"/>
  <c r="C10" i="5" l="1"/>
  <c r="I11" i="5" l="1"/>
  <c r="H5" i="6"/>
  <c r="B12" i="7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C9" i="7" l="1"/>
  <c r="K12" i="7"/>
  <c r="B9" i="7"/>
  <c r="F9" i="7"/>
  <c r="D9" i="7" s="1"/>
  <c r="I5" i="6" l="1"/>
  <c r="C12" i="7" l="1"/>
  <c r="K5" i="6"/>
  <c r="J5" i="6"/>
  <c r="L5" i="6" s="1"/>
  <c r="M5" i="6" l="1"/>
  <c r="E12" i="7" s="1"/>
  <c r="G9" i="7"/>
  <c r="I12" i="7"/>
  <c r="J12" i="7" l="1"/>
  <c r="O12" i="7" s="1"/>
  <c r="M12" i="7" l="1"/>
  <c r="N12" i="7" s="1"/>
  <c r="B41" i="7" s="1"/>
  <c r="C41" i="7" s="1"/>
  <c r="B49" i="7" l="1"/>
  <c r="C49" i="7" s="1"/>
  <c r="D49" i="7" s="1"/>
  <c r="B47" i="7"/>
  <c r="C47" i="7" s="1"/>
  <c r="D47" i="7" s="1"/>
  <c r="B50" i="7"/>
  <c r="C50" i="7" s="1"/>
  <c r="D50" i="7" s="1"/>
  <c r="B45" i="7"/>
  <c r="C45" i="7" s="1"/>
  <c r="D45" i="7" s="1"/>
  <c r="B46" i="7"/>
  <c r="C46" i="7" s="1"/>
  <c r="D46" i="7" s="1"/>
  <c r="B43" i="7"/>
  <c r="C43" i="7" s="1"/>
  <c r="D43" i="7" s="1"/>
  <c r="B44" i="7"/>
  <c r="C44" i="7" s="1"/>
  <c r="D44" i="7" s="1"/>
  <c r="B48" i="7"/>
  <c r="C48" i="7" s="1"/>
  <c r="D48" i="7" s="1"/>
  <c r="B28" i="7"/>
  <c r="C28" i="7" s="1"/>
  <c r="D28" i="7" s="1"/>
  <c r="B32" i="7"/>
  <c r="C32" i="7" s="1"/>
  <c r="B29" i="7"/>
  <c r="C29" i="7" s="1"/>
  <c r="D29" i="7" s="1"/>
  <c r="B40" i="7"/>
  <c r="C40" i="7" s="1"/>
  <c r="D40" i="7" s="1"/>
  <c r="B31" i="7"/>
  <c r="C31" i="7" s="1"/>
  <c r="D31" i="7" s="1"/>
  <c r="B35" i="7"/>
  <c r="C35" i="7" s="1"/>
  <c r="D35" i="7" s="1"/>
  <c r="B22" i="7"/>
  <c r="C22" i="7" s="1"/>
  <c r="B25" i="7"/>
  <c r="C25" i="7" s="1"/>
  <c r="D25" i="7" s="1"/>
  <c r="B36" i="7"/>
  <c r="C36" i="7" s="1"/>
  <c r="D36" i="7" s="1"/>
  <c r="B26" i="7"/>
  <c r="C26" i="7" s="1"/>
  <c r="D26" i="7" s="1"/>
  <c r="B39" i="7"/>
  <c r="C39" i="7" s="1"/>
  <c r="D39" i="7" s="1"/>
  <c r="B34" i="7"/>
  <c r="C34" i="7" s="1"/>
  <c r="D34" i="7" s="1"/>
  <c r="B38" i="7"/>
  <c r="C38" i="7" s="1"/>
  <c r="D38" i="7" s="1"/>
  <c r="B24" i="7"/>
  <c r="C24" i="7" s="1"/>
  <c r="D24" i="7" s="1"/>
  <c r="B30" i="7"/>
  <c r="C30" i="7" s="1"/>
  <c r="D30" i="7" s="1"/>
  <c r="B27" i="7"/>
  <c r="C27" i="7" s="1"/>
  <c r="D27" i="7" s="1"/>
  <c r="E9" i="7"/>
  <c r="B23" i="7"/>
  <c r="C23" i="7" s="1"/>
  <c r="D23" i="7" s="1"/>
  <c r="B42" i="7"/>
  <c r="C42" i="7" s="1"/>
  <c r="D42" i="7" s="1"/>
  <c r="B33" i="7"/>
  <c r="C33" i="7" s="1"/>
  <c r="D33" i="7" s="1"/>
  <c r="B37" i="7"/>
  <c r="C37" i="7" s="1"/>
  <c r="D37" i="7" s="1"/>
  <c r="D32" i="7"/>
  <c r="D41" i="7"/>
</calcChain>
</file>

<file path=xl/sharedStrings.xml><?xml version="1.0" encoding="utf-8"?>
<sst xmlns="http://schemas.openxmlformats.org/spreadsheetml/2006/main" count="96" uniqueCount="88">
  <si>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</si>
  <si>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</si>
  <si>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</si>
  <si>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</si>
  <si>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</si>
  <si>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</si>
  <si>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</si>
  <si>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</si>
  <si>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</si>
  <si>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</si>
  <si>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</si>
  <si>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</si>
  <si>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</si>
  <si>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</si>
  <si>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</si>
  <si>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</si>
  <si>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</si>
  <si>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</si>
  <si>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</si>
  <si>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</si>
  <si>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</si>
  <si>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</si>
  <si>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</si>
  <si>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</si>
  <si>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</si>
  <si>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</si>
  <si>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</si>
  <si>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</si>
  <si>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</si>
  <si>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</si>
  <si>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</si>
  <si>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</si>
  <si>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</si>
  <si>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</si>
  <si>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</si>
  <si>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</si>
  <si>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</si>
  <si>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</si>
  <si>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</si>
  <si>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</si>
  <si>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</si>
  <si>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</si>
  <si>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</si>
  <si>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</si>
  <si>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</si>
  <si>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</si>
  <si>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</si>
  <si>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</si>
  <si>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</si>
  <si>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</si>
  <si>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</si>
  <si>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</si>
  <si>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</si>
  <si>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</si>
  <si>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</si>
  <si>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</si>
  <si>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</si>
  <si>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</si>
  <si>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</si>
  <si>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</si>
  <si>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</si>
  <si>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</si>
  <si>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</si>
  <si>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</si>
  <si>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</si>
  <si>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HCP MCM</t>
  </si>
  <si>
    <t>Measurement Time Period</t>
  </si>
  <si>
    <t>epocrates</t>
  </si>
  <si>
    <t>`</t>
  </si>
  <si>
    <t>G9 Adult</t>
  </si>
  <si>
    <t>*began w/ multipier at 1.5</t>
  </si>
  <si>
    <t>2022 Pre-tax PGM/NPV</t>
  </si>
  <si>
    <t>2022 Pre-tax PGM/Rx</t>
  </si>
  <si>
    <t>2022 Tax-rate</t>
  </si>
  <si>
    <t>TOTAL GARDASIL Doses in 2022</t>
  </si>
  <si>
    <t>2023 Projection</t>
  </si>
  <si>
    <t>Medscape</t>
  </si>
  <si>
    <t>NexGen</t>
  </si>
  <si>
    <t>Doximity</t>
  </si>
  <si>
    <t>deep intent</t>
  </si>
  <si>
    <t>pulse point</t>
  </si>
  <si>
    <t>2023 Pre-tax Spend</t>
  </si>
  <si>
    <t>2023 Estimated Pre-tax Revenue</t>
  </si>
  <si>
    <t>Previous Pre-tax ROI</t>
  </si>
  <si>
    <t>Back office TV (Jan22-Dec22)</t>
  </si>
  <si>
    <t>Avg of all MCM and PP channel</t>
  </si>
  <si>
    <t>2023 Mid Year Estimated pre-tax ROI</t>
  </si>
  <si>
    <t>2023 Estimated Pre-tax Pgm/Dose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</si>
</sst>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"/>
    <numFmt numFmtId="169" formatCode="&quot;$&quot;#,##0.00"/>
    <numFmt numFmtId="170" formatCode="#,##0.0"/>
    <numFmt numFmtId="171" formatCode="0.00\ \t\o\ \1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</cellStyleXfs>
  <cellXfs count="142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7" fillId="5" borderId="1" xfId="0" applyNumberFormat="1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7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8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3" fontId="16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indent="1"/>
    </xf>
    <xf numFmtId="164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5" fontId="22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3" fontId="6" fillId="0" borderId="1" xfId="0" applyNumberFormat="1" applyFont="1" applyFill="1" applyBorder="1"/>
    <xf numFmtId="5" fontId="6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164" fontId="0" fillId="0" borderId="0" xfId="0" applyNumberFormat="1" applyBorder="1"/>
    <xf numFmtId="164" fontId="0" fillId="0" borderId="0" xfId="0" applyNumberFormat="1"/>
    <xf numFmtId="168" fontId="0" fillId="0" borderId="0" xfId="0" applyNumberFormat="1" applyBorder="1"/>
    <xf numFmtId="0" fontId="1" fillId="0" borderId="0" xfId="0" applyFont="1" applyFill="1"/>
    <xf numFmtId="169" fontId="19" fillId="0" borderId="0" xfId="0" applyNumberFormat="1" applyFont="1" applyFill="1" applyBorder="1" applyAlignment="1">
      <alignment horizontal="center"/>
    </xf>
    <xf numFmtId="0" fontId="23" fillId="12" borderId="36" xfId="0" applyFont="1" applyFill="1" applyBorder="1" applyAlignment="1">
      <alignment horizontal="center" vertical="center" wrapText="1"/>
    </xf>
    <xf numFmtId="0" fontId="23" fillId="12" borderId="36" xfId="0" applyFont="1" applyFill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6" xfId="0" applyFont="1" applyBorder="1" applyAlignment="1">
      <alignment horizontal="left" vertical="center"/>
    </xf>
    <xf numFmtId="164" fontId="26" fillId="0" borderId="36" xfId="0" applyNumberFormat="1" applyFont="1" applyBorder="1" applyAlignment="1">
      <alignment horizontal="center" vertical="center"/>
    </xf>
    <xf numFmtId="170" fontId="26" fillId="0" borderId="36" xfId="0" applyNumberFormat="1" applyFont="1" applyBorder="1" applyAlignment="1">
      <alignment horizontal="center" vertical="center"/>
    </xf>
    <xf numFmtId="3" fontId="26" fillId="0" borderId="3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3" fontId="23" fillId="12" borderId="36" xfId="0" applyNumberFormat="1" applyFont="1" applyFill="1" applyBorder="1" applyAlignment="1">
      <alignment horizontal="center"/>
    </xf>
    <xf numFmtId="0" fontId="25" fillId="12" borderId="36" xfId="0" applyFont="1" applyFill="1" applyBorder="1" applyAlignment="1">
      <alignment horizontal="center" wrapText="1"/>
    </xf>
    <xf numFmtId="0" fontId="23" fillId="12" borderId="38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/>
    </xf>
    <xf numFmtId="0" fontId="26" fillId="0" borderId="39" xfId="0" applyFont="1" applyBorder="1" applyAlignment="1">
      <alignment horizontal="left" vertical="center"/>
    </xf>
    <xf numFmtId="0" fontId="23" fillId="12" borderId="40" xfId="0" applyFont="1" applyFill="1" applyBorder="1" applyAlignment="1">
      <alignment horizontal="center" vertical="center" wrapText="1"/>
    </xf>
    <xf numFmtId="170" fontId="26" fillId="0" borderId="39" xfId="0" applyNumberFormat="1" applyFont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24" fillId="12" borderId="0" xfId="0" applyFont="1" applyFill="1" applyBorder="1" applyAlignment="1">
      <alignment horizontal="center" vertical="center" wrapText="1"/>
    </xf>
    <xf numFmtId="164" fontId="23" fillId="12" borderId="36" xfId="0" applyNumberFormat="1" applyFont="1" applyFill="1" applyBorder="1" applyAlignment="1">
      <alignment horizontal="center" vertical="center"/>
    </xf>
    <xf numFmtId="3" fontId="23" fillId="12" borderId="36" xfId="0" applyNumberFormat="1" applyFont="1" applyFill="1" applyBorder="1" applyAlignment="1">
      <alignment horizontal="center" vertical="center"/>
    </xf>
    <xf numFmtId="0" fontId="27" fillId="12" borderId="36" xfId="0" applyFont="1" applyFill="1" applyBorder="1" applyAlignment="1">
      <alignment horizontal="center" vertical="center" wrapText="1"/>
    </xf>
    <xf numFmtId="171" fontId="23" fillId="12" borderId="36" xfId="0" applyNumberFormat="1" applyFont="1" applyFill="1" applyBorder="1" applyAlignment="1">
      <alignment horizontal="center" vertical="center"/>
    </xf>
    <xf numFmtId="1" fontId="26" fillId="0" borderId="36" xfId="0" applyNumberFormat="1" applyFont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23" fillId="12" borderId="38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Response Curve: HCP MCM</a:t>
            </a:r>
          </a:p>
        </c:rich>
      </c:tx>
      <c:layout>
        <c:manualLayout>
          <c:xMode val="edge"/>
          <c:yMode val="edge"/>
          <c:x val="0.22003162555041356"/>
          <c:y val="4.42814783287224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'HCP MCM SCurve'!$B$12</c:f>
              <c:numCache>
                <c:formatCode>_("$"* #,##0_);_("$"* \(#,##0\);_("$"* "-"??_);_(@_)</c:formatCode>
                <c:ptCount val="1"/>
                <c:pt idx="0">
                  <c:v>10503728.719999999</c:v>
                </c:pt>
              </c:numCache>
            </c:numRef>
          </c:xVal>
          <c:yVal>
            <c:numRef>
              <c:f>'HCP MCM SCurve'!$C$12</c:f>
              <c:numCache>
                <c:formatCode>#,##0</c:formatCode>
                <c:ptCount val="1"/>
                <c:pt idx="0">
                  <c:v>348991.53660821792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'HCP MCM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'HCP MCM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900000</c:v>
                </c:pt>
                <c:pt idx="2">
                  <c:v>1800000</c:v>
                </c:pt>
                <c:pt idx="3">
                  <c:v>2700000</c:v>
                </c:pt>
                <c:pt idx="4">
                  <c:v>3600000</c:v>
                </c:pt>
                <c:pt idx="5">
                  <c:v>4500000</c:v>
                </c:pt>
                <c:pt idx="6">
                  <c:v>5400000</c:v>
                </c:pt>
                <c:pt idx="7">
                  <c:v>6300000</c:v>
                </c:pt>
                <c:pt idx="8">
                  <c:v>7200000</c:v>
                </c:pt>
                <c:pt idx="9">
                  <c:v>8100000</c:v>
                </c:pt>
                <c:pt idx="10">
                  <c:v>9000000</c:v>
                </c:pt>
                <c:pt idx="11">
                  <c:v>9900000</c:v>
                </c:pt>
                <c:pt idx="12">
                  <c:v>10800000</c:v>
                </c:pt>
                <c:pt idx="13">
                  <c:v>11700000</c:v>
                </c:pt>
                <c:pt idx="14">
                  <c:v>12600000</c:v>
                </c:pt>
                <c:pt idx="15">
                  <c:v>13500000</c:v>
                </c:pt>
                <c:pt idx="16">
                  <c:v>14400000</c:v>
                </c:pt>
                <c:pt idx="17">
                  <c:v>15300000</c:v>
                </c:pt>
                <c:pt idx="18">
                  <c:v>16200000</c:v>
                </c:pt>
                <c:pt idx="19">
                  <c:v>17100000</c:v>
                </c:pt>
                <c:pt idx="20">
                  <c:v>18000000</c:v>
                </c:pt>
              </c:numCache>
            </c:numRef>
          </c:xVal>
          <c:yVal>
            <c:numRef>
              <c:f>'HCP MCM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35986.651230238378</c:v>
                </c:pt>
                <c:pt idx="2">
                  <c:v>70765.79832424596</c:v>
                </c:pt>
                <c:pt idx="3">
                  <c:v>104355.15168280713</c:v>
                </c:pt>
                <c:pt idx="4">
                  <c:v>136774.15532306489</c:v>
                </c:pt>
                <c:pt idx="5">
                  <c:v>168043.7969525354</c:v>
                </c:pt>
                <c:pt idx="6">
                  <c:v>198186.42429752741</c:v>
                </c:pt>
                <c:pt idx="7">
                  <c:v>227225.56855100393</c:v>
                </c:pt>
                <c:pt idx="8">
                  <c:v>255185.77564103249</c:v>
                </c:pt>
                <c:pt idx="9">
                  <c:v>282092.445867287</c:v>
                </c:pt>
                <c:pt idx="10">
                  <c:v>307971.68231058586</c:v>
                </c:pt>
                <c:pt idx="11">
                  <c:v>332850.1482900558</c:v>
                </c:pt>
                <c:pt idx="12">
                  <c:v>356754.93402457982</c:v>
                </c:pt>
                <c:pt idx="13">
                  <c:v>379713.43254985847</c:v>
                </c:pt>
                <c:pt idx="14">
                  <c:v>401753.22484952211</c:v>
                </c:pt>
                <c:pt idx="15">
                  <c:v>422901.97407801077</c:v>
                </c:pt>
                <c:pt idx="16">
                  <c:v>443187.32868381962</c:v>
                </c:pt>
                <c:pt idx="17">
                  <c:v>462636.83418364916</c:v>
                </c:pt>
                <c:pt idx="18">
                  <c:v>481277.85329011828</c:v>
                </c:pt>
                <c:pt idx="19">
                  <c:v>499137.49405745603</c:v>
                </c:pt>
                <c:pt idx="20">
                  <c:v>516242.54567985609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pushh01\dinfopln\Marketing%20Mix%20PI\ROI%20Meta%20Analysis\Current%20Month%20ROI%20Reporting\Promo_ROI_Inputs_w_MVD-Current.xlsx" TargetMode="External"/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 refreshError="1"/>
      <sheetData sheetId="1" refreshError="1"/>
      <sheetData sheetId="2">
        <row r="116">
          <cell r="E116" t="str">
            <v>PatientPoint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tabSelected="1" zoomScaleNormal="100" workbookViewId="0">
      <selection activeCell="H6" sqref="H6"/>
    </sheetView>
  </sheetViews>
  <sheetFormatPr defaultColWidth="11.85546875" defaultRowHeight="15" x14ac:dyDescent="0.25"/>
  <cols>
    <col min="1" max="1" width="9.28515625" bestFit="1" customWidth="1"/>
    <col min="2" max="2" width="11" bestFit="1" customWidth="1"/>
    <col min="3" max="3" width="31.28515625" customWidth="1"/>
    <col min="4" max="4" width="22.85546875" bestFit="1" customWidth="1"/>
    <col min="5" max="5" width="22.85546875" hidden="1" customWidth="1"/>
    <col min="6" max="6" width="17.7109375" customWidth="1"/>
    <col min="7" max="7" width="11.7109375" customWidth="1"/>
    <col min="8" max="8" width="14.5703125" bestFit="1" customWidth="1"/>
    <col min="9" max="9" width="14.7109375" bestFit="1" customWidth="1"/>
    <col min="10" max="10" width="26.42578125" bestFit="1" customWidth="1"/>
    <col min="11" max="11" width="50.28515625" customWidth="1"/>
  </cols>
  <sheetData>
    <row r="1" spans="1:12" ht="21" customHeight="1" x14ac:dyDescent="0.25">
      <c r="B1" s="67"/>
      <c r="C1" s="67"/>
      <c r="D1" s="67"/>
      <c r="E1" s="67"/>
    </row>
    <row r="2" spans="1:12" x14ac:dyDescent="0.25">
      <c r="B2" s="64"/>
    </row>
    <row r="3" spans="1:12" ht="30" customHeight="1" x14ac:dyDescent="0.25">
      <c r="B3" s="110" t="s">
        <v>0</v>
      </c>
      <c r="C3" s="110" t="s">
        <v>52</v>
      </c>
      <c r="D3" s="107" t="s">
        <v>81</v>
      </c>
      <c r="E3" s="114" t="s">
        <v>83</v>
      </c>
      <c r="F3" s="110" t="s">
        <v>86</v>
      </c>
      <c r="G3" s="104" t="s">
        <v>87</v>
      </c>
      <c r="H3" s="94" t="s">
        <v>82</v>
      </c>
      <c r="I3" s="95" t="s">
        <v>58</v>
      </c>
      <c r="J3" s="109" t="s">
        <v>66</v>
      </c>
      <c r="K3" s="111" t="s">
        <v>51</v>
      </c>
    </row>
    <row r="4" spans="1:12" ht="18" customHeight="1" x14ac:dyDescent="0.25">
      <c r="A4" s="79"/>
      <c r="B4" s="105" t="s">
        <v>69</v>
      </c>
      <c r="C4" s="106" t="s">
        <v>76</v>
      </c>
      <c r="D4" s="98">
        <v>3733367.8499999996</v>
      </c>
      <c r="E4" s="108">
        <v>7.3501091047676113</v>
      </c>
      <c r="F4" s="108">
        <v>9.6276967927355308</v>
      </c>
      <c r="G4" s="98">
        <v>225.94</v>
      </c>
      <c r="H4" s="98">
        <f>F4*D4</f>
        <v>35943733.675546944</v>
      </c>
      <c r="I4" s="100">
        <f>H4/G4</f>
        <v>159085.30439739287</v>
      </c>
      <c r="J4" s="116">
        <v>2022</v>
      </c>
      <c r="K4" s="101"/>
    </row>
    <row r="5" spans="1:12" ht="18" customHeight="1" x14ac:dyDescent="0.25">
      <c r="A5" s="79"/>
      <c r="B5" s="96" t="s">
        <v>69</v>
      </c>
      <c r="C5" s="97" t="s">
        <v>77</v>
      </c>
      <c r="D5" s="98">
        <v>689500</v>
      </c>
      <c r="E5" s="99">
        <v>4.833011280505624</v>
      </c>
      <c r="F5" s="99">
        <v>8.8497010544243331</v>
      </c>
      <c r="G5" s="98">
        <v>225.94</v>
      </c>
      <c r="H5" s="98">
        <f t="shared" ref="H5:H10" si="0">F5*D5</f>
        <v>6101868.8770255772</v>
      </c>
      <c r="I5" s="100">
        <f t="shared" ref="I5:I9" si="1">H5/G5</f>
        <v>27006.589700918728</v>
      </c>
      <c r="J5" s="116">
        <v>2022</v>
      </c>
      <c r="K5" s="101"/>
    </row>
    <row r="6" spans="1:12" ht="18" customHeight="1" x14ac:dyDescent="0.25">
      <c r="A6" s="79"/>
      <c r="B6" s="96" t="s">
        <v>69</v>
      </c>
      <c r="C6" s="97" t="s">
        <v>78</v>
      </c>
      <c r="D6" s="98">
        <v>4583333.33</v>
      </c>
      <c r="E6" s="99">
        <v>6.0021188919621453</v>
      </c>
      <c r="F6" s="99">
        <v>6.7018257118796081</v>
      </c>
      <c r="G6" s="98">
        <v>225.94</v>
      </c>
      <c r="H6" s="98">
        <f t="shared" si="0"/>
        <v>30716701.157108784</v>
      </c>
      <c r="I6" s="100">
        <f t="shared" si="1"/>
        <v>135950.69999605551</v>
      </c>
      <c r="J6" s="116">
        <v>2022</v>
      </c>
      <c r="K6" s="101"/>
    </row>
    <row r="7" spans="1:12" ht="18" customHeight="1" x14ac:dyDescent="0.25">
      <c r="A7" s="79"/>
      <c r="B7" s="96" t="s">
        <v>69</v>
      </c>
      <c r="C7" s="97" t="s">
        <v>67</v>
      </c>
      <c r="D7" s="98">
        <v>750000</v>
      </c>
      <c r="E7" s="99">
        <v>5.5731395384075011</v>
      </c>
      <c r="F7" s="99">
        <v>5.5570185915972052</v>
      </c>
      <c r="G7" s="98">
        <v>225.94</v>
      </c>
      <c r="H7" s="98">
        <f t="shared" si="0"/>
        <v>4167763.9436979038</v>
      </c>
      <c r="I7" s="100">
        <f t="shared" si="1"/>
        <v>18446.330635115093</v>
      </c>
      <c r="J7" s="116">
        <v>2022</v>
      </c>
      <c r="K7" s="101"/>
    </row>
    <row r="8" spans="1:12" ht="18" customHeight="1" x14ac:dyDescent="0.25">
      <c r="A8" s="79"/>
      <c r="B8" s="96" t="s">
        <v>69</v>
      </c>
      <c r="C8" s="97" t="s">
        <v>79</v>
      </c>
      <c r="D8" s="98">
        <v>215858.86</v>
      </c>
      <c r="E8" s="99">
        <v>6.2023056243025856</v>
      </c>
      <c r="F8" s="99">
        <v>4.7505905068605996</v>
      </c>
      <c r="G8" s="98">
        <v>225.94</v>
      </c>
      <c r="H8" s="98">
        <f t="shared" si="0"/>
        <v>1025457.0511377511</v>
      </c>
      <c r="I8" s="100">
        <f>H8/G8</f>
        <v>4538.6255250852046</v>
      </c>
      <c r="J8" s="116">
        <v>2022</v>
      </c>
      <c r="K8" s="101"/>
    </row>
    <row r="9" spans="1:12" ht="18" customHeight="1" x14ac:dyDescent="0.25">
      <c r="A9" s="79"/>
      <c r="B9" s="96" t="s">
        <v>69</v>
      </c>
      <c r="C9" s="97" t="s">
        <v>80</v>
      </c>
      <c r="D9" s="98">
        <v>45166.679999999993</v>
      </c>
      <c r="E9" s="99">
        <v>6.2023056243025856</v>
      </c>
      <c r="F9" s="99">
        <v>7.5069672764036071</v>
      </c>
      <c r="G9" s="98">
        <v>225.94</v>
      </c>
      <c r="H9" s="98">
        <f t="shared" si="0"/>
        <v>339064.78874379321</v>
      </c>
      <c r="I9" s="100">
        <f t="shared" si="1"/>
        <v>1500.6850878277119</v>
      </c>
      <c r="J9" s="116">
        <v>2022</v>
      </c>
      <c r="K9" s="101" t="s">
        <v>85</v>
      </c>
    </row>
    <row r="10" spans="1:12" ht="18" customHeight="1" x14ac:dyDescent="0.25">
      <c r="A10" s="79"/>
      <c r="B10" s="96" t="s">
        <v>69</v>
      </c>
      <c r="C10" s="97" t="str">
        <f>'[1]MVD Dose Lift - Pretax'!$E$116</f>
        <v>PatientPoint</v>
      </c>
      <c r="D10" s="98">
        <v>486502</v>
      </c>
      <c r="E10" s="99">
        <v>2.190714561866701</v>
      </c>
      <c r="F10" s="99">
        <v>1.1439999999999999</v>
      </c>
      <c r="G10" s="98">
        <v>225.94</v>
      </c>
      <c r="H10" s="98">
        <f t="shared" si="0"/>
        <v>556558.28799999994</v>
      </c>
      <c r="I10" s="100">
        <f>H10/G10</f>
        <v>2463.3012658227844</v>
      </c>
      <c r="J10" s="116">
        <v>2022</v>
      </c>
      <c r="K10" s="101" t="s">
        <v>84</v>
      </c>
    </row>
    <row r="11" spans="1:12" ht="18" customHeight="1" x14ac:dyDescent="0.25">
      <c r="B11" s="117" t="s">
        <v>64</v>
      </c>
      <c r="C11" s="118" t="s">
        <v>64</v>
      </c>
      <c r="D11" s="112">
        <f>SUM(D4:D10)</f>
        <v>10503728.719999999</v>
      </c>
      <c r="E11" s="115">
        <v>6.2023056243025865</v>
      </c>
      <c r="F11" s="115">
        <f>H11/D11</f>
        <v>7.5069672764036079</v>
      </c>
      <c r="G11" s="112"/>
      <c r="H11" s="112">
        <f>SUM(H4:H10)</f>
        <v>78851147.781260744</v>
      </c>
      <c r="I11" s="113">
        <f>SUM(I4:I10)</f>
        <v>348991.53660821792</v>
      </c>
      <c r="J11" s="102"/>
      <c r="K11" s="103"/>
    </row>
    <row r="13" spans="1:12" x14ac:dyDescent="0.25">
      <c r="C13" t="s">
        <v>68</v>
      </c>
      <c r="D13" s="90"/>
      <c r="E13" s="90"/>
      <c r="H13" s="90"/>
    </row>
    <row r="14" spans="1:12" x14ac:dyDescent="0.25">
      <c r="B14" s="68"/>
      <c r="C14" s="68"/>
      <c r="D14" s="89"/>
      <c r="E14" s="89"/>
      <c r="F14" s="68"/>
      <c r="G14" s="68"/>
      <c r="H14" s="91"/>
      <c r="I14" s="68"/>
      <c r="J14" s="68"/>
      <c r="K14" s="68"/>
      <c r="L14" s="68"/>
    </row>
    <row r="15" spans="1:12" ht="15.75" x14ac:dyDescent="0.25">
      <c r="B15" s="69"/>
      <c r="C15" s="70"/>
      <c r="D15" s="71"/>
      <c r="E15" s="71"/>
      <c r="F15" s="72"/>
      <c r="G15" s="93"/>
      <c r="H15" s="71"/>
      <c r="I15" s="73"/>
      <c r="J15" s="73"/>
      <c r="K15" s="74"/>
      <c r="L15" s="68"/>
    </row>
    <row r="16" spans="1:12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2:12" x14ac:dyDescent="0.25">
      <c r="B17" s="68"/>
      <c r="C17" s="75"/>
      <c r="D17" s="75"/>
      <c r="E17" s="75"/>
      <c r="F17" s="68"/>
      <c r="G17" s="68"/>
      <c r="I17" s="65"/>
      <c r="J17" s="68"/>
      <c r="K17" s="68"/>
      <c r="L17" s="68"/>
    </row>
    <row r="18" spans="2:12" x14ac:dyDescent="0.25">
      <c r="C18" s="76"/>
      <c r="D18" s="76"/>
      <c r="E18" s="76"/>
      <c r="I18" s="65"/>
    </row>
    <row r="19" spans="2:12" x14ac:dyDescent="0.25">
      <c r="I19" s="65"/>
    </row>
    <row r="20" spans="2:12" x14ac:dyDescent="0.25">
      <c r="I20" s="65"/>
    </row>
    <row r="21" spans="2:12" x14ac:dyDescent="0.25">
      <c r="I21" s="65"/>
    </row>
    <row r="22" spans="2:12" x14ac:dyDescent="0.25">
      <c r="I22" s="65"/>
    </row>
    <row r="23" spans="2:12" x14ac:dyDescent="0.25">
      <c r="B23" s="68"/>
      <c r="C23" s="68"/>
      <c r="D23" s="68"/>
      <c r="E23" s="68"/>
      <c r="I23" s="65"/>
    </row>
    <row r="24" spans="2:12" x14ac:dyDescent="0.25">
      <c r="B24" s="68"/>
      <c r="C24" s="68"/>
      <c r="D24" s="68"/>
      <c r="E24" s="68"/>
      <c r="I24" s="65"/>
    </row>
    <row r="25" spans="2:12" x14ac:dyDescent="0.25">
      <c r="B25" s="78"/>
      <c r="C25" s="78"/>
      <c r="D25" s="78"/>
      <c r="E25" s="78"/>
      <c r="I25" s="65"/>
    </row>
    <row r="26" spans="2:12" x14ac:dyDescent="0.25">
      <c r="B26" s="68"/>
      <c r="C26" s="68"/>
      <c r="D26" s="68"/>
      <c r="E26" s="68"/>
      <c r="I26" s="77"/>
    </row>
  </sheetData>
  <mergeCells count="1">
    <mergeCell ref="B11:C11"/>
  </mergeCells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F5" sqref="F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7.285156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19" t="s">
        <v>56</v>
      </c>
      <c r="B1" s="119"/>
      <c r="C1" s="119"/>
      <c r="D1" s="119"/>
      <c r="E1" s="119"/>
      <c r="F1" s="119"/>
      <c r="G1" s="119"/>
      <c r="H1" s="119"/>
      <c r="I1" s="119"/>
      <c r="J1" s="119"/>
    </row>
    <row r="3" spans="1:13" x14ac:dyDescent="0.3">
      <c r="B3" s="43" t="s">
        <v>53</v>
      </c>
      <c r="C3" s="43"/>
      <c r="D3" s="43"/>
      <c r="H3" s="120" t="s">
        <v>75</v>
      </c>
      <c r="I3" s="121"/>
      <c r="J3" s="121"/>
      <c r="K3" s="121"/>
      <c r="L3" s="121" t="s">
        <v>1</v>
      </c>
      <c r="M3" s="121"/>
    </row>
    <row r="4" spans="1:13" ht="99" x14ac:dyDescent="0.3">
      <c r="B4" s="43"/>
      <c r="C4" s="43" t="s">
        <v>73</v>
      </c>
      <c r="D4" s="43"/>
      <c r="F4" s="44" t="s">
        <v>74</v>
      </c>
      <c r="H4" s="55" t="s">
        <v>2</v>
      </c>
      <c r="I4" s="56" t="s">
        <v>59</v>
      </c>
      <c r="J4" s="58" t="s">
        <v>60</v>
      </c>
      <c r="K4" s="59" t="s">
        <v>61</v>
      </c>
      <c r="L4" s="58" t="s">
        <v>63</v>
      </c>
      <c r="M4" s="58" t="s">
        <v>62</v>
      </c>
    </row>
    <row r="5" spans="1:13" s="45" customFormat="1" ht="25.5" customHeight="1" x14ac:dyDescent="0.3">
      <c r="B5" s="43"/>
      <c r="C5" s="43" t="s">
        <v>72</v>
      </c>
      <c r="D5" s="46">
        <v>225.94</v>
      </c>
      <c r="F5" s="66">
        <v>4647854</v>
      </c>
      <c r="G5" s="42"/>
      <c r="H5" s="47">
        <f>'HCP MCM'!D11</f>
        <v>10503728.719999999</v>
      </c>
      <c r="I5" s="48">
        <f>'HCP MCM'!I11</f>
        <v>348991.53660821792</v>
      </c>
      <c r="J5" s="49">
        <f>I5/F5</f>
        <v>7.5086596224454974E-2</v>
      </c>
      <c r="K5" s="50">
        <f>H5/I5</f>
        <v>30.097373770389197</v>
      </c>
      <c r="L5" s="57">
        <f>J5*2.5</f>
        <v>0.18771649056113743</v>
      </c>
      <c r="M5" s="51">
        <f>L5*F5</f>
        <v>872478.84152054484</v>
      </c>
    </row>
    <row r="6" spans="1:13" s="45" customFormat="1" ht="26.25" customHeight="1" x14ac:dyDescent="0.3">
      <c r="B6" s="52"/>
      <c r="C6" s="43" t="s">
        <v>71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  <c r="L8" s="92" t="s">
        <v>70</v>
      </c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50"/>
  <sheetViews>
    <sheetView showGridLines="0" workbookViewId="0">
      <selection activeCell="D1" sqref="D1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10" width="10.7109375" style="2" bestFit="1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0.710937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57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65</v>
      </c>
      <c r="C3" s="1" t="s">
        <v>10</v>
      </c>
      <c r="D3" s="12" t="s">
        <v>54</v>
      </c>
      <c r="E3" s="1" t="s">
        <v>11</v>
      </c>
      <c r="F3" s="12" t="s">
        <v>55</v>
      </c>
    </row>
    <row r="4" spans="1:15" ht="15" customHeight="1" thickBot="1" x14ac:dyDescent="0.25">
      <c r="A4" s="13" t="s">
        <v>12</v>
      </c>
      <c r="B4" s="122" t="s">
        <v>13</v>
      </c>
      <c r="C4" s="122"/>
      <c r="D4" s="122"/>
      <c r="E4" s="122"/>
      <c r="F4" s="12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24" t="s">
        <v>16</v>
      </c>
      <c r="B7" s="127" t="s">
        <v>17</v>
      </c>
      <c r="C7" s="128"/>
      <c r="D7" s="129" t="s">
        <v>18</v>
      </c>
      <c r="E7" s="130"/>
      <c r="F7" s="131" t="s">
        <v>19</v>
      </c>
      <c r="G7" s="132"/>
    </row>
    <row r="8" spans="1:15" ht="25.5" x14ac:dyDescent="0.2">
      <c r="A8" s="125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26"/>
      <c r="B9" s="20">
        <f>B6*B12</f>
        <v>5251864.3599999994</v>
      </c>
      <c r="C9" s="20">
        <f>C6*B12</f>
        <v>15755593.079999998</v>
      </c>
      <c r="D9" s="21">
        <f>F9</f>
        <v>10503728.719999999</v>
      </c>
      <c r="E9" s="22">
        <f>(($O$12/(1+EXP($M$12+$N$12*D9)))-1) - ($F$12-$C$12)</f>
        <v>348991.53660821822</v>
      </c>
      <c r="F9" s="20">
        <f>B12</f>
        <v>10503728.719999999</v>
      </c>
      <c r="G9" s="23">
        <f>C12</f>
        <v>348991.53660821792</v>
      </c>
    </row>
    <row r="10" spans="1:15" ht="13.5" thickBot="1" x14ac:dyDescent="0.25"/>
    <row r="11" spans="1:15" ht="51.6" customHeight="1" x14ac:dyDescent="0.2">
      <c r="A11" s="124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33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26"/>
      <c r="B12" s="20">
        <f>Data!H5</f>
        <v>10503728.719999999</v>
      </c>
      <c r="C12" s="23">
        <f>Data!I5</f>
        <v>348991.53660821792</v>
      </c>
      <c r="D12" s="26">
        <v>0</v>
      </c>
      <c r="E12" s="23">
        <f>Data!M5</f>
        <v>872478.84152054484</v>
      </c>
      <c r="F12" s="27">
        <f>Data!F5</f>
        <v>4647854</v>
      </c>
      <c r="H12" s="134"/>
      <c r="I12" s="28">
        <f>F12-C12</f>
        <v>4298862.4633917818</v>
      </c>
      <c r="J12" s="28">
        <f>I12+E12</f>
        <v>5171341.3049123269</v>
      </c>
      <c r="K12" s="29">
        <f>B12</f>
        <v>10503728.719999999</v>
      </c>
      <c r="L12" s="28">
        <f>F12</f>
        <v>4647854</v>
      </c>
      <c r="M12" s="30">
        <f>LN((($J$12+1)/($I$12+1))-1)</f>
        <v>-1.5947675525299829</v>
      </c>
      <c r="N12" s="31">
        <f>(LN((($J$12+1)/($L$12+1))-1)-$M$12)/$K$12</f>
        <v>-5.6063973603026677E-8</v>
      </c>
      <c r="O12" s="32">
        <f>J12+1</f>
        <v>5171342.3049123269</v>
      </c>
    </row>
    <row r="13" spans="1:15" ht="34.15" customHeight="1" x14ac:dyDescent="0.2">
      <c r="A13" s="135" t="s">
        <v>40</v>
      </c>
      <c r="B13" s="136"/>
      <c r="C13" s="136"/>
      <c r="D13" s="136"/>
      <c r="E13" s="136"/>
      <c r="F13" s="137"/>
      <c r="H13" s="135" t="s">
        <v>41</v>
      </c>
      <c r="I13" s="136"/>
      <c r="J13" s="136"/>
      <c r="K13" s="136"/>
      <c r="L13" s="136"/>
      <c r="M13" s="136"/>
      <c r="N13" s="136"/>
      <c r="O13" s="137"/>
    </row>
    <row r="14" spans="1:15" ht="33.6" customHeight="1" x14ac:dyDescent="0.2">
      <c r="A14" s="138"/>
      <c r="B14" s="139"/>
      <c r="C14" s="139"/>
      <c r="D14" s="139"/>
      <c r="E14" s="139"/>
      <c r="F14" s="140"/>
      <c r="H14" s="138"/>
      <c r="I14" s="139"/>
      <c r="J14" s="139"/>
      <c r="K14" s="139"/>
      <c r="L14" s="139"/>
      <c r="M14" s="139"/>
      <c r="N14" s="139"/>
      <c r="O14" s="140"/>
    </row>
    <row r="16" spans="1:15" ht="13.5" thickBot="1" x14ac:dyDescent="0.25"/>
    <row r="17" spans="1:5" ht="16.899999999999999" customHeight="1" x14ac:dyDescent="0.2">
      <c r="A17" s="133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34"/>
      <c r="B18" s="33">
        <v>0</v>
      </c>
      <c r="C18" s="34">
        <v>18000000</v>
      </c>
      <c r="D18" s="35">
        <v>20</v>
      </c>
    </row>
    <row r="20" spans="1:5" x14ac:dyDescent="0.2">
      <c r="A20" s="141" t="s">
        <v>46</v>
      </c>
      <c r="B20" s="141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B22*'HCP MCM'!$G$4</f>
        <v>0</v>
      </c>
      <c r="D22" s="39"/>
      <c r="E22" s="38"/>
    </row>
    <row r="23" spans="1:5" x14ac:dyDescent="0.2">
      <c r="A23" s="37">
        <f>A22+(($C$18-$B$18)/$D$18)</f>
        <v>900000</v>
      </c>
      <c r="B23" s="36">
        <f t="shared" ref="B23:B50" si="0">(($O$12/(1+EXP($M$12+$N$12*A23)))-1) - ($F$12-$C$12)</f>
        <v>35986.651230238378</v>
      </c>
      <c r="C23" s="38">
        <f>B23*'HCP MCM'!$G$4</f>
        <v>8130823.9789600587</v>
      </c>
      <c r="D23" s="39">
        <f>C23/A23</f>
        <v>9.0342488655111755</v>
      </c>
      <c r="E23" s="38"/>
    </row>
    <row r="24" spans="1:5" x14ac:dyDescent="0.2">
      <c r="A24" s="37">
        <f t="shared" ref="A24:A50" si="1">A23+(($C$18-$B$18)/$D$18)</f>
        <v>1800000</v>
      </c>
      <c r="B24" s="36">
        <f t="shared" si="0"/>
        <v>70765.79832424596</v>
      </c>
      <c r="C24" s="38">
        <f>B24*'HCP MCM'!$G$4</f>
        <v>15988824.473380132</v>
      </c>
      <c r="D24" s="39">
        <f t="shared" ref="D24:D50" si="2">C24/A24</f>
        <v>8.8826802629889627</v>
      </c>
      <c r="E24" s="38"/>
    </row>
    <row r="25" spans="1:5" x14ac:dyDescent="0.2">
      <c r="A25" s="37">
        <f t="shared" si="1"/>
        <v>2700000</v>
      </c>
      <c r="B25" s="36">
        <f t="shared" si="0"/>
        <v>104355.15168280713</v>
      </c>
      <c r="C25" s="38">
        <f>B25*'HCP MCM'!$G$4</f>
        <v>23578002.971213445</v>
      </c>
      <c r="D25" s="39">
        <f t="shared" si="2"/>
        <v>8.7325936930420163</v>
      </c>
      <c r="E25" s="38"/>
    </row>
    <row r="26" spans="1:5" x14ac:dyDescent="0.2">
      <c r="A26" s="37">
        <f t="shared" si="1"/>
        <v>3600000</v>
      </c>
      <c r="B26" s="36">
        <f t="shared" si="0"/>
        <v>136774.15532306489</v>
      </c>
      <c r="C26" s="38">
        <f>B26*'HCP MCM'!$G$4</f>
        <v>30902752.653693281</v>
      </c>
      <c r="D26" s="39">
        <f t="shared" si="2"/>
        <v>8.5840979593592444</v>
      </c>
      <c r="E26" s="38"/>
    </row>
    <row r="27" spans="1:5" x14ac:dyDescent="0.2">
      <c r="A27" s="60">
        <f t="shared" si="1"/>
        <v>4500000</v>
      </c>
      <c r="B27" s="61">
        <f t="shared" si="0"/>
        <v>168043.7969525354</v>
      </c>
      <c r="C27" s="38">
        <f>B27*'HCP MCM'!$G$4</f>
        <v>37967815.483455844</v>
      </c>
      <c r="D27" s="63">
        <f t="shared" si="2"/>
        <v>8.4372923296568541</v>
      </c>
      <c r="E27" s="62"/>
    </row>
    <row r="28" spans="1:5" x14ac:dyDescent="0.2">
      <c r="A28" s="37">
        <f t="shared" si="1"/>
        <v>5400000</v>
      </c>
      <c r="B28" s="36">
        <f t="shared" si="0"/>
        <v>198186.42429752741</v>
      </c>
      <c r="C28" s="38">
        <f>B28*'HCP MCM'!$G$4</f>
        <v>44778240.705783345</v>
      </c>
      <c r="D28" s="39">
        <f t="shared" si="2"/>
        <v>8.2922667973672866</v>
      </c>
      <c r="E28" s="38"/>
    </row>
    <row r="29" spans="1:5" x14ac:dyDescent="0.2">
      <c r="A29" s="37">
        <f t="shared" si="1"/>
        <v>6300000</v>
      </c>
      <c r="B29" s="36">
        <f t="shared" si="0"/>
        <v>227225.56855100393</v>
      </c>
      <c r="C29" s="38">
        <f>B29*'HCP MCM'!$G$4</f>
        <v>51339344.958413824</v>
      </c>
      <c r="D29" s="39">
        <f t="shared" si="2"/>
        <v>8.1491023743514006</v>
      </c>
      <c r="E29" s="38"/>
    </row>
    <row r="30" spans="1:5" x14ac:dyDescent="0.2">
      <c r="A30" s="37">
        <f t="shared" si="1"/>
        <v>7200000</v>
      </c>
      <c r="B30" s="36">
        <f t="shared" si="0"/>
        <v>255185.77564103249</v>
      </c>
      <c r="C30" s="38">
        <f>B30*'HCP MCM'!$G$4</f>
        <v>57656674.148334883</v>
      </c>
      <c r="D30" s="39">
        <f t="shared" si="2"/>
        <v>8.0078714094909564</v>
      </c>
      <c r="E30" s="38"/>
    </row>
    <row r="31" spans="1:5" x14ac:dyDescent="0.2">
      <c r="A31" s="37">
        <f t="shared" si="1"/>
        <v>8100000</v>
      </c>
      <c r="B31" s="36">
        <f t="shared" si="0"/>
        <v>282092.445867287</v>
      </c>
      <c r="C31" s="38">
        <f>B31*'HCP MCM'!$G$4</f>
        <v>63735967.219254822</v>
      </c>
      <c r="D31" s="39">
        <f t="shared" si="2"/>
        <v>7.8686379283030643</v>
      </c>
      <c r="E31" s="38"/>
    </row>
    <row r="32" spans="1:5" s="84" customFormat="1" x14ac:dyDescent="0.2">
      <c r="A32" s="80">
        <f t="shared" si="1"/>
        <v>9000000</v>
      </c>
      <c r="B32" s="81">
        <f t="shared" si="0"/>
        <v>307971.68231058586</v>
      </c>
      <c r="C32" s="82">
        <f>B32*'HCP MCM'!$G$4</f>
        <v>69583121.901253775</v>
      </c>
      <c r="D32" s="83">
        <f t="shared" si="2"/>
        <v>7.7314579890281969</v>
      </c>
      <c r="E32" s="82"/>
    </row>
    <row r="33" spans="1:5" x14ac:dyDescent="0.2">
      <c r="A33" s="37">
        <f t="shared" si="1"/>
        <v>9900000</v>
      </c>
      <c r="B33" s="36">
        <f t="shared" si="0"/>
        <v>332850.1482900558</v>
      </c>
      <c r="C33" s="38">
        <f>B33*'HCP MCM'!$G$4</f>
        <v>75204162.504655212</v>
      </c>
      <c r="D33" s="39">
        <f t="shared" si="2"/>
        <v>7.5963800509752737</v>
      </c>
      <c r="E33" s="38"/>
    </row>
    <row r="34" spans="1:5" x14ac:dyDescent="0.2">
      <c r="A34" s="85">
        <f>A33+(($C$18-$B$18)/$D$18)</f>
        <v>10800000</v>
      </c>
      <c r="B34" s="86">
        <f t="shared" si="0"/>
        <v>356754.93402457982</v>
      </c>
      <c r="C34" s="87">
        <f>B34*'HCP MCM'!$G$4</f>
        <v>80605209.793513566</v>
      </c>
      <c r="D34" s="88">
        <f t="shared" si="2"/>
        <v>7.4634453512512557</v>
      </c>
      <c r="E34" s="38"/>
    </row>
    <row r="35" spans="1:5" x14ac:dyDescent="0.2">
      <c r="A35" s="37">
        <f t="shared" si="1"/>
        <v>11700000</v>
      </c>
      <c r="B35" s="36">
        <f t="shared" si="0"/>
        <v>379713.43254985847</v>
      </c>
      <c r="C35" s="38">
        <f>B35*'HCP MCM'!$G$4</f>
        <v>85792452.950315014</v>
      </c>
      <c r="D35" s="39">
        <f t="shared" si="2"/>
        <v>7.3326882863517104</v>
      </c>
      <c r="E35" s="38"/>
    </row>
    <row r="36" spans="1:5" x14ac:dyDescent="0.2">
      <c r="A36" s="37">
        <f t="shared" si="1"/>
        <v>12600000</v>
      </c>
      <c r="B36" s="36">
        <f t="shared" si="0"/>
        <v>401753.22484952211</v>
      </c>
      <c r="C36" s="38">
        <f>B36*'HCP MCM'!$G$4</f>
        <v>90772123.622501031</v>
      </c>
      <c r="D36" s="39">
        <f t="shared" si="2"/>
        <v>7.2041367954365896</v>
      </c>
      <c r="E36" s="38"/>
    </row>
    <row r="37" spans="1:5" x14ac:dyDescent="0.2">
      <c r="A37" s="37">
        <f t="shared" si="1"/>
        <v>13500000</v>
      </c>
      <c r="B37" s="36">
        <f t="shared" si="0"/>
        <v>422901.97407801077</v>
      </c>
      <c r="C37" s="38">
        <f>B37*'HCP MCM'!$G$4</f>
        <v>95550472.023185745</v>
      </c>
      <c r="D37" s="39">
        <f t="shared" si="2"/>
        <v>7.0778127424582031</v>
      </c>
      <c r="E37" s="38"/>
    </row>
    <row r="38" spans="1:5" x14ac:dyDescent="0.2">
      <c r="A38" s="37">
        <f t="shared" si="1"/>
        <v>14400000</v>
      </c>
      <c r="B38" s="36">
        <f t="shared" si="0"/>
        <v>443187.32868381962</v>
      </c>
      <c r="C38" s="38">
        <f>B38*'HCP MCM'!$G$4</f>
        <v>100133745.0428222</v>
      </c>
      <c r="D38" s="39">
        <f t="shared" si="2"/>
        <v>6.9537322946404307</v>
      </c>
      <c r="E38" s="38"/>
    </row>
    <row r="39" spans="1:5" x14ac:dyDescent="0.2">
      <c r="A39" s="37">
        <f t="shared" si="1"/>
        <v>15300000</v>
      </c>
      <c r="B39" s="36">
        <f t="shared" si="0"/>
        <v>462636.83418364916</v>
      </c>
      <c r="C39" s="38">
        <f>B39*'HCP MCM'!$G$4</f>
        <v>104528166.31545369</v>
      </c>
      <c r="D39" s="39">
        <f t="shared" si="2"/>
        <v>6.8319062951276921</v>
      </c>
      <c r="E39" s="38"/>
    </row>
    <row r="40" spans="1:5" x14ac:dyDescent="0.2">
      <c r="A40" s="37">
        <f t="shared" si="1"/>
        <v>16200000</v>
      </c>
      <c r="B40" s="36">
        <f t="shared" si="0"/>
        <v>481277.85329011828</v>
      </c>
      <c r="C40" s="38">
        <f>B40*'HCP MCM'!$G$4</f>
        <v>108739918.17236932</v>
      </c>
      <c r="D40" s="39">
        <f t="shared" si="2"/>
        <v>6.7123406279240321</v>
      </c>
      <c r="E40" s="38"/>
    </row>
    <row r="41" spans="1:5" x14ac:dyDescent="0.2">
      <c r="A41" s="37">
        <f>A40+(($C$18-$B$18)/$D$18)</f>
        <v>17100000</v>
      </c>
      <c r="B41" s="36">
        <f t="shared" si="0"/>
        <v>499137.49405745603</v>
      </c>
      <c r="C41" s="38">
        <f>B41*'HCP MCM'!$G$4</f>
        <v>112775125.40734161</v>
      </c>
      <c r="D41" s="39">
        <f t="shared" si="2"/>
        <v>6.5950365735287493</v>
      </c>
      <c r="E41" s="38"/>
    </row>
    <row r="42" spans="1:5" x14ac:dyDescent="0.2">
      <c r="A42" s="37">
        <f t="shared" si="1"/>
        <v>18000000</v>
      </c>
      <c r="B42" s="36">
        <f t="shared" si="0"/>
        <v>516242.54567985609</v>
      </c>
      <c r="C42" s="38">
        <f>B42*'HCP MCM'!$G$4</f>
        <v>116639840.77090669</v>
      </c>
      <c r="D42" s="39">
        <f t="shared" si="2"/>
        <v>6.4799911539392605</v>
      </c>
      <c r="E42" s="38"/>
    </row>
    <row r="43" spans="1:5" x14ac:dyDescent="0.2">
      <c r="A43" s="37">
        <f t="shared" si="1"/>
        <v>18900000</v>
      </c>
      <c r="B43" s="36">
        <f t="shared" si="0"/>
        <v>532619.42155541759</v>
      </c>
      <c r="C43" s="38">
        <f>B43*'HCP MCM'!$G$4</f>
        <v>120340032.10623105</v>
      </c>
      <c r="D43" s="39">
        <f t="shared" si="2"/>
        <v>6.3671974659381512</v>
      </c>
    </row>
    <row r="44" spans="1:5" x14ac:dyDescent="0.2">
      <c r="A44" s="37">
        <f t="shared" si="1"/>
        <v>19800000</v>
      </c>
      <c r="B44" s="36">
        <f t="shared" si="0"/>
        <v>548294.1092137089</v>
      </c>
      <c r="C44" s="38">
        <f>B44*'HCP MCM'!$G$4</f>
        <v>123881571.03574538</v>
      </c>
      <c r="D44" s="39">
        <f t="shared" si="2"/>
        <v>6.2566450018053219</v>
      </c>
    </row>
    <row r="45" spans="1:5" x14ac:dyDescent="0.2">
      <c r="A45" s="37">
        <f t="shared" si="1"/>
        <v>20700000</v>
      </c>
      <c r="B45" s="36">
        <f t="shared" si="0"/>
        <v>563292.1266963603</v>
      </c>
      <c r="C45" s="38">
        <f>B45*'HCP MCM'!$G$4</f>
        <v>127270223.10577564</v>
      </c>
      <c r="D45" s="39">
        <f t="shared" si="2"/>
        <v>6.1483199568007558</v>
      </c>
    </row>
    <row r="46" spans="1:5" x14ac:dyDescent="0.2">
      <c r="A46" s="37">
        <f t="shared" si="1"/>
        <v>21600000</v>
      </c>
      <c r="B46" s="36">
        <f t="shared" si="0"/>
        <v>577638.48497681599</v>
      </c>
      <c r="C46" s="38">
        <f>B46*'HCP MCM'!$G$4</f>
        <v>130511639.29566181</v>
      </c>
      <c r="D46" s="39">
        <f t="shared" si="2"/>
        <v>6.042205522947306</v>
      </c>
    </row>
    <row r="47" spans="1:5" x14ac:dyDescent="0.2">
      <c r="A47" s="37">
        <f t="shared" si="1"/>
        <v>22500000</v>
      </c>
      <c r="B47" s="36">
        <f t="shared" si="0"/>
        <v>591357.65600672085</v>
      </c>
      <c r="C47" s="38">
        <f>B47*'HCP MCM'!$G$4</f>
        <v>133611348.79815851</v>
      </c>
      <c r="D47" s="39">
        <f t="shared" si="2"/>
        <v>5.9382821688070448</v>
      </c>
    </row>
    <row r="48" spans="1:5" x14ac:dyDescent="0.2">
      <c r="A48" s="37">
        <f t="shared" si="1"/>
        <v>23400000</v>
      </c>
      <c r="B48" s="36">
        <f t="shared" si="0"/>
        <v>604473.54598179832</v>
      </c>
      <c r="C48" s="38">
        <f>B48*'HCP MCM'!$G$4</f>
        <v>136574752.9791275</v>
      </c>
      <c r="D48" s="39">
        <f t="shared" si="2"/>
        <v>5.8365279050909189</v>
      </c>
    </row>
    <row r="49" spans="1:4" x14ac:dyDescent="0.2">
      <c r="A49" s="37">
        <f t="shared" si="1"/>
        <v>24300000</v>
      </c>
      <c r="B49" s="36">
        <f t="shared" si="0"/>
        <v>617009.47342863493</v>
      </c>
      <c r="C49" s="38">
        <f>B49*'HCP MCM'!$G$4</f>
        <v>139407120.42646578</v>
      </c>
      <c r="D49" s="39">
        <f t="shared" si="2"/>
        <v>5.7369185360685506</v>
      </c>
    </row>
    <row r="50" spans="1:4" x14ac:dyDescent="0.2">
      <c r="A50" s="37">
        <f t="shared" si="1"/>
        <v>25200000</v>
      </c>
      <c r="B50" s="36">
        <f t="shared" si="0"/>
        <v>628988.15172519628</v>
      </c>
      <c r="C50" s="38">
        <f>B50*'HCP MCM'!$G$4</f>
        <v>142113583.00079083</v>
      </c>
      <c r="D50" s="39">
        <f t="shared" si="2"/>
        <v>5.6394278968567795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 MCM</vt:lpstr>
      <vt:lpstr>Data</vt:lpstr>
      <vt:lpstr>HCP MCM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2024-03-05T06:06:42Z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2024-03-05T04:48:20Z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7c281005-ba15-4cda-83cf-7ff26ca99377</vt:lpwstr>
  </property>
  <property fmtid="{D5CDD505-2E9C-101B-9397-08002B2CF9AE}" pid="13" name="MSIP_Label_2c56a699-e9bd-437a-8412-901342082749_ContentBits">
    <vt:lpwstr>1</vt:lpwstr>
  </property>
</Properties>
</file>