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5FF47371-2CAD-4EBE-B0CD-E5BB9E584C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CC PHARMACY" sheetId="5" r:id="rId1"/>
    <sheet name="Data" sheetId="6" r:id="rId2"/>
    <sheet name="HCC PHARMACY SCurve" sheetId="7" r:id="rId3"/>
  </sheets>
  <externalReferences>
    <externalReference r:id="rId4"/>
  </externalReferences>
  <definedNames>
    <definedName name="_xlnm._FilterDatabase" localSheetId="0" hidden="1">'HCC PHARMACY'!$A$3:$J$17</definedName>
    <definedName name="PRASupplier">'[1]Drop Down Allowed Values'!$B$7:$B$40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5" l="1"/>
  <c r="E18" i="5"/>
  <c r="D6" i="5" s="1"/>
  <c r="G6" i="5" s="1"/>
  <c r="H6" i="5" s="1"/>
  <c r="E16" i="5"/>
  <c r="D5" i="5" s="1"/>
  <c r="G5" i="5" s="1"/>
  <c r="H5" i="5" s="1"/>
  <c r="E14" i="5"/>
  <c r="D4" i="5" s="1"/>
  <c r="D7" i="5" l="1"/>
  <c r="H5" i="6" s="1"/>
  <c r="B12" i="7" s="1"/>
  <c r="G4" i="5"/>
  <c r="G7" i="5" s="1"/>
  <c r="E7" i="5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H4" i="5" l="1"/>
  <c r="H7" i="5" s="1"/>
  <c r="C9" i="7"/>
  <c r="K12" i="7"/>
  <c r="B9" i="7"/>
  <c r="F9" i="7"/>
  <c r="D9" i="7" s="1"/>
  <c r="I5" i="6" l="1"/>
  <c r="C12" i="7" l="1"/>
  <c r="K5" i="6"/>
  <c r="J5" i="6"/>
  <c r="L5" i="6" s="1"/>
  <c r="M5" i="6" s="1"/>
  <c r="E12" i="7" s="1"/>
  <c r="G9" i="7" l="1"/>
  <c r="I12" i="7"/>
  <c r="J12" i="7" s="1"/>
  <c r="O12" i="7" l="1"/>
  <c r="M12" i="7"/>
  <c r="N12" i="7" s="1"/>
  <c r="B37" i="7" l="1"/>
  <c r="C37" i="7" s="1"/>
  <c r="B33" i="7"/>
  <c r="C33" i="7" s="1"/>
  <c r="E9" i="7"/>
  <c r="B34" i="7"/>
  <c r="C34" i="7" s="1"/>
  <c r="B25" i="7"/>
  <c r="C25" i="7" s="1"/>
  <c r="B22" i="7"/>
  <c r="C22" i="7" s="1"/>
  <c r="B40" i="7"/>
  <c r="C40" i="7" s="1"/>
  <c r="B29" i="7"/>
  <c r="C29" i="7" s="1"/>
  <c r="B41" i="7"/>
  <c r="C41" i="7" s="1"/>
  <c r="B42" i="7"/>
  <c r="C42" i="7" s="1"/>
  <c r="B28" i="7"/>
  <c r="C28" i="7" s="1"/>
  <c r="B36" i="7"/>
  <c r="C36" i="7" s="1"/>
  <c r="B27" i="7"/>
  <c r="C27" i="7" s="1"/>
  <c r="B39" i="7"/>
  <c r="C39" i="7" s="1"/>
  <c r="B26" i="7"/>
  <c r="C26" i="7" s="1"/>
  <c r="B35" i="7"/>
  <c r="C35" i="7" s="1"/>
  <c r="B24" i="7"/>
  <c r="C24" i="7" s="1"/>
  <c r="B23" i="7"/>
  <c r="C23" i="7" s="1"/>
  <c r="B32" i="7"/>
  <c r="C32" i="7" s="1"/>
  <c r="B31" i="7"/>
  <c r="C31" i="7" s="1"/>
  <c r="B38" i="7"/>
  <c r="C38" i="7" s="1"/>
  <c r="B30" i="7"/>
  <c r="C30" i="7" s="1"/>
  <c r="E32" i="7" l="1"/>
  <c r="D32" i="7"/>
  <c r="E40" i="7"/>
  <c r="D40" i="7"/>
  <c r="E23" i="7"/>
  <c r="D23" i="7"/>
  <c r="D42" i="7"/>
  <c r="E42" i="7"/>
  <c r="E33" i="7"/>
  <c r="D33" i="7"/>
  <c r="D24" i="7"/>
  <c r="E24" i="7"/>
  <c r="E31" i="7"/>
  <c r="D31" i="7"/>
  <c r="D35" i="7"/>
  <c r="E35" i="7"/>
  <c r="E36" i="7"/>
  <c r="D36" i="7"/>
  <c r="E29" i="7"/>
  <c r="D29" i="7"/>
  <c r="D34" i="7"/>
  <c r="E34" i="7"/>
  <c r="E26" i="7"/>
  <c r="D26" i="7"/>
  <c r="E28" i="7"/>
  <c r="D28" i="7"/>
  <c r="E30" i="7"/>
  <c r="D30" i="7"/>
  <c r="D39" i="7"/>
  <c r="E39" i="7"/>
  <c r="E38" i="7"/>
  <c r="D38" i="7"/>
  <c r="E27" i="7"/>
  <c r="D27" i="7"/>
  <c r="E41" i="7"/>
  <c r="D41" i="7"/>
  <c r="D25" i="7"/>
  <c r="E25" i="7"/>
  <c r="D37" i="7"/>
  <c r="E37" i="7"/>
</calcChain>
</file>

<file path=xl/sharedStrings.xml><?xml version="1.0" encoding="utf-8"?>
<sst xmlns="http://schemas.openxmlformats.org/spreadsheetml/2006/main" count="110" uniqueCount="101">
  <si>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</si>
  <si>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</si>
  <si>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</si>
  <si>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</si>
  <si>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</si>
  <si>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</si>
  <si>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</si>
  <si>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</si>
  <si>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</si>
  <si>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</si>
  <si>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</si>
  <si>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</si>
  <si>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</si>
  <si>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</si>
  <si>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</si>
  <si>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</si>
  <si>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</si>
  <si>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</si>
  <si>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</si>
  <si>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</si>
  <si>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</si>
  <si>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</si>
  <si>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</si>
  <si>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</si>
  <si>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</si>
  <si>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</si>
  <si>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</si>
  <si>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</si>
  <si>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</si>
  <si>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</si>
  <si>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</si>
  <si>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</si>
  <si>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</si>
  <si>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</si>
  <si>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</si>
  <si>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</si>
  <si>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</si>
  <si>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</si>
  <si>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</si>
  <si>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</si>
  <si>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</si>
  <si>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</si>
  <si>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</si>
  <si>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</si>
  <si>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</si>
  <si>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</si>
  <si>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</si>
  <si>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</si>
  <si>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</si>
  <si>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</si>
  <si>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</si>
  <si>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</si>
  <si>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</si>
  <si>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</si>
  <si>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</si>
  <si>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</si>
  <si>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</si>
  <si>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</si>
  <si>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</si>
  <si>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</si>
  <si>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</si>
  <si>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</si>
  <si>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</si>
  <si>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</si>
  <si>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</si>
  <si>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</si>
  <si>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</si>
  <si>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Gardasil 9</t>
  </si>
  <si>
    <t>Measurement Time Period</t>
  </si>
  <si>
    <t>Pre-tax PGM/Dose</t>
  </si>
  <si>
    <t>Pharmacy</t>
  </si>
  <si>
    <t>2022 Tax-rate</t>
  </si>
  <si>
    <t>2022 Pre-tax PGM/Rx</t>
  </si>
  <si>
    <t>2022 Pre-tax PGM/NPV</t>
  </si>
  <si>
    <t>Total prv GARDASIL Doses in 2022</t>
  </si>
  <si>
    <t>2023 Projection</t>
  </si>
  <si>
    <t xml:space="preserve">Break down for In </t>
  </si>
  <si>
    <t>Digital</t>
  </si>
  <si>
    <t>InStep Health (Dual View Display Cycle #1 &amp; #2)</t>
  </si>
  <si>
    <t>InStep Health</t>
  </si>
  <si>
    <t>Neptune Retail Solutions (ShelfTalk Banner Cycle #2 &amp; #3)</t>
  </si>
  <si>
    <t>Neptune Retail Solutions</t>
  </si>
  <si>
    <t>StoreBoard Media (Replenishment Cost)</t>
  </si>
  <si>
    <t xml:space="preserve">StoreBoard Media </t>
  </si>
  <si>
    <t>Digital Pharmacy</t>
  </si>
  <si>
    <t>In-Store Pharmacy</t>
  </si>
  <si>
    <t>InStep Health (Dual View Display Cycle #6 &amp; #7)</t>
  </si>
  <si>
    <t>Neptune Retail Solutions (ShelfTalk Banner Cycle #10 &amp; #11)</t>
  </si>
  <si>
    <t>StoreBoard Media (Static Display w/ Folded PIs Cycle #3)</t>
  </si>
  <si>
    <t>StoreBoard Media (Static Display w/ Folded PIs Cycle #5 &amp; #6)</t>
  </si>
  <si>
    <t>StoreBoard Media (Static Display w/ Folded PIs Cycle #9 &amp; #10)</t>
  </si>
  <si>
    <t>Reserve $ Unallocated</t>
  </si>
  <si>
    <t xml:space="preserve">In-Store Pharmacy Monthly Total </t>
  </si>
  <si>
    <t xml:space="preserve">In-Store Pharmacy Quarterly Total </t>
  </si>
  <si>
    <t/>
  </si>
  <si>
    <t>InStep Health (formerly RxEdge)</t>
  </si>
  <si>
    <t>Mesmerize (proxy) old program had ROI of 2</t>
  </si>
  <si>
    <t>2023 Pre-tax Spend</t>
  </si>
  <si>
    <t>2022 Estimated pre-tax ROI</t>
  </si>
  <si>
    <t>Lower ROI: in-store scripts; Upper ROI: in-store+store-spillover+in-office spillover:  Recommended ROI: 3.9:1</t>
  </si>
  <si>
    <t>JUL21-FEB22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</si>
</sst>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\$###,##0"/>
    <numFmt numFmtId="169" formatCode="#,##0.0"/>
    <numFmt numFmtId="170" formatCode="0.0\ \t\o\ \1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.25"/>
      <color rgb="FF000000"/>
      <name val="Arial"/>
      <family val="2"/>
    </font>
    <font>
      <sz val="8"/>
      <name val="Calibri"/>
      <family val="2"/>
      <scheme val="minor"/>
    </font>
    <font>
      <b/>
      <u/>
      <sz val="8.25"/>
      <color rgb="FF000000"/>
      <name val="Arial"/>
      <family val="2"/>
    </font>
    <font>
      <b/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0" fontId="22" fillId="0" borderId="0"/>
  </cellStyleXfs>
  <cellXfs count="130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6" fillId="5" borderId="1" xfId="0" applyNumberFormat="1" applyFont="1" applyFill="1" applyBorder="1" applyAlignment="1">
      <alignment horizontal="center" vertical="center"/>
    </xf>
    <xf numFmtId="166" fontId="16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6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7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6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0" fontId="0" fillId="0" borderId="0" xfId="0" applyFill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indent="1"/>
    </xf>
    <xf numFmtId="164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5" fontId="21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wrapText="1" indent="1"/>
    </xf>
    <xf numFmtId="0" fontId="18" fillId="0" borderId="1" xfId="0" applyFont="1" applyFill="1" applyBorder="1" applyAlignment="1">
      <alignment horizontal="left" indent="1"/>
    </xf>
    <xf numFmtId="3" fontId="0" fillId="0" borderId="0" xfId="0" applyNumberFormat="1"/>
    <xf numFmtId="0" fontId="23" fillId="0" borderId="36" xfId="10" applyFont="1" applyBorder="1" applyAlignment="1">
      <alignment horizontal="left"/>
    </xf>
    <xf numFmtId="0" fontId="25" fillId="0" borderId="36" xfId="10" applyFont="1" applyBorder="1" applyAlignment="1">
      <alignment horizontal="left"/>
    </xf>
    <xf numFmtId="0" fontId="26" fillId="0" borderId="36" xfId="10" applyFont="1" applyBorder="1" applyAlignment="1">
      <alignment horizontal="left"/>
    </xf>
    <xf numFmtId="0" fontId="23" fillId="0" borderId="37" xfId="10" applyFont="1" applyBorder="1" applyAlignment="1">
      <alignment horizontal="right"/>
    </xf>
    <xf numFmtId="168" fontId="23" fillId="0" borderId="37" xfId="10" applyNumberFormat="1" applyFont="1" applyBorder="1" applyAlignment="1">
      <alignment horizontal="right"/>
    </xf>
    <xf numFmtId="168" fontId="26" fillId="0" borderId="38" xfId="10" applyNumberFormat="1" applyFont="1" applyBorder="1" applyAlignment="1">
      <alignment horizontal="right"/>
    </xf>
    <xf numFmtId="168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/>
    </xf>
    <xf numFmtId="0" fontId="27" fillId="13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/>
    </xf>
    <xf numFmtId="0" fontId="29" fillId="0" borderId="39" xfId="0" applyFont="1" applyBorder="1" applyAlignment="1">
      <alignment horizontal="left" vertical="center"/>
    </xf>
    <xf numFmtId="164" fontId="29" fillId="0" borderId="39" xfId="0" applyNumberFormat="1" applyFont="1" applyBorder="1" applyAlignment="1">
      <alignment horizontal="center" vertical="center"/>
    </xf>
    <xf numFmtId="169" fontId="29" fillId="0" borderId="39" xfId="0" applyNumberFormat="1" applyFont="1" applyBorder="1" applyAlignment="1">
      <alignment horizontal="center" vertical="center"/>
    </xf>
    <xf numFmtId="3" fontId="29" fillId="0" borderId="39" xfId="0" applyNumberFormat="1" applyFont="1" applyBorder="1" applyAlignment="1">
      <alignment horizontal="center" vertical="center"/>
    </xf>
    <xf numFmtId="4" fontId="29" fillId="0" borderId="39" xfId="0" applyNumberFormat="1" applyFont="1" applyBorder="1" applyAlignment="1">
      <alignment horizontal="center" vertical="center"/>
    </xf>
    <xf numFmtId="164" fontId="27" fillId="13" borderId="39" xfId="0" applyNumberFormat="1" applyFont="1" applyFill="1" applyBorder="1" applyAlignment="1">
      <alignment horizontal="center" vertical="center"/>
    </xf>
    <xf numFmtId="170" fontId="27" fillId="13" borderId="39" xfId="0" applyNumberFormat="1" applyFont="1" applyFill="1" applyBorder="1" applyAlignment="1">
      <alignment horizontal="center" vertical="center"/>
    </xf>
    <xf numFmtId="3" fontId="27" fillId="13" borderId="39" xfId="0" applyNumberFormat="1" applyFont="1" applyFill="1" applyBorder="1" applyAlignment="1">
      <alignment horizontal="center" vertical="center"/>
    </xf>
    <xf numFmtId="0" fontId="27" fillId="13" borderId="40" xfId="0" applyFont="1" applyFill="1" applyBorder="1" applyAlignment="1">
      <alignment horizontal="center" vertical="center"/>
    </xf>
    <xf numFmtId="0" fontId="27" fillId="13" borderId="41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</cellXfs>
  <cellStyles count="15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Normal 3" xfId="14" xr:uid="{E71BFA4A-BDF6-4EC6-B9D9-CA3E72422543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HCP PHARMACY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PHARMACY SCurve'!$B$12</c:f>
              <c:numCache>
                <c:formatCode>_("$"* #,##0_);_("$"* \(#,##0\);_("$"* "-"??_);_(@_)</c:formatCode>
                <c:ptCount val="1"/>
                <c:pt idx="0">
                  <c:v>2411882</c:v>
                </c:pt>
              </c:numCache>
            </c:numRef>
          </c:xVal>
          <c:yVal>
            <c:numRef>
              <c:f>'HCC PHARMACY SCurve'!$C$12</c:f>
              <c:numCache>
                <c:formatCode>#,##0</c:formatCode>
                <c:ptCount val="1"/>
                <c:pt idx="0">
                  <c:v>18205.431530494821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'HCC PHARMACY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PHARMACY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2250000</c:v>
                </c:pt>
                <c:pt idx="6">
                  <c:v>2700000</c:v>
                </c:pt>
                <c:pt idx="7">
                  <c:v>3150000</c:v>
                </c:pt>
                <c:pt idx="8">
                  <c:v>3600000</c:v>
                </c:pt>
                <c:pt idx="9">
                  <c:v>4050000</c:v>
                </c:pt>
                <c:pt idx="10">
                  <c:v>4500000</c:v>
                </c:pt>
                <c:pt idx="11">
                  <c:v>4950000</c:v>
                </c:pt>
                <c:pt idx="12">
                  <c:v>5400000</c:v>
                </c:pt>
                <c:pt idx="13">
                  <c:v>5850000</c:v>
                </c:pt>
                <c:pt idx="14">
                  <c:v>6300000</c:v>
                </c:pt>
                <c:pt idx="15">
                  <c:v>6750000</c:v>
                </c:pt>
                <c:pt idx="16">
                  <c:v>7200000</c:v>
                </c:pt>
                <c:pt idx="17">
                  <c:v>7650000</c:v>
                </c:pt>
                <c:pt idx="18">
                  <c:v>8100000</c:v>
                </c:pt>
                <c:pt idx="19">
                  <c:v>8550000</c:v>
                </c:pt>
                <c:pt idx="20">
                  <c:v>9000000</c:v>
                </c:pt>
              </c:numCache>
            </c:numRef>
          </c:xVal>
          <c:yVal>
            <c:numRef>
              <c:f>'HCC PHARMACY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4130.9005698589608</c:v>
                </c:pt>
                <c:pt idx="2">
                  <c:v>7889.9195253467187</c:v>
                </c:pt>
                <c:pt idx="3">
                  <c:v>11310.006253117695</c:v>
                </c:pt>
                <c:pt idx="4">
                  <c:v>14421.282748956233</c:v>
                </c:pt>
                <c:pt idx="5">
                  <c:v>17251.27013886068</c:v>
                </c:pt>
                <c:pt idx="6">
                  <c:v>19825.099922557361</c:v>
                </c:pt>
                <c:pt idx="7">
                  <c:v>22165.710431137122</c:v>
                </c:pt>
                <c:pt idx="8">
                  <c:v>24294.029092384502</c:v>
                </c:pt>
                <c:pt idx="9">
                  <c:v>26229.141167043708</c:v>
                </c:pt>
                <c:pt idx="10">
                  <c:v>27988.44566304516</c:v>
                </c:pt>
                <c:pt idx="11">
                  <c:v>29587.799157867208</c:v>
                </c:pt>
                <c:pt idx="12">
                  <c:v>31041.648266067728</c:v>
                </c:pt>
                <c:pt idx="13">
                  <c:v>32363.151483400725</c:v>
                </c:pt>
                <c:pt idx="14">
                  <c:v>33564.29112359602</c:v>
                </c:pt>
                <c:pt idx="15">
                  <c:v>34655.97604158707</c:v>
                </c:pt>
                <c:pt idx="16">
                  <c:v>35648.135809469037</c:v>
                </c:pt>
                <c:pt idx="17">
                  <c:v>36549.806980542839</c:v>
                </c:pt>
                <c:pt idx="18">
                  <c:v>37369.212043652311</c:v>
                </c:pt>
                <c:pt idx="19">
                  <c:v>38113.831635748968</c:v>
                </c:pt>
                <c:pt idx="20">
                  <c:v>38790.470545900054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ax val="9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majorUnit val="1000000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>
        <row r="7">
          <cell r="B7" t="str">
            <v>AccentHealth</v>
          </cell>
        </row>
        <row r="8">
          <cell r="B8" t="str">
            <v>Biopharm</v>
          </cell>
        </row>
        <row r="9">
          <cell r="B9" t="str">
            <v>Constant Media</v>
          </cell>
        </row>
        <row r="10">
          <cell r="B10" t="str">
            <v>Context Media</v>
          </cell>
        </row>
        <row r="11">
          <cell r="B11" t="str">
            <v>Coverwrap</v>
          </cell>
        </row>
        <row r="12">
          <cell r="B12" t="str">
            <v>Diabetes Health Network</v>
          </cell>
        </row>
        <row r="13">
          <cell r="B13" t="str">
            <v>DMD</v>
          </cell>
        </row>
        <row r="14">
          <cell r="B14" t="str">
            <v>Doximity</v>
          </cell>
        </row>
        <row r="15">
          <cell r="B15" t="str">
            <v>Epocrates</v>
          </cell>
        </row>
        <row r="16">
          <cell r="B16" t="str">
            <v>Euro RSCG</v>
          </cell>
        </row>
        <row r="17">
          <cell r="B17" t="str">
            <v>Everyday Health</v>
          </cell>
        </row>
        <row r="18">
          <cell r="B18" t="str">
            <v>Formedic</v>
          </cell>
        </row>
        <row r="19">
          <cell r="B19" t="str">
            <v>Healio</v>
          </cell>
        </row>
        <row r="20">
          <cell r="B20" t="str">
            <v>Health Media Network</v>
          </cell>
        </row>
        <row r="21">
          <cell r="B21" t="str">
            <v>Health Monitor</v>
          </cell>
        </row>
        <row r="22">
          <cell r="B22" t="str">
            <v>Healthcasts</v>
          </cell>
        </row>
        <row r="23">
          <cell r="B23" t="str">
            <v>KidCare</v>
          </cell>
        </row>
        <row r="24">
          <cell r="B24" t="str">
            <v>Media</v>
          </cell>
        </row>
        <row r="25">
          <cell r="B25" t="str">
            <v>Medicx</v>
          </cell>
        </row>
        <row r="26">
          <cell r="B26" t="str">
            <v>Medscape</v>
          </cell>
        </row>
        <row r="27">
          <cell r="B27" t="str">
            <v>Merck</v>
          </cell>
        </row>
        <row r="28">
          <cell r="B28" t="str">
            <v>NexGen/MNG</v>
          </cell>
        </row>
        <row r="29">
          <cell r="B29" t="str">
            <v>Numedis</v>
          </cell>
        </row>
        <row r="30">
          <cell r="B30" t="str">
            <v>Outcome Health</v>
          </cell>
        </row>
        <row r="31">
          <cell r="B31" t="str">
            <v>PatientPoint</v>
          </cell>
        </row>
        <row r="32">
          <cell r="B32" t="str">
            <v>PDR</v>
          </cell>
        </row>
        <row r="33">
          <cell r="B33" t="str">
            <v>PeerDirect</v>
          </cell>
        </row>
        <row r="34">
          <cell r="B34" t="str">
            <v>Phreesia</v>
          </cell>
        </row>
        <row r="35">
          <cell r="B35" t="str">
            <v>Physicians Interactive</v>
          </cell>
        </row>
        <row r="36">
          <cell r="B36" t="str">
            <v>Remedy Health</v>
          </cell>
        </row>
        <row r="37">
          <cell r="B37" t="str">
            <v>ReachMD</v>
          </cell>
        </row>
        <row r="38">
          <cell r="B38" t="str">
            <v>InStep Health (formerly RxEdge)</v>
          </cell>
        </row>
        <row r="39">
          <cell r="B39" t="str">
            <v>SFMC</v>
          </cell>
        </row>
        <row r="40">
          <cell r="B40" t="str">
            <v>Various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zoomScaleNormal="100" workbookViewId="0">
      <selection activeCell="D8" sqref="D8"/>
    </sheetView>
  </sheetViews>
  <sheetFormatPr defaultColWidth="11.85546875" defaultRowHeight="15" x14ac:dyDescent="0.25"/>
  <cols>
    <col min="1" max="1" width="9.42578125" bestFit="1" customWidth="1"/>
    <col min="2" max="2" width="11" bestFit="1" customWidth="1"/>
    <col min="3" max="3" width="31.42578125" customWidth="1"/>
    <col min="4" max="4" width="16.5703125" customWidth="1"/>
    <col min="5" max="5" width="19.5703125" customWidth="1"/>
    <col min="6" max="6" width="11.5703125" customWidth="1"/>
    <col min="7" max="7" width="14.42578125" bestFit="1" customWidth="1"/>
    <col min="8" max="8" width="14.5703125" bestFit="1" customWidth="1"/>
    <col min="9" max="9" width="17.28515625" customWidth="1"/>
    <col min="10" max="10" width="50.42578125" customWidth="1"/>
    <col min="11" max="11" width="30.140625" bestFit="1" customWidth="1"/>
  </cols>
  <sheetData>
    <row r="1" spans="1:11" ht="21" customHeight="1" x14ac:dyDescent="0.25">
      <c r="B1" s="70"/>
      <c r="C1" s="70"/>
      <c r="D1" s="70"/>
    </row>
    <row r="2" spans="1:11" x14ac:dyDescent="0.25">
      <c r="B2" s="68"/>
    </row>
    <row r="3" spans="1:11" ht="30" customHeight="1" x14ac:dyDescent="0.25">
      <c r="B3" s="93" t="s">
        <v>0</v>
      </c>
      <c r="C3" s="93" t="s">
        <v>53</v>
      </c>
      <c r="D3" s="94" t="s">
        <v>97</v>
      </c>
      <c r="E3" s="94" t="s">
        <v>98</v>
      </c>
      <c r="F3" s="94" t="s">
        <v>69</v>
      </c>
      <c r="G3" s="94" t="s">
        <v>60</v>
      </c>
      <c r="H3" s="93" t="s">
        <v>59</v>
      </c>
      <c r="I3" s="94" t="s">
        <v>68</v>
      </c>
      <c r="J3" s="95" t="s">
        <v>52</v>
      </c>
    </row>
    <row r="4" spans="1:11" ht="25.5" customHeight="1" x14ac:dyDescent="0.25">
      <c r="A4" s="81"/>
      <c r="B4" s="96" t="s">
        <v>67</v>
      </c>
      <c r="C4" s="97" t="s">
        <v>79</v>
      </c>
      <c r="D4" s="98">
        <f>E14</f>
        <v>740030</v>
      </c>
      <c r="E4" s="101">
        <v>1.04</v>
      </c>
      <c r="F4" s="98">
        <v>225.94</v>
      </c>
      <c r="G4" s="98">
        <f t="shared" ref="G4" si="0">D4*E4</f>
        <v>769631.20000000007</v>
      </c>
      <c r="H4" s="100">
        <f>IFERROR(G4/F4,"")</f>
        <v>3406.3521288837746</v>
      </c>
      <c r="I4" s="100" t="s">
        <v>100</v>
      </c>
      <c r="J4" s="92" t="s">
        <v>99</v>
      </c>
      <c r="K4" t="s">
        <v>95</v>
      </c>
    </row>
    <row r="5" spans="1:11" ht="18" customHeight="1" x14ac:dyDescent="0.25">
      <c r="A5" s="81"/>
      <c r="B5" s="96" t="s">
        <v>67</v>
      </c>
      <c r="C5" s="97" t="s">
        <v>81</v>
      </c>
      <c r="D5" s="98">
        <f>E16</f>
        <v>403452</v>
      </c>
      <c r="E5" s="99">
        <v>2</v>
      </c>
      <c r="F5" s="98">
        <v>225.94</v>
      </c>
      <c r="G5" s="98">
        <f t="shared" ref="G5:G6" si="1">D5*E5</f>
        <v>806904</v>
      </c>
      <c r="H5" s="100">
        <f t="shared" ref="H5:H6" si="2">IFERROR(G5/F5,"")</f>
        <v>3571.3198194210854</v>
      </c>
      <c r="I5" s="100"/>
      <c r="J5" s="82" t="s">
        <v>96</v>
      </c>
    </row>
    <row r="6" spans="1:11" ht="18" customHeight="1" x14ac:dyDescent="0.25">
      <c r="A6" s="81"/>
      <c r="B6" s="96" t="s">
        <v>67</v>
      </c>
      <c r="C6" s="97" t="s">
        <v>83</v>
      </c>
      <c r="D6" s="98">
        <f>E18</f>
        <v>1268400</v>
      </c>
      <c r="E6" s="99">
        <v>2</v>
      </c>
      <c r="F6" s="98">
        <v>225.94</v>
      </c>
      <c r="G6" s="98">
        <f t="shared" si="1"/>
        <v>2536800</v>
      </c>
      <c r="H6" s="100">
        <f t="shared" si="2"/>
        <v>11227.759582189961</v>
      </c>
      <c r="I6" s="100"/>
      <c r="J6" s="82" t="s">
        <v>96</v>
      </c>
    </row>
    <row r="7" spans="1:11" ht="18" customHeight="1" x14ac:dyDescent="0.25">
      <c r="B7" s="105" t="s">
        <v>66</v>
      </c>
      <c r="C7" s="106" t="s">
        <v>66</v>
      </c>
      <c r="D7" s="102">
        <f>SUM(D4:D6)</f>
        <v>2411882</v>
      </c>
      <c r="E7" s="103">
        <f>G7/D7</f>
        <v>1.7054462863440252</v>
      </c>
      <c r="F7" s="102"/>
      <c r="G7" s="102">
        <f>SUM(G4:G6)</f>
        <v>4113335.2</v>
      </c>
      <c r="H7" s="104">
        <f>SUM(H4:H6)</f>
        <v>18205.431530494821</v>
      </c>
      <c r="I7" s="104"/>
      <c r="J7" s="83"/>
    </row>
    <row r="9" spans="1:11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</row>
    <row r="10" spans="1:11" ht="15.75" x14ac:dyDescent="0.25">
      <c r="B10" s="72"/>
      <c r="C10" s="73"/>
      <c r="D10" s="74"/>
      <c r="E10" s="75"/>
      <c r="F10" s="74"/>
      <c r="G10" s="74"/>
      <c r="H10" s="76"/>
      <c r="I10" s="76"/>
      <c r="J10" s="77"/>
      <c r="K10" s="71"/>
    </row>
    <row r="11" spans="1:11" x14ac:dyDescent="0.25">
      <c r="B11" s="71"/>
      <c r="C11" s="71" t="s">
        <v>76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B12" s="71"/>
      <c r="C12" s="78" t="s">
        <v>77</v>
      </c>
      <c r="D12" s="78"/>
      <c r="E12" s="71"/>
      <c r="F12" s="71"/>
      <c r="H12" s="69"/>
      <c r="I12" s="71"/>
      <c r="J12" s="71"/>
      <c r="K12" s="71"/>
    </row>
    <row r="13" spans="1:11" x14ac:dyDescent="0.25">
      <c r="C13" s="86" t="s">
        <v>85</v>
      </c>
      <c r="D13" s="88" t="s">
        <v>94</v>
      </c>
      <c r="H13" s="69"/>
    </row>
    <row r="14" spans="1:11" x14ac:dyDescent="0.25">
      <c r="C14" s="85" t="s">
        <v>78</v>
      </c>
      <c r="D14" s="89">
        <v>360000</v>
      </c>
      <c r="E14" s="91">
        <f>SUM(D14:D15)</f>
        <v>740030</v>
      </c>
      <c r="H14" s="69"/>
    </row>
    <row r="15" spans="1:11" x14ac:dyDescent="0.25">
      <c r="C15" s="85" t="s">
        <v>86</v>
      </c>
      <c r="D15" s="89">
        <v>380030</v>
      </c>
      <c r="H15" s="69"/>
    </row>
    <row r="16" spans="1:11" x14ac:dyDescent="0.25">
      <c r="C16" s="85" t="s">
        <v>80</v>
      </c>
      <c r="D16" s="89">
        <v>201726</v>
      </c>
      <c r="E16" s="91">
        <f>SUM(D16:D17)</f>
        <v>403452</v>
      </c>
      <c r="H16" s="69"/>
    </row>
    <row r="17" spans="2:8" x14ac:dyDescent="0.25">
      <c r="C17" s="85" t="s">
        <v>87</v>
      </c>
      <c r="D17" s="89">
        <v>201726</v>
      </c>
      <c r="H17" s="69"/>
    </row>
    <row r="18" spans="2:8" x14ac:dyDescent="0.25">
      <c r="B18" s="71"/>
      <c r="C18" s="85" t="s">
        <v>88</v>
      </c>
      <c r="D18" s="89">
        <v>283500</v>
      </c>
      <c r="E18" s="91">
        <f>SUM(D18:D21)</f>
        <v>1268400</v>
      </c>
      <c r="H18" s="69"/>
    </row>
    <row r="19" spans="2:8" x14ac:dyDescent="0.25">
      <c r="B19" s="71"/>
      <c r="C19" s="85" t="s">
        <v>82</v>
      </c>
      <c r="D19" s="89">
        <v>157500</v>
      </c>
      <c r="H19" s="69"/>
    </row>
    <row r="20" spans="2:8" x14ac:dyDescent="0.25">
      <c r="B20" s="80"/>
      <c r="C20" s="85" t="s">
        <v>89</v>
      </c>
      <c r="D20" s="89">
        <v>417900</v>
      </c>
      <c r="H20" s="69"/>
    </row>
    <row r="21" spans="2:8" x14ac:dyDescent="0.25">
      <c r="B21" s="71"/>
      <c r="C21" s="85" t="s">
        <v>90</v>
      </c>
      <c r="D21" s="89">
        <v>409500</v>
      </c>
      <c r="H21" s="79"/>
    </row>
    <row r="22" spans="2:8" x14ac:dyDescent="0.25">
      <c r="C22" s="85" t="s">
        <v>91</v>
      </c>
      <c r="D22" s="89">
        <v>86</v>
      </c>
    </row>
    <row r="23" spans="2:8" x14ac:dyDescent="0.25">
      <c r="C23" s="87" t="s">
        <v>92</v>
      </c>
      <c r="D23" s="90">
        <v>2411968</v>
      </c>
    </row>
    <row r="24" spans="2:8" x14ac:dyDescent="0.25">
      <c r="C24" s="87" t="s">
        <v>93</v>
      </c>
      <c r="D24" s="90">
        <v>2411968</v>
      </c>
    </row>
    <row r="25" spans="2:8" x14ac:dyDescent="0.25">
      <c r="C25" s="85" t="s">
        <v>94</v>
      </c>
      <c r="D25" s="89" t="s">
        <v>94</v>
      </c>
    </row>
    <row r="26" spans="2:8" x14ac:dyDescent="0.25">
      <c r="C26" s="86" t="s">
        <v>84</v>
      </c>
      <c r="D26" s="89" t="s">
        <v>94</v>
      </c>
    </row>
    <row r="27" spans="2:8" x14ac:dyDescent="0.25">
      <c r="C27" s="85" t="s">
        <v>84</v>
      </c>
      <c r="D27" s="89">
        <v>940167.03</v>
      </c>
      <c r="E27" s="91">
        <f>D27</f>
        <v>940167.03</v>
      </c>
    </row>
  </sheetData>
  <mergeCells count="1">
    <mergeCell ref="B7:C7"/>
  </mergeCells>
  <phoneticPr fontId="24" type="noConversion"/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M5" sqref="M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42578125" style="42" bestFit="1" customWidth="1"/>
    <col min="4" max="4" width="7.425781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42578125" style="42" customWidth="1"/>
    <col min="10" max="10" width="12.140625" style="42" customWidth="1"/>
    <col min="11" max="11" width="14.42578125" style="42" customWidth="1"/>
    <col min="12" max="12" width="15.140625" style="42" customWidth="1"/>
    <col min="13" max="13" width="11.5703125" style="42" customWidth="1"/>
    <col min="14" max="16384" width="9.140625" style="42"/>
  </cols>
  <sheetData>
    <row r="1" spans="1:13" x14ac:dyDescent="0.3">
      <c r="A1" s="107" t="s">
        <v>57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13" x14ac:dyDescent="0.3">
      <c r="B3" s="43" t="s">
        <v>54</v>
      </c>
      <c r="C3" s="43"/>
      <c r="D3" s="43"/>
      <c r="H3" s="108" t="s">
        <v>75</v>
      </c>
      <c r="I3" s="109"/>
      <c r="J3" s="109"/>
      <c r="K3" s="109"/>
      <c r="L3" s="109" t="s">
        <v>1</v>
      </c>
      <c r="M3" s="109"/>
    </row>
    <row r="4" spans="1:13" ht="99" x14ac:dyDescent="0.3">
      <c r="B4" s="43"/>
      <c r="C4" s="43" t="s">
        <v>71</v>
      </c>
      <c r="D4" s="43"/>
      <c r="F4" s="44" t="s">
        <v>74</v>
      </c>
      <c r="H4" s="55" t="s">
        <v>2</v>
      </c>
      <c r="I4" s="56" t="s">
        <v>61</v>
      </c>
      <c r="J4" s="58" t="s">
        <v>62</v>
      </c>
      <c r="K4" s="59" t="s">
        <v>63</v>
      </c>
      <c r="L4" s="58" t="s">
        <v>65</v>
      </c>
      <c r="M4" s="58" t="s">
        <v>64</v>
      </c>
    </row>
    <row r="5" spans="1:13" s="45" customFormat="1" ht="25.5" customHeight="1" x14ac:dyDescent="0.3">
      <c r="B5" s="43"/>
      <c r="C5" s="43" t="s">
        <v>72</v>
      </c>
      <c r="D5" s="46">
        <v>225.94</v>
      </c>
      <c r="F5" s="84">
        <v>4647854</v>
      </c>
      <c r="G5" s="42"/>
      <c r="H5" s="47">
        <f>'HCC PHARMACY'!D7</f>
        <v>2411882</v>
      </c>
      <c r="I5" s="48">
        <f>'HCC PHARMACY'!H7</f>
        <v>18205.431530494821</v>
      </c>
      <c r="J5" s="49">
        <f>I5/F5</f>
        <v>3.9169542611482248E-3</v>
      </c>
      <c r="K5" s="50">
        <f>H5/I5</f>
        <v>132.48145181068637</v>
      </c>
      <c r="L5" s="57">
        <f>J5*2.5</f>
        <v>9.7923856528705621E-3</v>
      </c>
      <c r="M5" s="51">
        <f>L5*F5</f>
        <v>45513.578826237055</v>
      </c>
    </row>
    <row r="6" spans="1:13" s="45" customFormat="1" ht="26.25" customHeight="1" x14ac:dyDescent="0.3">
      <c r="B6" s="52"/>
      <c r="C6" s="43" t="s">
        <v>73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42"/>
  <sheetViews>
    <sheetView showGridLines="0" tabSelected="1" workbookViewId="0">
      <selection activeCell="B12" sqref="B12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5703125" style="2" customWidth="1"/>
    <col min="5" max="5" width="15.5703125" style="2" customWidth="1"/>
    <col min="6" max="6" width="12.42578125" style="2" customWidth="1"/>
    <col min="7" max="7" width="12" style="2" customWidth="1"/>
    <col min="8" max="8" width="10.42578125" style="2" customWidth="1"/>
    <col min="9" max="10" width="10.5703125" style="2" bestFit="1" customWidth="1"/>
    <col min="11" max="11" width="14.42578125" style="2" bestFit="1" customWidth="1"/>
    <col min="12" max="13" width="12" style="2" bestFit="1" customWidth="1"/>
    <col min="14" max="14" width="11.42578125" style="2" bestFit="1" customWidth="1"/>
    <col min="15" max="15" width="10.570312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58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70</v>
      </c>
      <c r="C3" s="1" t="s">
        <v>10</v>
      </c>
      <c r="D3" s="12" t="s">
        <v>55</v>
      </c>
      <c r="E3" s="1" t="s">
        <v>11</v>
      </c>
      <c r="F3" s="12" t="s">
        <v>56</v>
      </c>
    </row>
    <row r="4" spans="1:15" ht="15" customHeight="1" thickBot="1" x14ac:dyDescent="0.25">
      <c r="A4" s="13" t="s">
        <v>12</v>
      </c>
      <c r="B4" s="121" t="s">
        <v>13</v>
      </c>
      <c r="C4" s="121"/>
      <c r="D4" s="121"/>
      <c r="E4" s="121"/>
      <c r="F4" s="122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19" t="s">
        <v>16</v>
      </c>
      <c r="B7" s="124" t="s">
        <v>17</v>
      </c>
      <c r="C7" s="125"/>
      <c r="D7" s="126" t="s">
        <v>18</v>
      </c>
      <c r="E7" s="127"/>
      <c r="F7" s="128" t="s">
        <v>19</v>
      </c>
      <c r="G7" s="129"/>
    </row>
    <row r="8" spans="1:15" ht="25.5" x14ac:dyDescent="0.2">
      <c r="A8" s="123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20"/>
      <c r="B9" s="20">
        <f>B6*B12</f>
        <v>1205941</v>
      </c>
      <c r="C9" s="20">
        <f>C6*B12</f>
        <v>3617823</v>
      </c>
      <c r="D9" s="21">
        <f>F9</f>
        <v>2411882</v>
      </c>
      <c r="E9" s="22">
        <f>(($O$12/(1+EXP($M$12+$N$12*D9)))-1) - ($F$12-$C$12)</f>
        <v>18205.431530495174</v>
      </c>
      <c r="F9" s="20">
        <f>B12</f>
        <v>2411882</v>
      </c>
      <c r="G9" s="23">
        <f>C12</f>
        <v>18205.431530494821</v>
      </c>
    </row>
    <row r="10" spans="1:15" ht="13.5" thickBot="1" x14ac:dyDescent="0.25"/>
    <row r="11" spans="1:15" ht="51.6" customHeight="1" x14ac:dyDescent="0.2">
      <c r="A11" s="119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10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20"/>
      <c r="B12" s="20">
        <f>Data!H5</f>
        <v>2411882</v>
      </c>
      <c r="C12" s="23">
        <f>Data!I5</f>
        <v>18205.431530494821</v>
      </c>
      <c r="D12" s="26">
        <v>0</v>
      </c>
      <c r="E12" s="23">
        <f>Data!M5</f>
        <v>45513.578826237055</v>
      </c>
      <c r="F12" s="27">
        <f>Data!F5</f>
        <v>4647854</v>
      </c>
      <c r="H12" s="111"/>
      <c r="I12" s="28">
        <f>F12-C12</f>
        <v>4629648.5684695048</v>
      </c>
      <c r="J12" s="28">
        <f>I12+E12</f>
        <v>4675162.1472957423</v>
      </c>
      <c r="K12" s="29">
        <f>B12</f>
        <v>2411882</v>
      </c>
      <c r="L12" s="28">
        <f>F12</f>
        <v>4647854</v>
      </c>
      <c r="M12" s="30">
        <f>LN((($J$12+1)/($I$12+1))-1)</f>
        <v>-4.6222257398849491</v>
      </c>
      <c r="N12" s="31">
        <f>(LN((($J$12+1)/($L$12+1))-1)-$M$12)/$K$12</f>
        <v>-2.1342265854525906E-7</v>
      </c>
      <c r="O12" s="32">
        <f>J12+1</f>
        <v>4675163.1472957423</v>
      </c>
    </row>
    <row r="13" spans="1:15" ht="34.35" customHeight="1" x14ac:dyDescent="0.2">
      <c r="A13" s="112" t="s">
        <v>40</v>
      </c>
      <c r="B13" s="113"/>
      <c r="C13" s="113"/>
      <c r="D13" s="113"/>
      <c r="E13" s="113"/>
      <c r="F13" s="114"/>
      <c r="H13" s="112" t="s">
        <v>41</v>
      </c>
      <c r="I13" s="113"/>
      <c r="J13" s="113"/>
      <c r="K13" s="113"/>
      <c r="L13" s="113"/>
      <c r="M13" s="113"/>
      <c r="N13" s="113"/>
      <c r="O13" s="114"/>
    </row>
    <row r="14" spans="1:15" ht="33.6" customHeight="1" x14ac:dyDescent="0.2">
      <c r="A14" s="115"/>
      <c r="B14" s="116"/>
      <c r="C14" s="116"/>
      <c r="D14" s="116"/>
      <c r="E14" s="116"/>
      <c r="F14" s="117"/>
      <c r="H14" s="115"/>
      <c r="I14" s="116"/>
      <c r="J14" s="116"/>
      <c r="K14" s="116"/>
      <c r="L14" s="116"/>
      <c r="M14" s="116"/>
      <c r="N14" s="116"/>
      <c r="O14" s="117"/>
    </row>
    <row r="16" spans="1:15" ht="13.5" thickBot="1" x14ac:dyDescent="0.25"/>
    <row r="17" spans="1:5" ht="17.100000000000001" customHeight="1" x14ac:dyDescent="0.2">
      <c r="A17" s="110" t="s">
        <v>42</v>
      </c>
      <c r="B17" s="24" t="s">
        <v>43</v>
      </c>
      <c r="C17" s="24" t="s">
        <v>44</v>
      </c>
      <c r="D17" s="25" t="s">
        <v>45</v>
      </c>
    </row>
    <row r="18" spans="1:5" ht="23.85" customHeight="1" thickBot="1" x14ac:dyDescent="0.25">
      <c r="A18" s="111"/>
      <c r="B18" s="33">
        <v>0</v>
      </c>
      <c r="C18" s="34">
        <v>9000000</v>
      </c>
      <c r="D18" s="35">
        <v>20</v>
      </c>
    </row>
    <row r="20" spans="1:5" x14ac:dyDescent="0.2">
      <c r="A20" s="118" t="s">
        <v>46</v>
      </c>
      <c r="B20" s="118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450000</v>
      </c>
      <c r="B23" s="36">
        <f t="shared" ref="B23:B42" si="0">(($O$12/(1+EXP($M$12+$N$12*A23)))-1) - ($F$12-$C$12)</f>
        <v>4130.9005698589608</v>
      </c>
      <c r="C23" s="38">
        <f>B23*Data!$D$5</f>
        <v>933335.67475393356</v>
      </c>
      <c r="D23" s="39">
        <f>C23/A23</f>
        <v>2.0740792772309633</v>
      </c>
      <c r="E23" s="38">
        <f>C23*(1-Data!$D$4)</f>
        <v>933335.67475393356</v>
      </c>
    </row>
    <row r="24" spans="1:5" x14ac:dyDescent="0.2">
      <c r="A24" s="37">
        <f t="shared" ref="A24:A42" si="1">A23+(($C$18-$B$18)/$D$18)</f>
        <v>900000</v>
      </c>
      <c r="B24" s="36">
        <f t="shared" si="0"/>
        <v>7889.9195253467187</v>
      </c>
      <c r="C24" s="38">
        <f>B24*Data!$D$5</f>
        <v>1782648.4175568377</v>
      </c>
      <c r="D24" s="39">
        <f t="shared" ref="D24:D42" si="2">C24/A24</f>
        <v>1.9807204639520419</v>
      </c>
      <c r="E24" s="38">
        <f>C24*(1-Data!$D$4)</f>
        <v>1782648.4175568377</v>
      </c>
    </row>
    <row r="25" spans="1:5" x14ac:dyDescent="0.2">
      <c r="A25" s="37">
        <f t="shared" si="1"/>
        <v>1350000</v>
      </c>
      <c r="B25" s="36">
        <f t="shared" si="0"/>
        <v>11310.006253117695</v>
      </c>
      <c r="C25" s="38">
        <f>B25*Data!$D$5</f>
        <v>2555382.8128294121</v>
      </c>
      <c r="D25" s="39">
        <f t="shared" si="2"/>
        <v>1.8928761576514164</v>
      </c>
      <c r="E25" s="38">
        <f>C25*(1-Data!$D$4)</f>
        <v>2555382.8128294121</v>
      </c>
    </row>
    <row r="26" spans="1:5" x14ac:dyDescent="0.2">
      <c r="A26" s="37">
        <f t="shared" si="1"/>
        <v>1800000</v>
      </c>
      <c r="B26" s="36">
        <f t="shared" si="0"/>
        <v>14421.282748956233</v>
      </c>
      <c r="C26" s="38">
        <f>B26*Data!$D$5</f>
        <v>3258344.6242991714</v>
      </c>
      <c r="D26" s="39">
        <f t="shared" si="2"/>
        <v>1.8101914579439842</v>
      </c>
      <c r="E26" s="38">
        <f>C26*(1-Data!$D$4)</f>
        <v>3258344.6242991714</v>
      </c>
    </row>
    <row r="27" spans="1:5" x14ac:dyDescent="0.2">
      <c r="A27" s="64">
        <f t="shared" si="1"/>
        <v>2250000</v>
      </c>
      <c r="B27" s="65">
        <f t="shared" si="0"/>
        <v>17251.27013886068</v>
      </c>
      <c r="C27" s="66">
        <f>B27*Data!$D$5</f>
        <v>3897751.9751741821</v>
      </c>
      <c r="D27" s="67">
        <f t="shared" si="2"/>
        <v>1.7323342111885254</v>
      </c>
      <c r="E27" s="66">
        <f>C27*(1-Data!$D$4)</f>
        <v>3897751.9751741821</v>
      </c>
    </row>
    <row r="28" spans="1:5" x14ac:dyDescent="0.2">
      <c r="A28" s="37">
        <f t="shared" si="1"/>
        <v>2700000</v>
      </c>
      <c r="B28" s="36">
        <f t="shared" si="0"/>
        <v>19825.099922557361</v>
      </c>
      <c r="C28" s="38">
        <f>B28*Data!$D$5</f>
        <v>4479283.07650261</v>
      </c>
      <c r="D28" s="39">
        <f t="shared" si="2"/>
        <v>1.6589937320380037</v>
      </c>
      <c r="E28" s="38">
        <f>C28*(1-Data!$D$4)</f>
        <v>4479283.07650261</v>
      </c>
    </row>
    <row r="29" spans="1:5" x14ac:dyDescent="0.2">
      <c r="A29" s="37">
        <f t="shared" si="1"/>
        <v>3150000</v>
      </c>
      <c r="B29" s="36">
        <f t="shared" si="0"/>
        <v>22165.710431137122</v>
      </c>
      <c r="C29" s="38">
        <f>B29*Data!$D$5</f>
        <v>5008120.6148111215</v>
      </c>
      <c r="D29" s="39">
        <f t="shared" si="2"/>
        <v>1.5898795602574989</v>
      </c>
      <c r="E29" s="38">
        <f>C29*(1-Data!$D$4)</f>
        <v>5008120.6148111215</v>
      </c>
    </row>
    <row r="30" spans="1:5" x14ac:dyDescent="0.2">
      <c r="A30" s="37">
        <f t="shared" si="1"/>
        <v>3600000</v>
      </c>
      <c r="B30" s="36">
        <f t="shared" si="0"/>
        <v>24294.029092384502</v>
      </c>
      <c r="C30" s="38">
        <f>B30*Data!$D$5</f>
        <v>5488992.9331333544</v>
      </c>
      <c r="D30" s="39">
        <f t="shared" si="2"/>
        <v>1.5247202592037095</v>
      </c>
      <c r="E30" s="38">
        <f>C30*(1-Data!$D$4)</f>
        <v>5488992.9331333544</v>
      </c>
    </row>
    <row r="31" spans="1:5" x14ac:dyDescent="0.2">
      <c r="A31" s="37">
        <f t="shared" si="1"/>
        <v>4050000</v>
      </c>
      <c r="B31" s="36">
        <f t="shared" si="0"/>
        <v>26229.141167043708</v>
      </c>
      <c r="C31" s="38">
        <f>B31*Data!$D$5</f>
        <v>5926212.1552818557</v>
      </c>
      <c r="D31" s="39">
        <f t="shared" si="2"/>
        <v>1.4632622605634211</v>
      </c>
      <c r="E31" s="38">
        <f>C31*(1-Data!$D$4)</f>
        <v>5926212.1552818557</v>
      </c>
    </row>
    <row r="32" spans="1:5" x14ac:dyDescent="0.2">
      <c r="A32" s="60">
        <f t="shared" si="1"/>
        <v>4500000</v>
      </c>
      <c r="B32" s="61">
        <f t="shared" si="0"/>
        <v>27988.44566304516</v>
      </c>
      <c r="C32" s="62">
        <f>B32*Data!$D$5</f>
        <v>6323709.4131084234</v>
      </c>
      <c r="D32" s="63">
        <f t="shared" si="2"/>
        <v>1.4052687584685386</v>
      </c>
      <c r="E32" s="62">
        <f>C32*(1-Data!$D$4)</f>
        <v>6323709.4131084234</v>
      </c>
    </row>
    <row r="33" spans="1:5" x14ac:dyDescent="0.2">
      <c r="A33" s="37">
        <f t="shared" si="1"/>
        <v>4950000</v>
      </c>
      <c r="B33" s="36">
        <f t="shared" si="0"/>
        <v>29587.799157867208</v>
      </c>
      <c r="C33" s="38">
        <f>B33*Data!$D$5</f>
        <v>6685067.3417285169</v>
      </c>
      <c r="D33" s="39">
        <f t="shared" si="2"/>
        <v>1.35051865489465</v>
      </c>
      <c r="E33" s="38">
        <f>C33*(1-Data!$D$4)</f>
        <v>6685067.3417285169</v>
      </c>
    </row>
    <row r="34" spans="1:5" x14ac:dyDescent="0.2">
      <c r="A34" s="37">
        <f>A33+(($C$18-$B$18)/$D$18)</f>
        <v>5400000</v>
      </c>
      <c r="B34" s="36">
        <f t="shared" si="0"/>
        <v>31041.648266067728</v>
      </c>
      <c r="C34" s="38">
        <f>B34*Data!$D$5</f>
        <v>7013550.009235342</v>
      </c>
      <c r="D34" s="39">
        <f t="shared" si="2"/>
        <v>1.2988055572658042</v>
      </c>
      <c r="E34" s="38">
        <f>C34*(1-Data!$D$4)</f>
        <v>7013550.009235342</v>
      </c>
    </row>
    <row r="35" spans="1:5" x14ac:dyDescent="0.2">
      <c r="A35" s="37">
        <f t="shared" si="1"/>
        <v>5850000</v>
      </c>
      <c r="B35" s="36">
        <f t="shared" si="0"/>
        <v>32363.151483400725</v>
      </c>
      <c r="C35" s="38">
        <f>B35*Data!$D$5</f>
        <v>7312130.4461595593</v>
      </c>
      <c r="D35" s="39">
        <f t="shared" si="2"/>
        <v>1.2499368284033434</v>
      </c>
      <c r="E35" s="38">
        <f>C35*(1-Data!$D$4)</f>
        <v>7312130.4461595593</v>
      </c>
    </row>
    <row r="36" spans="1:5" x14ac:dyDescent="0.2">
      <c r="A36" s="37">
        <f t="shared" si="1"/>
        <v>6300000</v>
      </c>
      <c r="B36" s="36">
        <f t="shared" si="0"/>
        <v>33564.29112359602</v>
      </c>
      <c r="C36" s="38">
        <f>B36*Data!$D$5</f>
        <v>7583515.9364652848</v>
      </c>
      <c r="D36" s="39">
        <f t="shared" si="2"/>
        <v>1.203732688327823</v>
      </c>
      <c r="E36" s="38">
        <f>C36*(1-Data!$D$4)</f>
        <v>7583515.9364652848</v>
      </c>
    </row>
    <row r="37" spans="1:5" x14ac:dyDescent="0.2">
      <c r="A37" s="37">
        <f t="shared" si="1"/>
        <v>6750000</v>
      </c>
      <c r="B37" s="36">
        <f t="shared" si="0"/>
        <v>34655.97604158707</v>
      </c>
      <c r="C37" s="38">
        <f>B37*Data!$D$5</f>
        <v>7830171.2268361822</v>
      </c>
      <c r="D37" s="39">
        <f t="shared" si="2"/>
        <v>1.1600253669386937</v>
      </c>
      <c r="E37" s="38">
        <f>C37*(1-Data!$D$4)</f>
        <v>7830171.2268361822</v>
      </c>
    </row>
    <row r="38" spans="1:5" x14ac:dyDescent="0.2">
      <c r="A38" s="37">
        <f t="shared" si="1"/>
        <v>7200000</v>
      </c>
      <c r="B38" s="36">
        <f t="shared" si="0"/>
        <v>35648.135809469037</v>
      </c>
      <c r="C38" s="38">
        <f>B38*Data!$D$5</f>
        <v>8054339.8047914337</v>
      </c>
      <c r="D38" s="39">
        <f t="shared" si="2"/>
        <v>1.1186583062210325</v>
      </c>
      <c r="E38" s="38">
        <f>C38*(1-Data!$D$4)</f>
        <v>8054339.8047914337</v>
      </c>
    </row>
    <row r="39" spans="1:5" x14ac:dyDescent="0.2">
      <c r="A39" s="37">
        <f t="shared" si="1"/>
        <v>7650000</v>
      </c>
      <c r="B39" s="36">
        <f t="shared" si="0"/>
        <v>36549.806980542839</v>
      </c>
      <c r="C39" s="38">
        <f>B39*Data!$D$5</f>
        <v>8258063.3891838491</v>
      </c>
      <c r="D39" s="39">
        <f t="shared" si="2"/>
        <v>1.07948541035083</v>
      </c>
      <c r="E39" s="38">
        <f>C39*(1-Data!$D$4)</f>
        <v>8258063.3891838491</v>
      </c>
    </row>
    <row r="40" spans="1:5" x14ac:dyDescent="0.2">
      <c r="A40" s="37">
        <f t="shared" si="1"/>
        <v>8100000</v>
      </c>
      <c r="B40" s="36">
        <f t="shared" si="0"/>
        <v>37369.212043652311</v>
      </c>
      <c r="C40" s="38">
        <f>B40*Data!$D$5</f>
        <v>8443199.7691428028</v>
      </c>
      <c r="D40" s="39">
        <f t="shared" si="2"/>
        <v>1.0423703418694819</v>
      </c>
      <c r="E40" s="38">
        <f>C40*(1-Data!$D$4)</f>
        <v>8443199.7691428028</v>
      </c>
    </row>
    <row r="41" spans="1:5" x14ac:dyDescent="0.2">
      <c r="A41" s="37">
        <f>A40+(($C$18-$B$18)/$D$18)</f>
        <v>8550000</v>
      </c>
      <c r="B41" s="36">
        <f t="shared" si="0"/>
        <v>38113.831635748968</v>
      </c>
      <c r="C41" s="38">
        <f>B41*Data!$D$5</f>
        <v>8611439.1197811216</v>
      </c>
      <c r="D41" s="39">
        <f t="shared" si="2"/>
        <v>1.0071858619627043</v>
      </c>
      <c r="E41" s="38">
        <f>C41*(1-Data!$D$4)</f>
        <v>8611439.1197811216</v>
      </c>
    </row>
    <row r="42" spans="1:5" x14ac:dyDescent="0.2">
      <c r="A42" s="37">
        <f t="shared" si="1"/>
        <v>9000000</v>
      </c>
      <c r="B42" s="36">
        <f t="shared" si="0"/>
        <v>38790.470545900054</v>
      </c>
      <c r="C42" s="38">
        <f>B42*Data!$D$5</f>
        <v>8764318.9151406586</v>
      </c>
      <c r="D42" s="39">
        <f t="shared" si="2"/>
        <v>0.97381321279340649</v>
      </c>
      <c r="E42" s="38">
        <f>C42*(1-Data!$D$4)</f>
        <v>8764318.9151406586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HCC PHARMACY</vt:lpstr>
      <vt:lpstr>Data</vt:lpstr>
      <vt:lpstr>HCC PHARMACY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2024-03-06T06:11:20Z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2024-03-06T06:09:30Z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717371ca-a66e-48bc-98c1-234dee4742c5</vt:lpwstr>
  </property>
  <property fmtid="{D5CDD505-2E9C-101B-9397-08002B2CF9AE}" pid="13" name="MSIP_Label_2c56a699-e9bd-437a-8412-901342082749_ContentBits">
    <vt:lpwstr>1</vt:lpwstr>
  </property>
</Properties>
</file>