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24226"/>
  <xr:revisionPtr revIDLastSave="0" documentId="13_ncr:1_{49231847-B500-44F3-BBF9-60DC31C643CC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HCP MCM" sheetId="5" r:id="rId1"/>
    <sheet name="Data" sheetId="6" r:id="rId2"/>
    <sheet name="HCP MCM SCurve" sheetId="7" r:id="rId3"/>
  </sheets>
  <externalReferences>
    <externalReference r:id="rId4"/>
  </externalReferences>
  <definedNames>
    <definedName name="_xlnm._FilterDatabase" localSheetId="0" hidden="1">'HCP MCM'!$A$3:$J$22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1" i="5" l="1"/>
  <c r="G8" i="5"/>
  <c r="H8" i="5" s="1"/>
  <c r="G9" i="5"/>
  <c r="H9" i="5" s="1"/>
  <c r="G10" i="5" l="1"/>
  <c r="H10" i="5" s="1"/>
  <c r="G5" i="5"/>
  <c r="H5" i="5" s="1"/>
  <c r="G6" i="5"/>
  <c r="H6" i="5" s="1"/>
  <c r="G7" i="5"/>
  <c r="H7" i="5" s="1"/>
  <c r="G4" i="5"/>
  <c r="H4" i="5" s="1"/>
  <c r="C10" i="5" l="1"/>
  <c r="D13" i="5" l="1"/>
  <c r="G13" i="5" l="1"/>
  <c r="H11" i="5" l="1"/>
  <c r="G11" i="5"/>
  <c r="E11" i="5" s="1"/>
  <c r="H5" i="6"/>
  <c r="B12" i="7" s="1"/>
  <c r="F12" i="7"/>
  <c r="L12" i="7" s="1"/>
  <c r="A22" i="7"/>
  <c r="A23" i="7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C9" i="7" l="1"/>
  <c r="K12" i="7"/>
  <c r="B9" i="7"/>
  <c r="F9" i="7"/>
  <c r="D9" i="7" s="1"/>
  <c r="I5" i="6" l="1"/>
  <c r="C12" i="7" l="1"/>
  <c r="K5" i="6"/>
  <c r="J5" i="6"/>
  <c r="L5" i="6" s="1"/>
  <c r="M5" i="6" l="1"/>
  <c r="E12" i="7" s="1"/>
  <c r="G9" i="7"/>
  <c r="I12" i="7"/>
  <c r="J12" i="7" l="1"/>
  <c r="O12" i="7" s="1"/>
  <c r="M12" i="7" l="1"/>
  <c r="N12" i="7" s="1"/>
  <c r="B41" i="7" s="1"/>
  <c r="C41" i="7" s="1"/>
  <c r="B49" i="7" l="1"/>
  <c r="C49" i="7" s="1"/>
  <c r="D49" i="7" s="1"/>
  <c r="B47" i="7"/>
  <c r="C47" i="7" s="1"/>
  <c r="D47" i="7" s="1"/>
  <c r="B50" i="7"/>
  <c r="C50" i="7" s="1"/>
  <c r="D50" i="7" s="1"/>
  <c r="B45" i="7"/>
  <c r="C45" i="7" s="1"/>
  <c r="D45" i="7" s="1"/>
  <c r="B46" i="7"/>
  <c r="C46" i="7" s="1"/>
  <c r="D46" i="7" s="1"/>
  <c r="B43" i="7"/>
  <c r="C43" i="7" s="1"/>
  <c r="D43" i="7" s="1"/>
  <c r="B44" i="7"/>
  <c r="C44" i="7" s="1"/>
  <c r="D44" i="7" s="1"/>
  <c r="B48" i="7"/>
  <c r="C48" i="7" s="1"/>
  <c r="D48" i="7" s="1"/>
  <c r="B28" i="7"/>
  <c r="C28" i="7" s="1"/>
  <c r="D28" i="7" s="1"/>
  <c r="B32" i="7"/>
  <c r="C32" i="7" s="1"/>
  <c r="B29" i="7"/>
  <c r="C29" i="7" s="1"/>
  <c r="D29" i="7" s="1"/>
  <c r="B40" i="7"/>
  <c r="C40" i="7" s="1"/>
  <c r="D40" i="7" s="1"/>
  <c r="B31" i="7"/>
  <c r="C31" i="7" s="1"/>
  <c r="D31" i="7" s="1"/>
  <c r="B35" i="7"/>
  <c r="C35" i="7" s="1"/>
  <c r="D35" i="7" s="1"/>
  <c r="B22" i="7"/>
  <c r="C22" i="7" s="1"/>
  <c r="B25" i="7"/>
  <c r="C25" i="7" s="1"/>
  <c r="D25" i="7" s="1"/>
  <c r="B36" i="7"/>
  <c r="C36" i="7" s="1"/>
  <c r="D36" i="7" s="1"/>
  <c r="B26" i="7"/>
  <c r="C26" i="7" s="1"/>
  <c r="D26" i="7" s="1"/>
  <c r="B39" i="7"/>
  <c r="C39" i="7" s="1"/>
  <c r="D39" i="7" s="1"/>
  <c r="B34" i="7"/>
  <c r="C34" i="7" s="1"/>
  <c r="D34" i="7" s="1"/>
  <c r="B38" i="7"/>
  <c r="C38" i="7" s="1"/>
  <c r="D38" i="7" s="1"/>
  <c r="B24" i="7"/>
  <c r="C24" i="7" s="1"/>
  <c r="D24" i="7" s="1"/>
  <c r="B30" i="7"/>
  <c r="C30" i="7" s="1"/>
  <c r="D30" i="7" s="1"/>
  <c r="B27" i="7"/>
  <c r="C27" i="7" s="1"/>
  <c r="D27" i="7" s="1"/>
  <c r="E9" i="7"/>
  <c r="B23" i="7"/>
  <c r="C23" i="7" s="1"/>
  <c r="D23" i="7" s="1"/>
  <c r="B42" i="7"/>
  <c r="C42" i="7" s="1"/>
  <c r="D42" i="7" s="1"/>
  <c r="B33" i="7"/>
  <c r="C33" i="7" s="1"/>
  <c r="D33" i="7" s="1"/>
  <c r="B37" i="7"/>
  <c r="C37" i="7" s="1"/>
  <c r="D37" i="7" s="1"/>
  <c r="D32" i="7"/>
  <c r="D41" i="7"/>
</calcChain>
</file>

<file path=xl/sharedStrings.xml><?xml version="1.0" encoding="utf-8"?>
<sst xmlns="http://schemas.openxmlformats.org/spreadsheetml/2006/main" count="96" uniqueCount="87">
  <si>
    <t>Product</t>
  </si>
  <si>
    <t>Max Y Assumptions</t>
  </si>
  <si>
    <t>Pre-Tax Spend</t>
  </si>
  <si>
    <t>* Note: The above marroon colored values are used to construct lodish type response curve for Aquisition programs</t>
  </si>
  <si>
    <t>Purpose</t>
  </si>
  <si>
    <t>Creates a S type curve given (Xcurr,Ycurr), Ymin, Ymax. Uses equation proposed by Lodish.</t>
  </si>
  <si>
    <t>X unit</t>
  </si>
  <si>
    <t>Spend $</t>
  </si>
  <si>
    <t>Note 1: YELLOW cells need user input (some or optional)</t>
  </si>
  <si>
    <t>Channel</t>
  </si>
  <si>
    <t>Y unit</t>
  </si>
  <si>
    <t>Ybase</t>
  </si>
  <si>
    <t>Function Type</t>
  </si>
  <si>
    <t>S type curve estimation(Lodish). Adjusted with respect to Y base</t>
  </si>
  <si>
    <t>In here, lodish curve is applied to YLmin = Ybase + Ymin and YLmax = YLmin + Ymax.</t>
  </si>
  <si>
    <t xml:space="preserve">In terms of NRx, Ybase = Curr NRx; YLmin =  Curr NRx - Curr Incr. NRx(Yc).; YLMax = Curr NRx + Max Possible Incr. NRx (Ymax); Ymin = min Incr NRx for no investmet = 0; </t>
  </si>
  <si>
    <t>Optimization Details</t>
  </si>
  <si>
    <t>Constraints</t>
  </si>
  <si>
    <t>Objective Function</t>
  </si>
  <si>
    <t>Initial Starting Values (optional)</t>
  </si>
  <si>
    <t>Min</t>
  </si>
  <si>
    <t>Max</t>
  </si>
  <si>
    <t>Optimal X value</t>
  </si>
  <si>
    <t>Optimal Y value</t>
  </si>
  <si>
    <t>Starting X value</t>
  </si>
  <si>
    <t>Starting Y value</t>
  </si>
  <si>
    <t>Inputs</t>
  </si>
  <si>
    <t>X current</t>
  </si>
  <si>
    <t>Y current</t>
  </si>
  <si>
    <t>Y min</t>
  </si>
  <si>
    <t>Y max</t>
  </si>
  <si>
    <t>Y Base</t>
  </si>
  <si>
    <t>Temporary Values</t>
  </si>
  <si>
    <t>YL min [=YBase - Ycurrent]</t>
  </si>
  <si>
    <t>YL max [=YLmin + Ymax]</t>
  </si>
  <si>
    <t>XL current [=Xcurrent]</t>
  </si>
  <si>
    <t>YL current [=YBase]</t>
  </si>
  <si>
    <t>A</t>
  </si>
  <si>
    <t>B</t>
  </si>
  <si>
    <t>C</t>
  </si>
  <si>
    <t xml:space="preserve">*Note: All values are positive. Only Ymin could be zero.  Y min &lt; Y curr &lt; Ymax. Here, Y Base represents observed total business (i.e., observed NRx or observed Total Revenue) in the presence of current level of promotions. </t>
  </si>
  <si>
    <t>* Note: To avoid singularity when YLmin is 0, the whole curve is lifted up in Y axis by one unit and then in the final objective function estimation, they are brought down by one unit.</t>
  </si>
  <si>
    <t>Axis Configuration for Plotting</t>
  </si>
  <si>
    <t>Xaxis MIN</t>
  </si>
  <si>
    <t>Xaxis Max</t>
  </si>
  <si>
    <t>Intervals</t>
  </si>
  <si>
    <t>Data Values</t>
  </si>
  <si>
    <t>incr. NRx</t>
  </si>
  <si>
    <t xml:space="preserve">Spend </t>
  </si>
  <si>
    <t>ROI:</t>
  </si>
  <si>
    <t>Pre-tax</t>
  </si>
  <si>
    <t>Comments:</t>
  </si>
  <si>
    <t>Program</t>
  </si>
  <si>
    <t>Parameters for back-calculation of Incremental Rx</t>
  </si>
  <si>
    <t>Incr. Rx</t>
  </si>
  <si>
    <t xml:space="preserve"> Rx</t>
  </si>
  <si>
    <t>Merck GARDASIL Online Programs: Incremental Rx per Tactic with ROI, Spend and Incremental Revenue</t>
  </si>
  <si>
    <t>GARDASIL</t>
  </si>
  <si>
    <t># Incr. Doses</t>
  </si>
  <si>
    <t>Estimated Incr. Dose</t>
  </si>
  <si>
    <t>Estimated Incr. Dose (as % of NPA Dose)</t>
  </si>
  <si>
    <t>Spend per Dose</t>
  </si>
  <si>
    <t>Anticipated Max Incr. Dose</t>
  </si>
  <si>
    <t>Anticipated Max Incr. Dose (in %) when MCM spend is increased to infinity</t>
  </si>
  <si>
    <t>Total</t>
  </si>
  <si>
    <t>HCP MCM</t>
  </si>
  <si>
    <t>Measurement Time Period</t>
  </si>
  <si>
    <t>epocrates</t>
  </si>
  <si>
    <t>`</t>
  </si>
  <si>
    <t>G9 Adult</t>
  </si>
  <si>
    <t>*began w/ multipier at 1.5</t>
  </si>
  <si>
    <t>2022 Pre-tax PGM/NPV</t>
  </si>
  <si>
    <t>2022 Pre-tax PGM/Rx</t>
  </si>
  <si>
    <t>2022 Tax-rate</t>
  </si>
  <si>
    <t xml:space="preserve">Avg of all MCM and PP channels </t>
  </si>
  <si>
    <t>TOTAL GARDASIL Doses in 2022</t>
  </si>
  <si>
    <t>2023 Projection</t>
  </si>
  <si>
    <t>Back office TV (Jan22-jun22)</t>
  </si>
  <si>
    <t>Medscape</t>
  </si>
  <si>
    <t>NexGen</t>
  </si>
  <si>
    <t>Doximity</t>
  </si>
  <si>
    <t>deep intent</t>
  </si>
  <si>
    <t>pulse point</t>
  </si>
  <si>
    <t>2023 Pre-tax Spend</t>
  </si>
  <si>
    <t>2022 Estimated Pre-tax Pgm/Dose</t>
  </si>
  <si>
    <t>2023 Estimated Pre-tax Revenue</t>
  </si>
  <si>
    <t>2022 Estimated pre-tax 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</si>
</sst>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_(&quot;$&quot;* #,##0_);_(&quot;$&quot;* \(#,##0\);_(&quot;$&quot;* &quot;-&quot;??_);_(@_)"/>
    <numFmt numFmtId="166" formatCode="_(* #,##0_);_(* \(#,##0\);_(* &quot;-&quot;??_);_(@_)"/>
    <numFmt numFmtId="167" formatCode="0.0%"/>
    <numFmt numFmtId="168" formatCode="0.0000"/>
    <numFmt numFmtId="169" formatCode="&quot;$&quot;#,##0.00"/>
    <numFmt numFmtId="170" formatCode="#,##0.0"/>
    <numFmt numFmtId="171" formatCode="0.0\ \t\o\ \1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0"/>
      <name val="Arial Narrow"/>
      <family val="2"/>
    </font>
    <font>
      <b/>
      <sz val="11"/>
      <color theme="1"/>
      <name val="Arial Narrow"/>
      <family val="2"/>
    </font>
    <font>
      <b/>
      <sz val="11"/>
      <color theme="0"/>
      <name val="Arial Narrow"/>
      <family val="2"/>
    </font>
    <font>
      <sz val="11"/>
      <color theme="1"/>
      <name val="Arial Narrow"/>
      <family val="2"/>
    </font>
    <font>
      <sz val="11"/>
      <color theme="0"/>
      <name val="Arial Narrow"/>
      <family val="2"/>
    </font>
    <font>
      <b/>
      <sz val="10"/>
      <color theme="1"/>
      <name val="Arial Narrow"/>
      <family val="2"/>
    </font>
    <font>
      <sz val="10"/>
      <color rgb="FF0000FF"/>
      <name val="Arial Narrow"/>
      <family val="2"/>
    </font>
    <font>
      <b/>
      <sz val="11"/>
      <color rgb="FFC00000"/>
      <name val="Arial Narrow"/>
      <family val="2"/>
    </font>
    <font>
      <sz val="11"/>
      <color rgb="FFC00000"/>
      <name val="Arial Narrow"/>
      <family val="2"/>
    </font>
    <font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14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9" fillId="0" borderId="0"/>
    <xf numFmtId="9" fontId="9" fillId="0" borderId="0" applyFont="0" applyFill="0" applyBorder="0" applyAlignment="0" applyProtection="0"/>
  </cellStyleXfs>
  <cellXfs count="140">
    <xf numFmtId="0" fontId="0" fillId="0" borderId="0" xfId="0"/>
    <xf numFmtId="0" fontId="5" fillId="7" borderId="2" xfId="0" applyFont="1" applyFill="1" applyBorder="1"/>
    <xf numFmtId="0" fontId="6" fillId="0" borderId="0" xfId="0" applyFont="1"/>
    <xf numFmtId="0" fontId="5" fillId="7" borderId="3" xfId="0" applyFont="1" applyFill="1" applyBorder="1"/>
    <xf numFmtId="0" fontId="6" fillId="8" borderId="4" xfId="0" applyFont="1" applyFill="1" applyBorder="1"/>
    <xf numFmtId="0" fontId="5" fillId="7" borderId="4" xfId="0" applyFont="1" applyFill="1" applyBorder="1"/>
    <xf numFmtId="0" fontId="6" fillId="8" borderId="5" xfId="0" applyFont="1" applyFill="1" applyBorder="1"/>
    <xf numFmtId="0" fontId="6" fillId="8" borderId="6" xfId="0" applyFont="1" applyFill="1" applyBorder="1" applyAlignment="1">
      <alignment horizontal="left"/>
    </xf>
    <xf numFmtId="0" fontId="6" fillId="8" borderId="7" xfId="0" applyFont="1" applyFill="1" applyBorder="1" applyAlignment="1">
      <alignment horizontal="left"/>
    </xf>
    <xf numFmtId="0" fontId="6" fillId="8" borderId="8" xfId="0" applyFont="1" applyFill="1" applyBorder="1" applyAlignment="1">
      <alignment horizontal="left"/>
    </xf>
    <xf numFmtId="0" fontId="5" fillId="7" borderId="9" xfId="0" applyFont="1" applyFill="1" applyBorder="1"/>
    <xf numFmtId="0" fontId="6" fillId="8" borderId="2" xfId="0" applyFont="1" applyFill="1" applyBorder="1"/>
    <xf numFmtId="0" fontId="6" fillId="8" borderId="10" xfId="0" applyFont="1" applyFill="1" applyBorder="1"/>
    <xf numFmtId="0" fontId="5" fillId="7" borderId="11" xfId="0" applyFont="1" applyFill="1" applyBorder="1"/>
    <xf numFmtId="9" fontId="6" fillId="0" borderId="0" xfId="0" applyNumberFormat="1" applyFont="1"/>
    <xf numFmtId="0" fontId="5" fillId="7" borderId="1" xfId="0" applyFont="1" applyFill="1" applyBorder="1" applyAlignment="1">
      <alignment horizontal="center" vertical="center" wrapText="1"/>
    </xf>
    <xf numFmtId="0" fontId="5" fillId="7" borderId="20" xfId="0" applyFont="1" applyFill="1" applyBorder="1" applyAlignment="1">
      <alignment horizontal="center" vertical="center" wrapText="1"/>
    </xf>
    <xf numFmtId="0" fontId="5" fillId="7" borderId="21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5" fillId="7" borderId="22" xfId="0" applyFont="1" applyFill="1" applyBorder="1" applyAlignment="1">
      <alignment horizontal="center" vertical="center" wrapText="1"/>
    </xf>
    <xf numFmtId="165" fontId="6" fillId="8" borderId="24" xfId="2" applyNumberFormat="1" applyFont="1" applyFill="1" applyBorder="1"/>
    <xf numFmtId="165" fontId="7" fillId="9" borderId="25" xfId="2" applyNumberFormat="1" applyFont="1" applyFill="1" applyBorder="1"/>
    <xf numFmtId="3" fontId="7" fillId="9" borderId="26" xfId="0" applyNumberFormat="1" applyFont="1" applyFill="1" applyBorder="1"/>
    <xf numFmtId="3" fontId="6" fillId="8" borderId="24" xfId="0" applyNumberFormat="1" applyFont="1" applyFill="1" applyBorder="1"/>
    <xf numFmtId="0" fontId="5" fillId="7" borderId="4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6" fillId="8" borderId="24" xfId="0" applyFont="1" applyFill="1" applyBorder="1"/>
    <xf numFmtId="166" fontId="6" fillId="8" borderId="28" xfId="1" applyNumberFormat="1" applyFont="1" applyFill="1" applyBorder="1"/>
    <xf numFmtId="166" fontId="6" fillId="10" borderId="24" xfId="0" applyNumberFormat="1" applyFont="1" applyFill="1" applyBorder="1" applyAlignment="1">
      <alignment horizontal="center" vertical="center" wrapText="1"/>
    </xf>
    <xf numFmtId="165" fontId="6" fillId="10" borderId="24" xfId="2" applyNumberFormat="1" applyFont="1" applyFill="1" applyBorder="1" applyAlignment="1">
      <alignment horizontal="center" vertical="center" wrapText="1"/>
    </xf>
    <xf numFmtId="0" fontId="6" fillId="10" borderId="24" xfId="0" applyFont="1" applyFill="1" applyBorder="1" applyAlignment="1">
      <alignment horizontal="center" vertical="center" wrapText="1"/>
    </xf>
    <xf numFmtId="0" fontId="6" fillId="10" borderId="24" xfId="0" applyNumberFormat="1" applyFont="1" applyFill="1" applyBorder="1" applyAlignment="1">
      <alignment horizontal="center" vertical="center" wrapText="1"/>
    </xf>
    <xf numFmtId="166" fontId="6" fillId="10" borderId="28" xfId="0" applyNumberFormat="1" applyFont="1" applyFill="1" applyBorder="1" applyAlignment="1">
      <alignment horizontal="center" vertical="center" wrapText="1"/>
    </xf>
    <xf numFmtId="164" fontId="6" fillId="8" borderId="24" xfId="2" applyNumberFormat="1" applyFont="1" applyFill="1" applyBorder="1"/>
    <xf numFmtId="164" fontId="6" fillId="8" borderId="24" xfId="0" applyNumberFormat="1" applyFont="1" applyFill="1" applyBorder="1"/>
    <xf numFmtId="0" fontId="6" fillId="10" borderId="28" xfId="0" applyFont="1" applyFill="1" applyBorder="1"/>
    <xf numFmtId="3" fontId="6" fillId="0" borderId="1" xfId="0" applyNumberFormat="1" applyFont="1" applyBorder="1"/>
    <xf numFmtId="164" fontId="6" fillId="0" borderId="1" xfId="0" applyNumberFormat="1" applyFont="1" applyBorder="1"/>
    <xf numFmtId="5" fontId="6" fillId="0" borderId="0" xfId="0" applyNumberFormat="1" applyFont="1"/>
    <xf numFmtId="0" fontId="6" fillId="0" borderId="0" xfId="0" applyNumberFormat="1" applyFont="1"/>
    <xf numFmtId="0" fontId="6" fillId="0" borderId="0" xfId="0" applyFont="1" applyAlignment="1">
      <alignment horizontal="center"/>
    </xf>
    <xf numFmtId="5" fontId="6" fillId="0" borderId="0" xfId="0" applyNumberFormat="1" applyFont="1" applyAlignment="1">
      <alignment horizontal="center"/>
    </xf>
    <xf numFmtId="0" fontId="13" fillId="0" borderId="0" xfId="0" applyFont="1"/>
    <xf numFmtId="0" fontId="14" fillId="2" borderId="0" xfId="4" applyFont="1"/>
    <xf numFmtId="0" fontId="15" fillId="6" borderId="1" xfId="0" applyFont="1" applyFill="1" applyBorder="1" applyAlignment="1">
      <alignment wrapText="1"/>
    </xf>
    <xf numFmtId="0" fontId="13" fillId="0" borderId="0" xfId="0" applyFont="1" applyFill="1"/>
    <xf numFmtId="5" fontId="14" fillId="2" borderId="0" xfId="4" applyNumberFormat="1" applyFont="1"/>
    <xf numFmtId="165" fontId="17" fillId="5" borderId="1" xfId="0" applyNumberFormat="1" applyFont="1" applyFill="1" applyBorder="1" applyAlignment="1">
      <alignment horizontal="center" vertical="center"/>
    </xf>
    <xf numFmtId="166" fontId="17" fillId="5" borderId="1" xfId="0" applyNumberFormat="1" applyFont="1" applyFill="1" applyBorder="1" applyAlignment="1">
      <alignment horizontal="center" vertical="center"/>
    </xf>
    <xf numFmtId="10" fontId="11" fillId="5" borderId="1" xfId="3" applyNumberFormat="1" applyFont="1" applyFill="1" applyBorder="1" applyAlignment="1">
      <alignment horizontal="center" vertical="center"/>
    </xf>
    <xf numFmtId="44" fontId="11" fillId="5" borderId="1" xfId="2" applyFont="1" applyFill="1" applyBorder="1" applyAlignment="1">
      <alignment horizontal="center" vertical="center"/>
    </xf>
    <xf numFmtId="166" fontId="17" fillId="5" borderId="1" xfId="1" applyNumberFormat="1" applyFont="1" applyFill="1" applyBorder="1" applyAlignment="1">
      <alignment horizontal="center" vertical="center"/>
    </xf>
    <xf numFmtId="0" fontId="14" fillId="0" borderId="0" xfId="4" applyFont="1" applyFill="1"/>
    <xf numFmtId="5" fontId="14" fillId="0" borderId="0" xfId="4" applyNumberFormat="1" applyFont="1" applyFill="1"/>
    <xf numFmtId="0" fontId="18" fillId="0" borderId="0" xfId="0" applyFont="1" applyFill="1"/>
    <xf numFmtId="0" fontId="13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67" fontId="17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44" fontId="1" fillId="5" borderId="1" xfId="2" applyFont="1" applyFill="1" applyBorder="1" applyAlignment="1">
      <alignment horizontal="center" vertical="center" wrapText="1"/>
    </xf>
    <xf numFmtId="164" fontId="6" fillId="11" borderId="1" xfId="0" applyNumberFormat="1" applyFont="1" applyFill="1" applyBorder="1"/>
    <xf numFmtId="3" fontId="6" fillId="11" borderId="1" xfId="0" applyNumberFormat="1" applyFont="1" applyFill="1" applyBorder="1"/>
    <xf numFmtId="5" fontId="6" fillId="11" borderId="0" xfId="0" applyNumberFormat="1" applyFont="1" applyFill="1"/>
    <xf numFmtId="0" fontId="6" fillId="11" borderId="0" xfId="0" applyNumberFormat="1" applyFont="1" applyFill="1"/>
    <xf numFmtId="0" fontId="10" fillId="0" borderId="0" xfId="0" applyFont="1" applyFill="1" applyBorder="1" applyAlignment="1">
      <alignment horizontal="left"/>
    </xf>
    <xf numFmtId="165" fontId="0" fillId="0" borderId="0" xfId="2" applyNumberFormat="1" applyFont="1"/>
    <xf numFmtId="3" fontId="16" fillId="0" borderId="1" xfId="0" applyNumberFormat="1" applyFont="1" applyBorder="1" applyAlignment="1">
      <alignment horizontal="center"/>
    </xf>
    <xf numFmtId="0" fontId="0" fillId="0" borderId="0" xfId="0" applyFill="1"/>
    <xf numFmtId="0" fontId="0" fillId="0" borderId="0" xfId="0" applyBorder="1"/>
    <xf numFmtId="0" fontId="19" fillId="0" borderId="0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left" indent="1"/>
    </xf>
    <xf numFmtId="164" fontId="19" fillId="0" borderId="0" xfId="0" applyNumberFormat="1" applyFont="1" applyFill="1" applyBorder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3" fontId="21" fillId="0" borderId="0" xfId="0" applyNumberFormat="1" applyFont="1" applyFill="1" applyBorder="1" applyAlignment="1">
      <alignment horizontal="center"/>
    </xf>
    <xf numFmtId="0" fontId="19" fillId="0" borderId="0" xfId="0" applyFont="1" applyFill="1" applyBorder="1" applyAlignment="1">
      <alignment horizontal="left" wrapText="1" indent="1"/>
    </xf>
    <xf numFmtId="0" fontId="0" fillId="0" borderId="0" xfId="0" applyBorder="1" applyAlignment="1">
      <alignment horizontal="center"/>
    </xf>
    <xf numFmtId="164" fontId="0" fillId="0" borderId="0" xfId="2" applyNumberFormat="1" applyFont="1" applyAlignment="1">
      <alignment horizontal="center"/>
    </xf>
    <xf numFmtId="165" fontId="22" fillId="0" borderId="0" xfId="0" applyNumberFormat="1" applyFont="1"/>
    <xf numFmtId="165" fontId="0" fillId="0" borderId="0" xfId="2" applyNumberFormat="1" applyFont="1" applyBorder="1" applyAlignment="1">
      <alignment horizontal="center"/>
    </xf>
    <xf numFmtId="164" fontId="19" fillId="0" borderId="0" xfId="0" applyNumberFormat="1" applyFont="1" applyFill="1" applyBorder="1" applyAlignment="1">
      <alignment horizontal="center" vertical="center"/>
    </xf>
    <xf numFmtId="164" fontId="6" fillId="0" borderId="1" xfId="0" applyNumberFormat="1" applyFont="1" applyFill="1" applyBorder="1"/>
    <xf numFmtId="3" fontId="6" fillId="0" borderId="1" xfId="0" applyNumberFormat="1" applyFont="1" applyFill="1" applyBorder="1"/>
    <xf numFmtId="5" fontId="6" fillId="0" borderId="0" xfId="0" applyNumberFormat="1" applyFont="1" applyFill="1"/>
    <xf numFmtId="0" fontId="6" fillId="0" borderId="0" xfId="0" applyNumberFormat="1" applyFont="1" applyFill="1"/>
    <xf numFmtId="0" fontId="6" fillId="0" borderId="0" xfId="0" applyFont="1" applyFill="1"/>
    <xf numFmtId="164" fontId="6" fillId="12" borderId="1" xfId="0" applyNumberFormat="1" applyFont="1" applyFill="1" applyBorder="1"/>
    <xf numFmtId="3" fontId="6" fillId="12" borderId="1" xfId="0" applyNumberFormat="1" applyFont="1" applyFill="1" applyBorder="1"/>
    <xf numFmtId="5" fontId="6" fillId="12" borderId="0" xfId="0" applyNumberFormat="1" applyFont="1" applyFill="1"/>
    <xf numFmtId="0" fontId="6" fillId="12" borderId="0" xfId="0" applyNumberFormat="1" applyFont="1" applyFill="1"/>
    <xf numFmtId="164" fontId="0" fillId="0" borderId="0" xfId="0" applyNumberFormat="1" applyBorder="1"/>
    <xf numFmtId="164" fontId="0" fillId="0" borderId="0" xfId="0" applyNumberFormat="1"/>
    <xf numFmtId="168" fontId="0" fillId="0" borderId="0" xfId="0" applyNumberFormat="1" applyBorder="1"/>
    <xf numFmtId="0" fontId="1" fillId="0" borderId="0" xfId="0" applyFont="1" applyFill="1"/>
    <xf numFmtId="169" fontId="19" fillId="0" borderId="0" xfId="0" applyNumberFormat="1" applyFont="1" applyFill="1" applyBorder="1" applyAlignment="1">
      <alignment horizontal="center"/>
    </xf>
    <xf numFmtId="0" fontId="23" fillId="12" borderId="36" xfId="0" applyFont="1" applyFill="1" applyBorder="1" applyAlignment="1">
      <alignment horizontal="center" vertical="center" wrapText="1"/>
    </xf>
    <xf numFmtId="0" fontId="23" fillId="12" borderId="36" xfId="0" applyFont="1" applyFill="1" applyBorder="1" applyAlignment="1">
      <alignment horizontal="center" vertical="center"/>
    </xf>
    <xf numFmtId="0" fontId="26" fillId="0" borderId="36" xfId="0" applyFont="1" applyBorder="1" applyAlignment="1">
      <alignment horizontal="center" vertical="center"/>
    </xf>
    <xf numFmtId="0" fontId="26" fillId="0" borderId="36" xfId="0" applyFont="1" applyBorder="1" applyAlignment="1">
      <alignment horizontal="left" vertical="center"/>
    </xf>
    <xf numFmtId="164" fontId="26" fillId="0" borderId="36" xfId="0" applyNumberFormat="1" applyFont="1" applyBorder="1" applyAlignment="1">
      <alignment horizontal="center" vertical="center"/>
    </xf>
    <xf numFmtId="170" fontId="26" fillId="0" borderId="36" xfId="0" applyNumberFormat="1" applyFont="1" applyBorder="1" applyAlignment="1">
      <alignment horizontal="center" vertical="center"/>
    </xf>
    <xf numFmtId="3" fontId="26" fillId="0" borderId="36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3" fontId="23" fillId="12" borderId="36" xfId="0" applyNumberFormat="1" applyFont="1" applyFill="1" applyBorder="1" applyAlignment="1">
      <alignment horizontal="center"/>
    </xf>
    <xf numFmtId="0" fontId="25" fillId="12" borderId="36" xfId="0" applyFont="1" applyFill="1" applyBorder="1" applyAlignment="1">
      <alignment horizontal="center" wrapText="1"/>
    </xf>
    <xf numFmtId="0" fontId="23" fillId="12" borderId="38" xfId="0" applyFont="1" applyFill="1" applyBorder="1" applyAlignment="1">
      <alignment horizontal="center" vertical="center" wrapText="1"/>
    </xf>
    <xf numFmtId="0" fontId="26" fillId="0" borderId="39" xfId="0" applyFont="1" applyBorder="1" applyAlignment="1">
      <alignment horizontal="center" vertical="center"/>
    </xf>
    <xf numFmtId="0" fontId="26" fillId="0" borderId="39" xfId="0" applyFont="1" applyBorder="1" applyAlignment="1">
      <alignment horizontal="left" vertical="center"/>
    </xf>
    <xf numFmtId="0" fontId="23" fillId="12" borderId="40" xfId="0" applyFont="1" applyFill="1" applyBorder="1" applyAlignment="1">
      <alignment horizontal="center" vertical="center" wrapText="1"/>
    </xf>
    <xf numFmtId="170" fontId="26" fillId="0" borderId="39" xfId="0" applyNumberFormat="1" applyFont="1" applyBorder="1" applyAlignment="1">
      <alignment horizontal="center" vertical="center"/>
    </xf>
    <xf numFmtId="0" fontId="23" fillId="12" borderId="37" xfId="0" applyFont="1" applyFill="1" applyBorder="1" applyAlignment="1">
      <alignment horizontal="center" vertical="center" wrapText="1"/>
    </xf>
    <xf numFmtId="0" fontId="23" fillId="12" borderId="0" xfId="0" applyFont="1" applyFill="1" applyBorder="1" applyAlignment="1">
      <alignment horizontal="center" vertical="center" wrapText="1"/>
    </xf>
    <xf numFmtId="0" fontId="24" fillId="12" borderId="0" xfId="0" applyFont="1" applyFill="1" applyBorder="1" applyAlignment="1">
      <alignment horizontal="center" vertical="center" wrapText="1"/>
    </xf>
    <xf numFmtId="164" fontId="23" fillId="12" borderId="36" xfId="0" applyNumberFormat="1" applyFont="1" applyFill="1" applyBorder="1" applyAlignment="1">
      <alignment horizontal="center" vertical="center"/>
    </xf>
    <xf numFmtId="171" fontId="23" fillId="12" borderId="36" xfId="0" applyNumberFormat="1" applyFont="1" applyFill="1" applyBorder="1" applyAlignment="1">
      <alignment horizontal="center" vertical="center"/>
    </xf>
    <xf numFmtId="3" fontId="23" fillId="12" borderId="36" xfId="0" applyNumberFormat="1" applyFont="1" applyFill="1" applyBorder="1" applyAlignment="1">
      <alignment horizontal="center" vertical="center"/>
    </xf>
    <xf numFmtId="0" fontId="23" fillId="12" borderId="37" xfId="0" applyFont="1" applyFill="1" applyBorder="1" applyAlignment="1">
      <alignment horizontal="center" vertical="center"/>
    </xf>
    <xf numFmtId="0" fontId="23" fillId="12" borderId="38" xfId="0" applyFont="1" applyFill="1" applyBorder="1" applyAlignment="1">
      <alignment horizontal="center" vertical="center"/>
    </xf>
    <xf numFmtId="0" fontId="12" fillId="3" borderId="0" xfId="5" applyFont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13" fillId="4" borderId="1" xfId="0" applyFont="1" applyFill="1" applyBorder="1" applyAlignment="1">
      <alignment horizontal="center" wrapText="1"/>
    </xf>
    <xf numFmtId="0" fontId="6" fillId="7" borderId="12" xfId="0" applyFont="1" applyFill="1" applyBorder="1" applyAlignment="1">
      <alignment horizontal="center" wrapText="1"/>
    </xf>
    <xf numFmtId="0" fontId="6" fillId="7" borderId="13" xfId="0" applyFont="1" applyFill="1" applyBorder="1" applyAlignment="1">
      <alignment horizont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7" borderId="19" xfId="0" applyFont="1" applyFill="1" applyBorder="1" applyAlignment="1">
      <alignment horizontal="center" vertical="center" wrapText="1"/>
    </xf>
    <xf numFmtId="0" fontId="5" fillId="7" borderId="23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14" xfId="0" applyFont="1" applyFill="1" applyBorder="1" applyAlignment="1">
      <alignment horizontal="center" vertical="center" wrapText="1"/>
    </xf>
    <xf numFmtId="0" fontId="5" fillId="7" borderId="15" xfId="0" applyFont="1" applyFill="1" applyBorder="1" applyAlignment="1">
      <alignment horizontal="center" vertical="center" wrapText="1"/>
    </xf>
    <xf numFmtId="0" fontId="5" fillId="7" borderId="16" xfId="0" applyFont="1" applyFill="1" applyBorder="1" applyAlignment="1">
      <alignment horizontal="center" vertical="center" wrapText="1"/>
    </xf>
    <xf numFmtId="0" fontId="5" fillId="7" borderId="17" xfId="0" applyFont="1" applyFill="1" applyBorder="1" applyAlignment="1">
      <alignment horizontal="center" vertical="center" wrapText="1"/>
    </xf>
    <xf numFmtId="0" fontId="5" fillId="7" borderId="18" xfId="0" applyFont="1" applyFill="1" applyBorder="1" applyAlignment="1">
      <alignment horizontal="center" vertical="center" wrapText="1"/>
    </xf>
    <xf numFmtId="0" fontId="5" fillId="7" borderId="27" xfId="0" applyFont="1" applyFill="1" applyBorder="1" applyAlignment="1">
      <alignment horizontal="center" vertical="center" wrapText="1"/>
    </xf>
    <xf numFmtId="0" fontId="5" fillId="7" borderId="29" xfId="0" applyFont="1" applyFill="1" applyBorder="1" applyAlignment="1">
      <alignment horizontal="center" vertical="center" wrapText="1"/>
    </xf>
    <xf numFmtId="0" fontId="6" fillId="0" borderId="30" xfId="0" applyFont="1" applyBorder="1" applyAlignment="1">
      <alignment horizontal="left" vertical="center" wrapText="1"/>
    </xf>
    <xf numFmtId="0" fontId="6" fillId="0" borderId="31" xfId="0" applyFont="1" applyBorder="1" applyAlignment="1">
      <alignment horizontal="left" vertical="center" wrapText="1"/>
    </xf>
    <xf numFmtId="0" fontId="6" fillId="0" borderId="32" xfId="0" applyFont="1" applyBorder="1" applyAlignment="1">
      <alignment horizontal="left" vertical="center" wrapText="1"/>
    </xf>
    <xf numFmtId="0" fontId="6" fillId="0" borderId="33" xfId="0" applyFont="1" applyBorder="1" applyAlignment="1">
      <alignment horizontal="left" vertical="center" wrapText="1"/>
    </xf>
    <xf numFmtId="0" fontId="6" fillId="0" borderId="34" xfId="0" applyFont="1" applyBorder="1" applyAlignment="1">
      <alignment horizontal="left" vertical="center" wrapText="1"/>
    </xf>
    <xf numFmtId="0" fontId="6" fillId="0" borderId="35" xfId="0" applyFont="1" applyBorder="1" applyAlignment="1">
      <alignment horizontal="left" vertical="center" wrapText="1"/>
    </xf>
    <xf numFmtId="0" fontId="5" fillId="7" borderId="1" xfId="0" applyFont="1" applyFill="1" applyBorder="1" applyAlignment="1">
      <alignment horizontal="center" vertical="center" wrapText="1"/>
    </xf>
  </cellXfs>
  <cellStyles count="14">
    <cellStyle name="60% - Accent1" xfId="4" builtinId="32"/>
    <cellStyle name="60% - Accent4" xfId="5" builtinId="44"/>
    <cellStyle name="Comma" xfId="1" builtinId="3"/>
    <cellStyle name="Comma 2" xfId="6" xr:uid="{00000000-0005-0000-0000-000003000000}"/>
    <cellStyle name="Comma 2 2" xfId="7" xr:uid="{00000000-0005-0000-0000-000004000000}"/>
    <cellStyle name="Comma 2 3" xfId="8" xr:uid="{00000000-0005-0000-0000-000005000000}"/>
    <cellStyle name="Currency" xfId="2" builtinId="4"/>
    <cellStyle name="Currency 2" xfId="9" xr:uid="{00000000-0005-0000-0000-000007000000}"/>
    <cellStyle name="Normal" xfId="0" builtinId="0"/>
    <cellStyle name="Normal 2" xfId="10" xr:uid="{00000000-0005-0000-0000-000009000000}"/>
    <cellStyle name="Normal 2 2" xfId="11" xr:uid="{00000000-0005-0000-0000-00000A000000}"/>
    <cellStyle name="Normal 2 3" xfId="12" xr:uid="{00000000-0005-0000-0000-00000B000000}"/>
    <cellStyle name="Percent" xfId="3" builtinId="5"/>
    <cellStyle name="Percent 2" xfId="13" xr:uid="{00000000-0005-0000-0000-00000D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>
                <a:latin typeface="Arial" panose="020B0604020202020204" pitchFamily="34" charset="0"/>
                <a:cs typeface="Arial" panose="020B0604020202020204" pitchFamily="34" charset="0"/>
              </a:defRPr>
            </a:pPr>
            <a:r>
              <a:rPr lang="en-US" sz="1400">
                <a:latin typeface="Arial" panose="020B0604020202020204" pitchFamily="34" charset="0"/>
                <a:cs typeface="Arial" panose="020B0604020202020204" pitchFamily="34" charset="0"/>
              </a:rPr>
              <a:t>Response Curve: HCP MCM</a:t>
            </a:r>
          </a:p>
        </c:rich>
      </c:tx>
      <c:layout>
        <c:manualLayout>
          <c:xMode val="edge"/>
          <c:yMode val="edge"/>
          <c:x val="0.22003162555041356"/>
          <c:y val="4.428147832872242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0461324575189843"/>
          <c:y val="0.15277917287366105"/>
          <c:w val="0.69167370145026763"/>
          <c:h val="0.64334482514010072"/>
        </c:manualLayout>
      </c:layout>
      <c:scatterChart>
        <c:scatterStyle val="lineMarker"/>
        <c:varyColors val="0"/>
        <c:ser>
          <c:idx val="0"/>
          <c:order val="0"/>
          <c:tx>
            <c:v>Current Values</c:v>
          </c:tx>
          <c:spPr>
            <a:ln w="44450">
              <a:solidFill>
                <a:srgbClr val="C00000"/>
              </a:solidFill>
            </a:ln>
          </c:spPr>
          <c:marker>
            <c:symbol val="diamond"/>
            <c:size val="9"/>
            <c:spPr>
              <a:solidFill>
                <a:srgbClr val="C00000"/>
              </a:solidFill>
              <a:ln w="19050">
                <a:solidFill>
                  <a:srgbClr val="C00000"/>
                </a:solidFill>
              </a:ln>
            </c:spPr>
          </c:marker>
          <c:xVal>
            <c:numRef>
              <c:f>'HCP MCM SCurve'!$B$12</c:f>
              <c:numCache>
                <c:formatCode>_("$"* #,##0_);_("$"* \(#,##0\);_("$"* "-"??_);_(@_)</c:formatCode>
                <c:ptCount val="1"/>
                <c:pt idx="0">
                  <c:v>10503728.719999999</c:v>
                </c:pt>
              </c:numCache>
            </c:numRef>
          </c:xVal>
          <c:yVal>
            <c:numRef>
              <c:f>'HCP MCM SCurve'!$C$12</c:f>
              <c:numCache>
                <c:formatCode>#,##0</c:formatCode>
                <c:ptCount val="1"/>
                <c:pt idx="0">
                  <c:v>288339.09761974245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D5-4932-86DD-778C0A9F1B7E}"/>
            </c:ext>
          </c:extLst>
        </c:ser>
        <c:ser>
          <c:idx val="1"/>
          <c:order val="1"/>
          <c:tx>
            <c:strRef>
              <c:f>'HCP MCM SCurve'!$D$3</c:f>
              <c:strCache>
                <c:ptCount val="1"/>
                <c:pt idx="0">
                  <c:v>Incr. Rx</c:v>
                </c:pt>
              </c:strCache>
            </c:strRef>
          </c:tx>
          <c:spPr>
            <a:ln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'HCP MCM SCurve'!$A$22:$A$42</c:f>
              <c:numCache>
                <c:formatCode>"$"#,##0</c:formatCode>
                <c:ptCount val="21"/>
                <c:pt idx="0">
                  <c:v>0</c:v>
                </c:pt>
                <c:pt idx="1">
                  <c:v>900000</c:v>
                </c:pt>
                <c:pt idx="2">
                  <c:v>1800000</c:v>
                </c:pt>
                <c:pt idx="3">
                  <c:v>2700000</c:v>
                </c:pt>
                <c:pt idx="4">
                  <c:v>3600000</c:v>
                </c:pt>
                <c:pt idx="5">
                  <c:v>4500000</c:v>
                </c:pt>
                <c:pt idx="6">
                  <c:v>5400000</c:v>
                </c:pt>
                <c:pt idx="7">
                  <c:v>6300000</c:v>
                </c:pt>
                <c:pt idx="8">
                  <c:v>7200000</c:v>
                </c:pt>
                <c:pt idx="9">
                  <c:v>8100000</c:v>
                </c:pt>
                <c:pt idx="10">
                  <c:v>9000000</c:v>
                </c:pt>
                <c:pt idx="11">
                  <c:v>9900000</c:v>
                </c:pt>
                <c:pt idx="12">
                  <c:v>10800000</c:v>
                </c:pt>
                <c:pt idx="13">
                  <c:v>11700000</c:v>
                </c:pt>
                <c:pt idx="14">
                  <c:v>12600000</c:v>
                </c:pt>
                <c:pt idx="15">
                  <c:v>13500000</c:v>
                </c:pt>
                <c:pt idx="16">
                  <c:v>14400000</c:v>
                </c:pt>
                <c:pt idx="17">
                  <c:v>15300000</c:v>
                </c:pt>
                <c:pt idx="18">
                  <c:v>16200000</c:v>
                </c:pt>
                <c:pt idx="19">
                  <c:v>17100000</c:v>
                </c:pt>
                <c:pt idx="20">
                  <c:v>18000000</c:v>
                </c:pt>
              </c:numCache>
            </c:numRef>
          </c:xVal>
          <c:yVal>
            <c:numRef>
              <c:f>'HCP MCM SCurve'!$B$22:$B$42</c:f>
              <c:numCache>
                <c:formatCode>#,##0</c:formatCode>
                <c:ptCount val="21"/>
                <c:pt idx="0">
                  <c:v>0</c:v>
                </c:pt>
                <c:pt idx="1">
                  <c:v>29934.758115198463</c:v>
                </c:pt>
                <c:pt idx="2">
                  <c:v>58815.187786469236</c:v>
                </c:pt>
                <c:pt idx="3">
                  <c:v>86662.821693458594</c:v>
                </c:pt>
                <c:pt idx="4">
                  <c:v>113500.09579651337</c:v>
                </c:pt>
                <c:pt idx="5">
                  <c:v>139350.20967428107</c:v>
                </c:pt>
                <c:pt idx="6">
                  <c:v>164236.99431898072</c:v>
                </c:pt>
                <c:pt idx="7">
                  <c:v>188184.78761939146</c:v>
                </c:pt>
                <c:pt idx="8">
                  <c:v>211218.3176657157</c:v>
                </c:pt>
                <c:pt idx="9">
                  <c:v>233362.59392449539</c:v>
                </c:pt>
                <c:pt idx="10">
                  <c:v>254642.80625574663</c:v>
                </c:pt>
                <c:pt idx="11">
                  <c:v>275084.23167799599</c:v>
                </c:pt>
                <c:pt idx="12">
                  <c:v>294712.14872978255</c:v>
                </c:pt>
                <c:pt idx="13">
                  <c:v>313551.75922773965</c:v>
                </c:pt>
                <c:pt idx="14">
                  <c:v>331628.11718124803</c:v>
                </c:pt>
                <c:pt idx="15">
                  <c:v>348966.06459113024</c:v>
                </c:pt>
                <c:pt idx="16">
                  <c:v>365590.17383428197</c:v>
                </c:pt>
                <c:pt idx="17">
                  <c:v>381524.69631698076</c:v>
                </c:pt>
                <c:pt idx="18">
                  <c:v>396793.51706612948</c:v>
                </c:pt>
                <c:pt idx="19">
                  <c:v>411420.11491927225</c:v>
                </c:pt>
                <c:pt idx="20">
                  <c:v>425427.52797020506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D5-4932-86DD-778C0A9F1B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720320"/>
        <c:axId val="493722624"/>
      </c:scatterChart>
      <c:valAx>
        <c:axId val="493720320"/>
        <c:scaling>
          <c:orientation val="minMax"/>
          <c:min val="0"/>
        </c:scaling>
        <c:delete val="0"/>
        <c:axPos val="b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Promotion Spend ($ MM)</a:t>
                </a:r>
              </a:p>
            </c:rich>
          </c:tx>
          <c:layout>
            <c:manualLayout>
              <c:xMode val="edge"/>
              <c:yMode val="edge"/>
              <c:x val="0.38385556065604381"/>
              <c:y val="0.9191853585869334"/>
            </c:manualLayout>
          </c:layout>
          <c:overlay val="0"/>
        </c:title>
        <c:numFmt formatCode="_(&quot;$&quot;* #,##0_);_(&quot;$&quot;* \(#,##0\);_(&quot;$&quot;* &quot;-&quot;??_);_(@_)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93722624"/>
        <c:crosses val="autoZero"/>
        <c:crossBetween val="midCat"/>
        <c:dispUnits>
          <c:builtInUnit val="millions"/>
        </c:dispUnits>
      </c:valAx>
      <c:valAx>
        <c:axId val="493722624"/>
        <c:scaling>
          <c:orientation val="minMax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Incremental Rx</a:t>
                </a:r>
              </a:p>
            </c:rich>
          </c:tx>
          <c:layout>
            <c:manualLayout>
              <c:xMode val="edge"/>
              <c:yMode val="edge"/>
              <c:x val="2.3445648839349627E-2"/>
              <c:y val="0.30594670581431554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crossAx val="493720320"/>
        <c:crosses val="autoZero"/>
        <c:crossBetween val="midCat"/>
        <c:dispUnits>
          <c:builtInUnit val="thousands"/>
          <c:dispUnitsLbl/>
        </c:dispUnits>
      </c:valAx>
      <c:spPr>
        <a:noFill/>
      </c:spPr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100" b="0"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601980</xdr:colOff>
      <xdr:row>18</xdr:row>
      <xdr:rowOff>123826</xdr:rowOff>
    </xdr:from>
    <xdr:to>
      <xdr:col>11</xdr:col>
      <xdr:colOff>76201</xdr:colOff>
      <xdr:row>40</xdr:row>
      <xdr:rowOff>85726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arketing%20Mix%20PI/ROI%20Meta%20Analysis/Current%20Month%20ROI%20Reporting/Promo_ROI_Inputs_w_MVD-Curr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 - how to enter data"/>
      <sheetName val="Drop Down Allowed Values"/>
      <sheetName val="MVD Dose Lift - Pretax"/>
      <sheetName val="Allowed Value Explanations"/>
      <sheetName val="Exp Tax Rate"/>
      <sheetName val="NRx Lift - Aftertax"/>
      <sheetName val="Confounding Results (Excluded)"/>
      <sheetName val="NO ROI CALC"/>
      <sheetName val="FYI email - no discernable Lift"/>
      <sheetName val="count"/>
      <sheetName val="Sheet4"/>
    </sheetNames>
    <sheetDataSet>
      <sheetData sheetId="0"/>
      <sheetData sheetId="1">
        <row r="7">
          <cell r="B7" t="str">
            <v>AccentHealth</v>
          </cell>
        </row>
      </sheetData>
      <sheetData sheetId="2">
        <row r="116">
          <cell r="E116" t="str">
            <v>PatientPoint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showGridLines="0" topLeftCell="A7" zoomScaleNormal="100" workbookViewId="0">
      <selection activeCell="D21" sqref="D21"/>
    </sheetView>
  </sheetViews>
  <sheetFormatPr defaultColWidth="11.85546875" defaultRowHeight="15" x14ac:dyDescent="0.25"/>
  <cols>
    <col min="1" max="1" width="9.28515625" bestFit="1" customWidth="1"/>
    <col min="2" max="2" width="11" bestFit="1" customWidth="1"/>
    <col min="3" max="3" width="31.28515625" customWidth="1"/>
    <col min="4" max="4" width="22.85546875" bestFit="1" customWidth="1"/>
    <col min="5" max="5" width="17.7109375" customWidth="1"/>
    <col min="6" max="6" width="11.7109375" customWidth="1"/>
    <col min="7" max="7" width="14.5703125" bestFit="1" customWidth="1"/>
    <col min="8" max="8" width="14.7109375" bestFit="1" customWidth="1"/>
    <col min="9" max="9" width="26.42578125" bestFit="1" customWidth="1"/>
    <col min="10" max="10" width="50.28515625" customWidth="1"/>
  </cols>
  <sheetData>
    <row r="1" spans="1:11" ht="21" customHeight="1" x14ac:dyDescent="0.25">
      <c r="B1" s="67"/>
      <c r="C1" s="67"/>
      <c r="D1" s="67"/>
    </row>
    <row r="2" spans="1:11" x14ac:dyDescent="0.25">
      <c r="B2" s="64"/>
    </row>
    <row r="3" spans="1:11" ht="30" customHeight="1" x14ac:dyDescent="0.25">
      <c r="B3" s="110" t="s">
        <v>0</v>
      </c>
      <c r="C3" s="110" t="s">
        <v>52</v>
      </c>
      <c r="D3" s="107" t="s">
        <v>83</v>
      </c>
      <c r="E3" s="110" t="s">
        <v>86</v>
      </c>
      <c r="F3" s="104" t="s">
        <v>84</v>
      </c>
      <c r="G3" s="94" t="s">
        <v>85</v>
      </c>
      <c r="H3" s="95" t="s">
        <v>58</v>
      </c>
      <c r="I3" s="109" t="s">
        <v>66</v>
      </c>
      <c r="J3" s="111" t="s">
        <v>51</v>
      </c>
    </row>
    <row r="4" spans="1:11" ht="18" customHeight="1" x14ac:dyDescent="0.25">
      <c r="A4" s="79"/>
      <c r="B4" s="105" t="s">
        <v>69</v>
      </c>
      <c r="C4" s="106" t="s">
        <v>78</v>
      </c>
      <c r="D4" s="98">
        <v>3733367.8499999996</v>
      </c>
      <c r="E4" s="108">
        <v>7.3501091047676113</v>
      </c>
      <c r="F4" s="98">
        <v>225.94</v>
      </c>
      <c r="G4" s="98">
        <f>E4*D4</f>
        <v>27440661.025731679</v>
      </c>
      <c r="H4" s="100">
        <f>G4/F4</f>
        <v>121451.0977504279</v>
      </c>
      <c r="I4" s="100">
        <v>2022</v>
      </c>
      <c r="J4" s="101"/>
    </row>
    <row r="5" spans="1:11" ht="18" customHeight="1" x14ac:dyDescent="0.25">
      <c r="A5" s="79"/>
      <c r="B5" s="96" t="s">
        <v>69</v>
      </c>
      <c r="C5" s="97" t="s">
        <v>79</v>
      </c>
      <c r="D5" s="98">
        <v>689500</v>
      </c>
      <c r="E5" s="99">
        <v>4.833011280505624</v>
      </c>
      <c r="F5" s="98">
        <v>225.94</v>
      </c>
      <c r="G5" s="98">
        <f t="shared" ref="G5:G10" si="0">E5*D5</f>
        <v>3332361.2779086279</v>
      </c>
      <c r="H5" s="100">
        <f t="shared" ref="H5:H9" si="1">G5/F5</f>
        <v>14748.877037747314</v>
      </c>
      <c r="I5" s="100">
        <v>2022</v>
      </c>
      <c r="J5" s="101"/>
    </row>
    <row r="6" spans="1:11" ht="18" customHeight="1" x14ac:dyDescent="0.25">
      <c r="A6" s="79"/>
      <c r="B6" s="96" t="s">
        <v>69</v>
      </c>
      <c r="C6" s="97" t="s">
        <v>80</v>
      </c>
      <c r="D6" s="98">
        <v>4583333.33</v>
      </c>
      <c r="E6" s="99">
        <v>6.0021188919621453</v>
      </c>
      <c r="F6" s="98">
        <v>225.94</v>
      </c>
      <c r="G6" s="98">
        <f t="shared" si="0"/>
        <v>27509711.56815277</v>
      </c>
      <c r="H6" s="100">
        <f t="shared" si="1"/>
        <v>121756.71226056817</v>
      </c>
      <c r="I6" s="100">
        <v>2022</v>
      </c>
      <c r="J6" s="101"/>
    </row>
    <row r="7" spans="1:11" ht="18" customHeight="1" x14ac:dyDescent="0.25">
      <c r="A7" s="79"/>
      <c r="B7" s="96" t="s">
        <v>69</v>
      </c>
      <c r="C7" s="97" t="s">
        <v>67</v>
      </c>
      <c r="D7" s="98">
        <v>750000</v>
      </c>
      <c r="E7" s="99">
        <v>5.5731395384075011</v>
      </c>
      <c r="F7" s="98">
        <v>225.94</v>
      </c>
      <c r="G7" s="98">
        <f t="shared" si="0"/>
        <v>4179854.6538056256</v>
      </c>
      <c r="H7" s="100">
        <f t="shared" si="1"/>
        <v>18499.843559376939</v>
      </c>
      <c r="I7" s="100">
        <v>2022</v>
      </c>
      <c r="J7" s="101"/>
    </row>
    <row r="8" spans="1:11" ht="18" customHeight="1" x14ac:dyDescent="0.25">
      <c r="A8" s="79"/>
      <c r="B8" s="96" t="s">
        <v>69</v>
      </c>
      <c r="C8" s="97" t="s">
        <v>81</v>
      </c>
      <c r="D8" s="98">
        <v>215858.86</v>
      </c>
      <c r="E8" s="99">
        <v>6.2023056243025856</v>
      </c>
      <c r="F8" s="98">
        <v>225.94</v>
      </c>
      <c r="G8" s="98">
        <f t="shared" si="0"/>
        <v>1338822.6214335444</v>
      </c>
      <c r="H8" s="100">
        <f>G8/F8</f>
        <v>5925.5670595447664</v>
      </c>
      <c r="I8" s="100">
        <v>2022</v>
      </c>
      <c r="J8" s="101" t="s">
        <v>74</v>
      </c>
    </row>
    <row r="9" spans="1:11" ht="18" customHeight="1" x14ac:dyDescent="0.25">
      <c r="A9" s="79"/>
      <c r="B9" s="96" t="s">
        <v>69</v>
      </c>
      <c r="C9" s="97" t="s">
        <v>82</v>
      </c>
      <c r="D9" s="98">
        <v>45166.679999999993</v>
      </c>
      <c r="E9" s="99">
        <v>6.2023056243025856</v>
      </c>
      <c r="F9" s="98">
        <v>225.94</v>
      </c>
      <c r="G9" s="98">
        <f t="shared" si="0"/>
        <v>280137.55339507508</v>
      </c>
      <c r="H9" s="100">
        <f t="shared" si="1"/>
        <v>1239.8758670225507</v>
      </c>
      <c r="I9" s="100">
        <v>2022</v>
      </c>
      <c r="J9" s="101" t="s">
        <v>74</v>
      </c>
    </row>
    <row r="10" spans="1:11" ht="18" customHeight="1" x14ac:dyDescent="0.25">
      <c r="A10" s="79"/>
      <c r="B10" s="96" t="s">
        <v>69</v>
      </c>
      <c r="C10" s="97" t="str">
        <f>'[1]MVD Dose Lift - Pretax'!$E$116</f>
        <v>PatientPoint</v>
      </c>
      <c r="D10" s="98">
        <v>486502</v>
      </c>
      <c r="E10" s="99">
        <v>2.190714561866701</v>
      </c>
      <c r="F10" s="98">
        <v>225.94</v>
      </c>
      <c r="G10" s="98">
        <f t="shared" si="0"/>
        <v>1065787.0157772738</v>
      </c>
      <c r="H10" s="100">
        <f>G10/F10</f>
        <v>4717.1240850547656</v>
      </c>
      <c r="I10" s="100">
        <v>2022</v>
      </c>
      <c r="J10" s="101" t="s">
        <v>77</v>
      </c>
    </row>
    <row r="11" spans="1:11" ht="18" customHeight="1" x14ac:dyDescent="0.25">
      <c r="B11" s="115" t="s">
        <v>64</v>
      </c>
      <c r="C11" s="116" t="s">
        <v>64</v>
      </c>
      <c r="D11" s="112">
        <f>SUM(D4:D10)</f>
        <v>10503728.719999999</v>
      </c>
      <c r="E11" s="113">
        <f>G11/D11</f>
        <v>6.2023056243025865</v>
      </c>
      <c r="F11" s="112"/>
      <c r="G11" s="112">
        <f>SUM(G4:G10)</f>
        <v>65147335.716204599</v>
      </c>
      <c r="H11" s="114">
        <f>SUM(H4:H10)</f>
        <v>288339.09761974245</v>
      </c>
      <c r="I11" s="102"/>
      <c r="J11" s="103"/>
    </row>
    <row r="13" spans="1:11" x14ac:dyDescent="0.25">
      <c r="C13" t="s">
        <v>68</v>
      </c>
      <c r="D13" s="90">
        <f>SUM(D5:D10)</f>
        <v>6770360.8700000001</v>
      </c>
      <c r="G13" s="90">
        <f>SUM(G5:G10)</f>
        <v>37706674.690472916</v>
      </c>
    </row>
    <row r="14" spans="1:11" x14ac:dyDescent="0.25">
      <c r="B14" s="68"/>
      <c r="C14" s="68"/>
      <c r="D14" s="89"/>
      <c r="E14" s="68"/>
      <c r="F14" s="68"/>
      <c r="G14" s="91"/>
      <c r="H14" s="68"/>
      <c r="I14" s="68"/>
      <c r="J14" s="68"/>
      <c r="K14" s="68"/>
    </row>
    <row r="15" spans="1:11" ht="15.75" x14ac:dyDescent="0.25">
      <c r="B15" s="69"/>
      <c r="C15" s="70"/>
      <c r="D15" s="71"/>
      <c r="E15" s="72"/>
      <c r="F15" s="93"/>
      <c r="G15" s="71"/>
      <c r="H15" s="73"/>
      <c r="I15" s="73"/>
      <c r="J15" s="74"/>
      <c r="K15" s="68"/>
    </row>
    <row r="16" spans="1:11" x14ac:dyDescent="0.25">
      <c r="B16" s="68"/>
      <c r="C16" s="68"/>
      <c r="D16" s="68"/>
      <c r="E16" s="68"/>
      <c r="F16" s="68"/>
      <c r="G16" s="68"/>
      <c r="H16" s="68"/>
      <c r="I16" s="68"/>
      <c r="J16" s="68"/>
      <c r="K16" s="68"/>
    </row>
    <row r="17" spans="2:11" x14ac:dyDescent="0.25">
      <c r="B17" s="68"/>
      <c r="C17" s="75"/>
      <c r="D17" s="75"/>
      <c r="E17" s="68"/>
      <c r="F17" s="68"/>
      <c r="H17" s="65"/>
      <c r="I17" s="68"/>
      <c r="J17" s="68"/>
      <c r="K17" s="68"/>
    </row>
    <row r="18" spans="2:11" x14ac:dyDescent="0.25">
      <c r="C18" s="76"/>
      <c r="D18" s="76"/>
      <c r="H18" s="65"/>
    </row>
    <row r="19" spans="2:11" x14ac:dyDescent="0.25">
      <c r="H19" s="65"/>
    </row>
    <row r="20" spans="2:11" x14ac:dyDescent="0.25">
      <c r="H20" s="65"/>
    </row>
    <row r="21" spans="2:11" x14ac:dyDescent="0.25">
      <c r="H21" s="65"/>
    </row>
    <row r="22" spans="2:11" x14ac:dyDescent="0.25">
      <c r="H22" s="65"/>
    </row>
    <row r="23" spans="2:11" x14ac:dyDescent="0.25">
      <c r="B23" s="68"/>
      <c r="C23" s="68"/>
      <c r="D23" s="68"/>
      <c r="H23" s="65"/>
    </row>
    <row r="24" spans="2:11" x14ac:dyDescent="0.25">
      <c r="B24" s="68"/>
      <c r="C24" s="68"/>
      <c r="D24" s="68"/>
      <c r="H24" s="65"/>
    </row>
    <row r="25" spans="2:11" x14ac:dyDescent="0.25">
      <c r="B25" s="78"/>
      <c r="C25" s="78"/>
      <c r="D25" s="78"/>
      <c r="H25" s="65"/>
    </row>
    <row r="26" spans="2:11" x14ac:dyDescent="0.25">
      <c r="B26" s="68"/>
      <c r="C26" s="68"/>
      <c r="D26" s="68"/>
      <c r="H26" s="77"/>
    </row>
  </sheetData>
  <mergeCells count="1">
    <mergeCell ref="B11:C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"/>
  <sheetViews>
    <sheetView showGridLines="0" zoomScaleNormal="100" workbookViewId="0">
      <selection activeCell="L5" sqref="L5"/>
    </sheetView>
  </sheetViews>
  <sheetFormatPr defaultColWidth="9.140625" defaultRowHeight="16.5" x14ac:dyDescent="0.3"/>
  <cols>
    <col min="1" max="1" width="6" style="42" bestFit="1" customWidth="1"/>
    <col min="2" max="2" width="8" style="42" bestFit="1" customWidth="1"/>
    <col min="3" max="3" width="40.28515625" style="42" bestFit="1" customWidth="1"/>
    <col min="4" max="4" width="7.28515625" style="42" bestFit="1" customWidth="1"/>
    <col min="5" max="5" width="4.5703125" style="42" customWidth="1"/>
    <col min="6" max="6" width="18" style="42" bestFit="1" customWidth="1"/>
    <col min="7" max="7" width="3.5703125" style="42" customWidth="1"/>
    <col min="8" max="8" width="14.140625" style="42" bestFit="1" customWidth="1"/>
    <col min="9" max="9" width="12.28515625" style="42" customWidth="1"/>
    <col min="10" max="10" width="12.140625" style="42" customWidth="1"/>
    <col min="11" max="11" width="14.28515625" style="42" customWidth="1"/>
    <col min="12" max="12" width="15.140625" style="42" customWidth="1"/>
    <col min="13" max="13" width="11.7109375" style="42" customWidth="1"/>
    <col min="14" max="16384" width="9.140625" style="42"/>
  </cols>
  <sheetData>
    <row r="1" spans="1:13" x14ac:dyDescent="0.3">
      <c r="A1" s="117" t="s">
        <v>56</v>
      </c>
      <c r="B1" s="117"/>
      <c r="C1" s="117"/>
      <c r="D1" s="117"/>
      <c r="E1" s="117"/>
      <c r="F1" s="117"/>
      <c r="G1" s="117"/>
      <c r="H1" s="117"/>
      <c r="I1" s="117"/>
      <c r="J1" s="117"/>
    </row>
    <row r="3" spans="1:13" x14ac:dyDescent="0.3">
      <c r="B3" s="43" t="s">
        <v>53</v>
      </c>
      <c r="C3" s="43"/>
      <c r="D3" s="43"/>
      <c r="H3" s="118" t="s">
        <v>76</v>
      </c>
      <c r="I3" s="119"/>
      <c r="J3" s="119"/>
      <c r="K3" s="119"/>
      <c r="L3" s="119" t="s">
        <v>1</v>
      </c>
      <c r="M3" s="119"/>
    </row>
    <row r="4" spans="1:13" ht="99" x14ac:dyDescent="0.3">
      <c r="B4" s="43"/>
      <c r="C4" s="43" t="s">
        <v>73</v>
      </c>
      <c r="D4" s="43"/>
      <c r="F4" s="44" t="s">
        <v>75</v>
      </c>
      <c r="H4" s="55" t="s">
        <v>2</v>
      </c>
      <c r="I4" s="56" t="s">
        <v>59</v>
      </c>
      <c r="J4" s="58" t="s">
        <v>60</v>
      </c>
      <c r="K4" s="59" t="s">
        <v>61</v>
      </c>
      <c r="L4" s="58" t="s">
        <v>63</v>
      </c>
      <c r="M4" s="58" t="s">
        <v>62</v>
      </c>
    </row>
    <row r="5" spans="1:13" s="45" customFormat="1" ht="25.5" customHeight="1" x14ac:dyDescent="0.3">
      <c r="B5" s="43"/>
      <c r="C5" s="43" t="s">
        <v>72</v>
      </c>
      <c r="D5" s="46">
        <v>225.94</v>
      </c>
      <c r="F5" s="66">
        <v>4647854</v>
      </c>
      <c r="G5" s="42"/>
      <c r="H5" s="47">
        <f>'HCP MCM'!D11</f>
        <v>10503728.719999999</v>
      </c>
      <c r="I5" s="48">
        <f>'HCP MCM'!H11</f>
        <v>288339.09761974245</v>
      </c>
      <c r="J5" s="49">
        <f>I5/F5</f>
        <v>6.2037038517075288E-2</v>
      </c>
      <c r="K5" s="50">
        <f>H5/I5</f>
        <v>36.428388680927931</v>
      </c>
      <c r="L5" s="57">
        <f>J5*2.5</f>
        <v>0.15509259629268823</v>
      </c>
      <c r="M5" s="51">
        <f>L5*F5</f>
        <v>720847.7440493562</v>
      </c>
    </row>
    <row r="6" spans="1:13" s="45" customFormat="1" ht="26.25" customHeight="1" x14ac:dyDescent="0.3">
      <c r="B6" s="52"/>
      <c r="C6" s="43" t="s">
        <v>71</v>
      </c>
      <c r="D6" s="46"/>
      <c r="H6" s="54" t="s">
        <v>3</v>
      </c>
    </row>
    <row r="7" spans="1:13" s="45" customFormat="1" x14ac:dyDescent="0.3">
      <c r="B7" s="52"/>
      <c r="C7" s="52"/>
      <c r="D7" s="53"/>
    </row>
    <row r="8" spans="1:13" s="45" customFormat="1" x14ac:dyDescent="0.3">
      <c r="B8" s="52"/>
      <c r="C8" s="52"/>
      <c r="D8" s="53"/>
      <c r="L8" s="92" t="s">
        <v>70</v>
      </c>
    </row>
  </sheetData>
  <mergeCells count="3">
    <mergeCell ref="A1:J1"/>
    <mergeCell ref="H3:K3"/>
    <mergeCell ref="L3:M3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O50"/>
  <sheetViews>
    <sheetView showGridLines="0" tabSelected="1" topLeftCell="A15" workbookViewId="0">
      <selection activeCell="F28" sqref="F28"/>
    </sheetView>
  </sheetViews>
  <sheetFormatPr defaultColWidth="8.85546875" defaultRowHeight="12.75" x14ac:dyDescent="0.2"/>
  <cols>
    <col min="1" max="1" width="12.140625" style="2" customWidth="1"/>
    <col min="2" max="2" width="13.5703125" style="2" customWidth="1"/>
    <col min="3" max="3" width="12.5703125" style="2" customWidth="1"/>
    <col min="4" max="4" width="13.7109375" style="2" customWidth="1"/>
    <col min="5" max="5" width="15.7109375" style="2" customWidth="1"/>
    <col min="6" max="6" width="12.42578125" style="2" customWidth="1"/>
    <col min="7" max="7" width="12" style="2" customWidth="1"/>
    <col min="8" max="8" width="10.28515625" style="2" customWidth="1"/>
    <col min="9" max="10" width="10.7109375" style="2" bestFit="1" customWidth="1"/>
    <col min="11" max="11" width="14.28515625" style="2" bestFit="1" customWidth="1"/>
    <col min="12" max="13" width="12" style="2" bestFit="1" customWidth="1"/>
    <col min="14" max="14" width="11.42578125" style="2" bestFit="1" customWidth="1"/>
    <col min="15" max="15" width="10.7109375" style="2" bestFit="1" customWidth="1"/>
    <col min="16" max="16384" width="8.85546875" style="2"/>
  </cols>
  <sheetData>
    <row r="1" spans="1:15" ht="13.5" thickBot="1" x14ac:dyDescent="0.25">
      <c r="A1" s="1" t="s">
        <v>4</v>
      </c>
      <c r="B1" s="2" t="s">
        <v>5</v>
      </c>
    </row>
    <row r="2" spans="1:15" x14ac:dyDescent="0.2">
      <c r="A2" s="3" t="s">
        <v>0</v>
      </c>
      <c r="B2" s="4" t="s">
        <v>57</v>
      </c>
      <c r="C2" s="5" t="s">
        <v>6</v>
      </c>
      <c r="D2" s="6" t="s">
        <v>7</v>
      </c>
      <c r="H2" s="7" t="s">
        <v>8</v>
      </c>
      <c r="I2" s="8"/>
      <c r="J2" s="8"/>
      <c r="K2" s="8"/>
      <c r="L2" s="9"/>
    </row>
    <row r="3" spans="1:15" ht="13.5" thickBot="1" x14ac:dyDescent="0.25">
      <c r="A3" s="10" t="s">
        <v>9</v>
      </c>
      <c r="B3" s="11" t="s">
        <v>65</v>
      </c>
      <c r="C3" s="1" t="s">
        <v>10</v>
      </c>
      <c r="D3" s="12" t="s">
        <v>54</v>
      </c>
      <c r="E3" s="1" t="s">
        <v>11</v>
      </c>
      <c r="F3" s="12" t="s">
        <v>55</v>
      </c>
    </row>
    <row r="4" spans="1:15" ht="15" customHeight="1" thickBot="1" x14ac:dyDescent="0.25">
      <c r="A4" s="13" t="s">
        <v>12</v>
      </c>
      <c r="B4" s="120" t="s">
        <v>13</v>
      </c>
      <c r="C4" s="120"/>
      <c r="D4" s="120"/>
      <c r="E4" s="120"/>
      <c r="F4" s="121"/>
      <c r="H4" s="2" t="s">
        <v>14</v>
      </c>
    </row>
    <row r="5" spans="1:15" x14ac:dyDescent="0.2">
      <c r="H5" s="2" t="s">
        <v>15</v>
      </c>
    </row>
    <row r="6" spans="1:15" ht="13.5" thickBot="1" x14ac:dyDescent="0.25">
      <c r="B6" s="14">
        <v>0.5</v>
      </c>
      <c r="C6" s="14">
        <v>1.5</v>
      </c>
    </row>
    <row r="7" spans="1:15" ht="27.6" customHeight="1" x14ac:dyDescent="0.2">
      <c r="A7" s="122" t="s">
        <v>16</v>
      </c>
      <c r="B7" s="125" t="s">
        <v>17</v>
      </c>
      <c r="C7" s="126"/>
      <c r="D7" s="127" t="s">
        <v>18</v>
      </c>
      <c r="E7" s="128"/>
      <c r="F7" s="129" t="s">
        <v>19</v>
      </c>
      <c r="G7" s="130"/>
    </row>
    <row r="8" spans="1:15" ht="25.5" x14ac:dyDescent="0.2">
      <c r="A8" s="123"/>
      <c r="B8" s="15" t="s">
        <v>20</v>
      </c>
      <c r="C8" s="16" t="s">
        <v>21</v>
      </c>
      <c r="D8" s="17" t="s">
        <v>22</v>
      </c>
      <c r="E8" s="16" t="s">
        <v>23</v>
      </c>
      <c r="F8" s="18" t="s">
        <v>24</v>
      </c>
      <c r="G8" s="19" t="s">
        <v>25</v>
      </c>
    </row>
    <row r="9" spans="1:15" ht="13.5" thickBot="1" x14ac:dyDescent="0.25">
      <c r="A9" s="124"/>
      <c r="B9" s="20">
        <f>B6*B12</f>
        <v>5251864.3599999994</v>
      </c>
      <c r="C9" s="20">
        <f>C6*B12</f>
        <v>15755593.079999998</v>
      </c>
      <c r="D9" s="21">
        <f>F9</f>
        <v>10503728.719999999</v>
      </c>
      <c r="E9" s="22">
        <f>(($O$12/(1+EXP($M$12+$N$12*D9)))-1) - ($F$12-$C$12)</f>
        <v>288339.09761974216</v>
      </c>
      <c r="F9" s="20">
        <f>B12</f>
        <v>10503728.719999999</v>
      </c>
      <c r="G9" s="23">
        <f>C12</f>
        <v>288339.09761974245</v>
      </c>
    </row>
    <row r="10" spans="1:15" ht="13.5" thickBot="1" x14ac:dyDescent="0.25"/>
    <row r="11" spans="1:15" ht="51.6" customHeight="1" x14ac:dyDescent="0.2">
      <c r="A11" s="122" t="s">
        <v>26</v>
      </c>
      <c r="B11" s="24" t="s">
        <v>27</v>
      </c>
      <c r="C11" s="24" t="s">
        <v>28</v>
      </c>
      <c r="D11" s="24" t="s">
        <v>29</v>
      </c>
      <c r="E11" s="24" t="s">
        <v>30</v>
      </c>
      <c r="F11" s="25" t="s">
        <v>31</v>
      </c>
      <c r="H11" s="131" t="s">
        <v>32</v>
      </c>
      <c r="I11" s="24" t="s">
        <v>33</v>
      </c>
      <c r="J11" s="24" t="s">
        <v>34</v>
      </c>
      <c r="K11" s="24" t="s">
        <v>35</v>
      </c>
      <c r="L11" s="24" t="s">
        <v>36</v>
      </c>
      <c r="M11" s="24" t="s">
        <v>37</v>
      </c>
      <c r="N11" s="24" t="s">
        <v>38</v>
      </c>
      <c r="O11" s="25" t="s">
        <v>39</v>
      </c>
    </row>
    <row r="12" spans="1:15" ht="15" customHeight="1" thickBot="1" x14ac:dyDescent="0.25">
      <c r="A12" s="124"/>
      <c r="B12" s="20">
        <f>Data!H5</f>
        <v>10503728.719999999</v>
      </c>
      <c r="C12" s="23">
        <f>Data!I5</f>
        <v>288339.09761974245</v>
      </c>
      <c r="D12" s="26">
        <v>0</v>
      </c>
      <c r="E12" s="23">
        <f>Data!M5</f>
        <v>720847.7440493562</v>
      </c>
      <c r="F12" s="27">
        <f>Data!F5</f>
        <v>4647854</v>
      </c>
      <c r="H12" s="132"/>
      <c r="I12" s="28">
        <f>F12-C12</f>
        <v>4359514.9023802578</v>
      </c>
      <c r="J12" s="28">
        <f>I12+E12</f>
        <v>5080362.6464296142</v>
      </c>
      <c r="K12" s="29">
        <f>B12</f>
        <v>10503728.719999999</v>
      </c>
      <c r="L12" s="28">
        <f>F12</f>
        <v>4647854</v>
      </c>
      <c r="M12" s="30">
        <f>LN((($J$12+1)/($I$12+1))-1)</f>
        <v>-1.7996883569315949</v>
      </c>
      <c r="N12" s="31">
        <f>(LN((($J$12+1)/($L$12+1))-1)-$M$12)/$K$12</f>
        <v>-5.4730128919708125E-8</v>
      </c>
      <c r="O12" s="32">
        <f>J12+1</f>
        <v>5080363.6464296142</v>
      </c>
    </row>
    <row r="13" spans="1:15" ht="34.15" customHeight="1" x14ac:dyDescent="0.2">
      <c r="A13" s="133" t="s">
        <v>40</v>
      </c>
      <c r="B13" s="134"/>
      <c r="C13" s="134"/>
      <c r="D13" s="134"/>
      <c r="E13" s="134"/>
      <c r="F13" s="135"/>
      <c r="H13" s="133" t="s">
        <v>41</v>
      </c>
      <c r="I13" s="134"/>
      <c r="J13" s="134"/>
      <c r="K13" s="134"/>
      <c r="L13" s="134"/>
      <c r="M13" s="134"/>
      <c r="N13" s="134"/>
      <c r="O13" s="135"/>
    </row>
    <row r="14" spans="1:15" ht="33.6" customHeight="1" x14ac:dyDescent="0.2">
      <c r="A14" s="136"/>
      <c r="B14" s="137"/>
      <c r="C14" s="137"/>
      <c r="D14" s="137"/>
      <c r="E14" s="137"/>
      <c r="F14" s="138"/>
      <c r="H14" s="136"/>
      <c r="I14" s="137"/>
      <c r="J14" s="137"/>
      <c r="K14" s="137"/>
      <c r="L14" s="137"/>
      <c r="M14" s="137"/>
      <c r="N14" s="137"/>
      <c r="O14" s="138"/>
    </row>
    <row r="16" spans="1:15" ht="13.5" thickBot="1" x14ac:dyDescent="0.25"/>
    <row r="17" spans="1:5" ht="16.899999999999999" customHeight="1" x14ac:dyDescent="0.2">
      <c r="A17" s="131" t="s">
        <v>42</v>
      </c>
      <c r="B17" s="24" t="s">
        <v>43</v>
      </c>
      <c r="C17" s="24" t="s">
        <v>44</v>
      </c>
      <c r="D17" s="25" t="s">
        <v>45</v>
      </c>
    </row>
    <row r="18" spans="1:5" ht="23.65" customHeight="1" thickBot="1" x14ac:dyDescent="0.25">
      <c r="A18" s="132"/>
      <c r="B18" s="33">
        <v>0</v>
      </c>
      <c r="C18" s="34">
        <v>18000000</v>
      </c>
      <c r="D18" s="35">
        <v>20</v>
      </c>
    </row>
    <row r="20" spans="1:5" x14ac:dyDescent="0.2">
      <c r="A20" s="139" t="s">
        <v>46</v>
      </c>
      <c r="B20" s="139"/>
    </row>
    <row r="21" spans="1:5" x14ac:dyDescent="0.2">
      <c r="A21" s="15" t="s">
        <v>48</v>
      </c>
      <c r="B21" s="15" t="s">
        <v>47</v>
      </c>
      <c r="C21" s="40" t="s">
        <v>50</v>
      </c>
      <c r="D21" s="40" t="s">
        <v>49</v>
      </c>
      <c r="E21" s="41"/>
    </row>
    <row r="22" spans="1:5" x14ac:dyDescent="0.2">
      <c r="A22" s="37">
        <f>B18</f>
        <v>0</v>
      </c>
      <c r="B22" s="36">
        <f>(($O$12/(1+EXP($M$12+$N$12*A22)))-1) - ($F$12-$C$12)</f>
        <v>0</v>
      </c>
      <c r="C22" s="38">
        <f>B22*'HCP MCM'!$F$4</f>
        <v>0</v>
      </c>
      <c r="D22" s="39"/>
      <c r="E22" s="38"/>
    </row>
    <row r="23" spans="1:5" x14ac:dyDescent="0.2">
      <c r="A23" s="37">
        <f>A22+(($C$18-$B$18)/$D$18)</f>
        <v>900000</v>
      </c>
      <c r="B23" s="36">
        <f t="shared" ref="B23:B50" si="0">(($O$12/(1+EXP($M$12+$N$12*A23)))-1) - ($F$12-$C$12)</f>
        <v>29934.758115198463</v>
      </c>
      <c r="C23" s="38">
        <f>B23*'HCP MCM'!$F$4</f>
        <v>6763459.2485479405</v>
      </c>
      <c r="D23" s="39">
        <f>C23/A23</f>
        <v>7.5149547206088227</v>
      </c>
      <c r="E23" s="38"/>
    </row>
    <row r="24" spans="1:5" x14ac:dyDescent="0.2">
      <c r="A24" s="37">
        <f t="shared" ref="A24:A50" si="1">A23+(($C$18-$B$18)/$D$18)</f>
        <v>1800000</v>
      </c>
      <c r="B24" s="36">
        <f t="shared" si="0"/>
        <v>58815.187786469236</v>
      </c>
      <c r="C24" s="38">
        <f>B24*'HCP MCM'!$F$4</f>
        <v>13288703.52847486</v>
      </c>
      <c r="D24" s="39">
        <f t="shared" ref="D24:D50" si="2">C24/A24</f>
        <v>7.3826130713749221</v>
      </c>
      <c r="E24" s="38"/>
    </row>
    <row r="25" spans="1:5" x14ac:dyDescent="0.2">
      <c r="A25" s="37">
        <f t="shared" si="1"/>
        <v>2700000</v>
      </c>
      <c r="B25" s="36">
        <f t="shared" si="0"/>
        <v>86662.821693458594</v>
      </c>
      <c r="C25" s="38">
        <f>B25*'HCP MCM'!$F$4</f>
        <v>19580597.933420036</v>
      </c>
      <c r="D25" s="39">
        <f t="shared" si="2"/>
        <v>7.2520733086740874</v>
      </c>
      <c r="E25" s="38"/>
    </row>
    <row r="26" spans="1:5" x14ac:dyDescent="0.2">
      <c r="A26" s="37">
        <f t="shared" si="1"/>
        <v>3600000</v>
      </c>
      <c r="B26" s="36">
        <f t="shared" si="0"/>
        <v>113500.09579651337</v>
      </c>
      <c r="C26" s="38">
        <f>B26*'HCP MCM'!$F$4</f>
        <v>25644211.644264232</v>
      </c>
      <c r="D26" s="39">
        <f t="shared" si="2"/>
        <v>7.123392123406731</v>
      </c>
      <c r="E26" s="38"/>
    </row>
    <row r="27" spans="1:5" x14ac:dyDescent="0.2">
      <c r="A27" s="60">
        <f t="shared" si="1"/>
        <v>4500000</v>
      </c>
      <c r="B27" s="61">
        <f t="shared" si="0"/>
        <v>139350.20967428107</v>
      </c>
      <c r="C27" s="38">
        <f>B27*'HCP MCM'!$F$4</f>
        <v>31484786.373807065</v>
      </c>
      <c r="D27" s="63">
        <f t="shared" si="2"/>
        <v>6.9966191941793481</v>
      </c>
      <c r="E27" s="62"/>
    </row>
    <row r="28" spans="1:5" x14ac:dyDescent="0.2">
      <c r="A28" s="37">
        <f t="shared" si="1"/>
        <v>5400000</v>
      </c>
      <c r="B28" s="36">
        <f t="shared" si="0"/>
        <v>164236.99431898072</v>
      </c>
      <c r="C28" s="38">
        <f>B28*'HCP MCM'!$F$4</f>
        <v>37107706.496430501</v>
      </c>
      <c r="D28" s="39">
        <f t="shared" si="2"/>
        <v>6.8717974993389817</v>
      </c>
      <c r="E28" s="38"/>
    </row>
    <row r="29" spans="1:5" x14ac:dyDescent="0.2">
      <c r="A29" s="37">
        <f t="shared" si="1"/>
        <v>6300000</v>
      </c>
      <c r="B29" s="36">
        <f t="shared" si="0"/>
        <v>188184.78761939146</v>
      </c>
      <c r="C29" s="38">
        <f>B29*'HCP MCM'!$F$4</f>
        <v>42518470.914725304</v>
      </c>
      <c r="D29" s="39">
        <f t="shared" si="2"/>
        <v>6.7489636372579849</v>
      </c>
      <c r="E29" s="38"/>
    </row>
    <row r="30" spans="1:5" x14ac:dyDescent="0.2">
      <c r="A30" s="37">
        <f t="shared" si="1"/>
        <v>7200000</v>
      </c>
      <c r="B30" s="36">
        <f t="shared" si="0"/>
        <v>211218.3176657157</v>
      </c>
      <c r="C30" s="38">
        <f>B30*'HCP MCM'!$F$4</f>
        <v>47722666.693391807</v>
      </c>
      <c r="D30" s="39">
        <f t="shared" si="2"/>
        <v>6.628148151859973</v>
      </c>
      <c r="E30" s="38"/>
    </row>
    <row r="31" spans="1:5" x14ac:dyDescent="0.2">
      <c r="A31" s="37">
        <f t="shared" si="1"/>
        <v>8100000</v>
      </c>
      <c r="B31" s="36">
        <f t="shared" si="0"/>
        <v>233362.59392449539</v>
      </c>
      <c r="C31" s="38">
        <f>B31*'HCP MCM'!$F$4</f>
        <v>52725944.47130049</v>
      </c>
      <c r="D31" s="39">
        <f t="shared" si="2"/>
        <v>6.5093758606543819</v>
      </c>
      <c r="E31" s="38"/>
    </row>
    <row r="32" spans="1:5" s="84" customFormat="1" x14ac:dyDescent="0.2">
      <c r="A32" s="80">
        <f t="shared" si="1"/>
        <v>9000000</v>
      </c>
      <c r="B32" s="81">
        <f t="shared" si="0"/>
        <v>254642.80625574663</v>
      </c>
      <c r="C32" s="82">
        <f>B32*'HCP MCM'!$F$4</f>
        <v>57533995.64542339</v>
      </c>
      <c r="D32" s="83">
        <f t="shared" si="2"/>
        <v>6.3926661828248212</v>
      </c>
      <c r="E32" s="82"/>
    </row>
    <row r="33" spans="1:5" x14ac:dyDescent="0.2">
      <c r="A33" s="37">
        <f t="shared" si="1"/>
        <v>9900000</v>
      </c>
      <c r="B33" s="36">
        <f t="shared" si="0"/>
        <v>275084.23167799599</v>
      </c>
      <c r="C33" s="38">
        <f>B33*'HCP MCM'!$F$4</f>
        <v>62152531.305326417</v>
      </c>
      <c r="D33" s="39">
        <f t="shared" si="2"/>
        <v>6.2780334651844862</v>
      </c>
      <c r="E33" s="38"/>
    </row>
    <row r="34" spans="1:5" x14ac:dyDescent="0.2">
      <c r="A34" s="85">
        <f>A33+(($C$18-$B$18)/$D$18)</f>
        <v>10800000</v>
      </c>
      <c r="B34" s="86">
        <f t="shared" si="0"/>
        <v>294712.14872978255</v>
      </c>
      <c r="C34" s="87">
        <f>B34*'HCP MCM'!$F$4</f>
        <v>66587262.884007066</v>
      </c>
      <c r="D34" s="88">
        <f t="shared" si="2"/>
        <v>6.1654873040747287</v>
      </c>
      <c r="E34" s="38"/>
    </row>
    <row r="35" spans="1:5" x14ac:dyDescent="0.2">
      <c r="A35" s="37">
        <f t="shared" si="1"/>
        <v>11700000</v>
      </c>
      <c r="B35" s="36">
        <f t="shared" si="0"/>
        <v>313551.75922773965</v>
      </c>
      <c r="C35" s="38">
        <f>B35*'HCP MCM'!$F$4</f>
        <v>70843884.4799155</v>
      </c>
      <c r="D35" s="39">
        <f t="shared" si="2"/>
        <v>6.055032861531239</v>
      </c>
      <c r="E35" s="38"/>
    </row>
    <row r="36" spans="1:5" x14ac:dyDescent="0.2">
      <c r="A36" s="37">
        <f t="shared" si="1"/>
        <v>12600000</v>
      </c>
      <c r="B36" s="36">
        <f t="shared" si="0"/>
        <v>331628.11718124803</v>
      </c>
      <c r="C36" s="38">
        <f>B36*'HCP MCM'!$F$4</f>
        <v>74928056.795931175</v>
      </c>
      <c r="D36" s="39">
        <f t="shared" si="2"/>
        <v>5.9466711742802518</v>
      </c>
      <c r="E36" s="38"/>
    </row>
    <row r="37" spans="1:5" x14ac:dyDescent="0.2">
      <c r="A37" s="37">
        <f t="shared" si="1"/>
        <v>13500000</v>
      </c>
      <c r="B37" s="36">
        <f t="shared" si="0"/>
        <v>348966.06459113024</v>
      </c>
      <c r="C37" s="38">
        <f>B37*'HCP MCM'!$F$4</f>
        <v>78845392.633719966</v>
      </c>
      <c r="D37" s="39">
        <f t="shared" si="2"/>
        <v>5.8403994543496269</v>
      </c>
      <c r="E37" s="38"/>
    </row>
    <row r="38" spans="1:5" x14ac:dyDescent="0.2">
      <c r="A38" s="37">
        <f t="shared" si="1"/>
        <v>14400000</v>
      </c>
      <c r="B38" s="36">
        <f t="shared" si="0"/>
        <v>365590.17383428197</v>
      </c>
      <c r="C38" s="38">
        <f>B38*'HCP MCM'!$F$4</f>
        <v>82601443.876117662</v>
      </c>
      <c r="D38" s="39">
        <f t="shared" si="2"/>
        <v>5.7362113802859485</v>
      </c>
      <c r="E38" s="38"/>
    </row>
    <row r="39" spans="1:5" x14ac:dyDescent="0.2">
      <c r="A39" s="37">
        <f t="shared" si="1"/>
        <v>15300000</v>
      </c>
      <c r="B39" s="36">
        <f t="shared" si="0"/>
        <v>381524.69631698076</v>
      </c>
      <c r="C39" s="38">
        <f>B39*'HCP MCM'!$F$4</f>
        <v>86201689.885858625</v>
      </c>
      <c r="D39" s="39">
        <f t="shared" si="2"/>
        <v>5.6340973781606944</v>
      </c>
      <c r="E39" s="38"/>
    </row>
    <row r="40" spans="1:5" x14ac:dyDescent="0.2">
      <c r="A40" s="37">
        <f t="shared" si="1"/>
        <v>16200000</v>
      </c>
      <c r="B40" s="36">
        <f t="shared" si="0"/>
        <v>396793.51706612948</v>
      </c>
      <c r="C40" s="38">
        <f>B40*'HCP MCM'!$F$4</f>
        <v>89651527.245921299</v>
      </c>
      <c r="D40" s="39">
        <f t="shared" si="2"/>
        <v>5.5340448917235365</v>
      </c>
      <c r="E40" s="38"/>
    </row>
    <row r="41" spans="1:5" x14ac:dyDescent="0.2">
      <c r="A41" s="37">
        <f>A40+(($C$18-$B$18)/$D$18)</f>
        <v>17100000</v>
      </c>
      <c r="B41" s="36">
        <f t="shared" si="0"/>
        <v>411420.11491927225</v>
      </c>
      <c r="C41" s="38">
        <f>B41*'HCP MCM'!$F$4</f>
        <v>92956260.764860377</v>
      </c>
      <c r="D41" s="39">
        <f t="shared" si="2"/>
        <v>5.4360386412199047</v>
      </c>
      <c r="E41" s="38"/>
    </row>
    <row r="42" spans="1:5" x14ac:dyDescent="0.2">
      <c r="A42" s="37">
        <f t="shared" si="1"/>
        <v>18000000</v>
      </c>
      <c r="B42" s="36">
        <f t="shared" si="0"/>
        <v>425427.52797020506</v>
      </c>
      <c r="C42" s="38">
        <f>B42*'HCP MCM'!$F$4</f>
        <v>96121095.669588134</v>
      </c>
      <c r="D42" s="39">
        <f t="shared" si="2"/>
        <v>5.3400608705326738</v>
      </c>
      <c r="E42" s="38"/>
    </row>
    <row r="43" spans="1:5" x14ac:dyDescent="0.2">
      <c r="A43" s="37">
        <f t="shared" si="1"/>
        <v>18900000</v>
      </c>
      <c r="B43" s="36">
        <f t="shared" si="0"/>
        <v>438838.32392700203</v>
      </c>
      <c r="C43" s="38">
        <f>B43*'HCP MCM'!$F$4</f>
        <v>99151130.908066839</v>
      </c>
      <c r="D43" s="39">
        <f t="shared" si="2"/>
        <v>5.2460915824373986</v>
      </c>
    </row>
    <row r="44" spans="1:5" x14ac:dyDescent="0.2">
      <c r="A44" s="37">
        <f t="shared" si="1"/>
        <v>19800000</v>
      </c>
      <c r="B44" s="36">
        <f t="shared" si="0"/>
        <v>451674.5750423586</v>
      </c>
      <c r="C44" s="38">
        <f>B44*'HCP MCM'!$F$4</f>
        <v>102051353.4850705</v>
      </c>
      <c r="D44" s="39">
        <f t="shared" si="2"/>
        <v>5.154108761872247</v>
      </c>
    </row>
    <row r="45" spans="1:5" x14ac:dyDescent="0.2">
      <c r="A45" s="37">
        <f t="shared" si="1"/>
        <v>20700000</v>
      </c>
      <c r="B45" s="36">
        <f t="shared" si="0"/>
        <v>463957.83728229161</v>
      </c>
      <c r="C45" s="38">
        <f>B45*'HCP MCM'!$F$4</f>
        <v>104826633.75556096</v>
      </c>
      <c r="D45" s="39">
        <f t="shared" si="2"/>
        <v>5.0640885872251671</v>
      </c>
    </row>
    <row r="46" spans="1:5" x14ac:dyDescent="0.2">
      <c r="A46" s="37">
        <f t="shared" si="1"/>
        <v>21600000</v>
      </c>
      <c r="B46" s="36">
        <f t="shared" si="0"/>
        <v>475709.13340746611</v>
      </c>
      <c r="C46" s="38">
        <f>B46*'HCP MCM'!$F$4</f>
        <v>107481721.60208289</v>
      </c>
      <c r="D46" s="39">
        <f t="shared" si="2"/>
        <v>4.9760056297260595</v>
      </c>
    </row>
    <row r="47" spans="1:5" x14ac:dyDescent="0.2">
      <c r="A47" s="37">
        <f t="shared" si="1"/>
        <v>22500000</v>
      </c>
      <c r="B47" s="36">
        <f t="shared" si="0"/>
        <v>486948.93965174817</v>
      </c>
      <c r="C47" s="38">
        <f>B47*'HCP MCM'!$F$4</f>
        <v>110021243.42491598</v>
      </c>
      <c r="D47" s="39">
        <f t="shared" si="2"/>
        <v>4.8898330411073774</v>
      </c>
    </row>
    <row r="48" spans="1:5" x14ac:dyDescent="0.2">
      <c r="A48" s="37">
        <f t="shared" si="1"/>
        <v>23400000</v>
      </c>
      <c r="B48" s="36">
        <f t="shared" si="0"/>
        <v>497697.1756942682</v>
      </c>
      <c r="C48" s="38">
        <f>B48*'HCP MCM'!$F$4</f>
        <v>112449699.87636295</v>
      </c>
      <c r="D48" s="39">
        <f t="shared" si="2"/>
        <v>4.8055427297591002</v>
      </c>
    </row>
    <row r="49" spans="1:4" x14ac:dyDescent="0.2">
      <c r="A49" s="37">
        <f t="shared" si="1"/>
        <v>24300000</v>
      </c>
      <c r="B49" s="36">
        <f t="shared" si="0"/>
        <v>507973.19763421826</v>
      </c>
      <c r="C49" s="38">
        <f>B49*'HCP MCM'!$F$4</f>
        <v>114771464.27347527</v>
      </c>
      <c r="D49" s="39">
        <f t="shared" si="2"/>
        <v>4.7231055256574184</v>
      </c>
    </row>
    <row r="50" spans="1:4" x14ac:dyDescent="0.2">
      <c r="A50" s="37">
        <f t="shared" si="1"/>
        <v>25200000</v>
      </c>
      <c r="B50" s="36">
        <f t="shared" si="0"/>
        <v>517795.7936913576</v>
      </c>
      <c r="C50" s="38">
        <f>B50*'HCP MCM'!$F$4</f>
        <v>116990781.62662533</v>
      </c>
      <c r="D50" s="39">
        <f t="shared" si="2"/>
        <v>4.6424913343898941</v>
      </c>
    </row>
  </sheetData>
  <mergeCells count="11">
    <mergeCell ref="H11:H12"/>
    <mergeCell ref="A13:F14"/>
    <mergeCell ref="H13:O14"/>
    <mergeCell ref="A17:A18"/>
    <mergeCell ref="A20:B20"/>
    <mergeCell ref="A11:A12"/>
    <mergeCell ref="B4:F4"/>
    <mergeCell ref="A7:A9"/>
    <mergeCell ref="B7:C7"/>
    <mergeCell ref="D7:E7"/>
    <mergeCell ref="F7:G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a10f9ac0-5937-4b4f-b459-96aedd9ed2c5" origin="userSelected">
  <element uid="9920fcc9-9f43-4d43-9e3e-b98a219cfd55" value=""/>
</sisl>
</file>

<file path=customXml/itemProps1.xml><?xml version="1.0" encoding="utf-8"?>
<ds:datastoreItem xmlns:ds="http://schemas.openxmlformats.org/officeDocument/2006/customXml" ds:itemID="{A90DB9A9-29C7-4B15-BDCE-461FF7EDB01C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HCP MCM</vt:lpstr>
      <vt:lpstr>Data</vt:lpstr>
      <vt:lpstr>HCP MCM SCurve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2023-07-27T10:39:48Z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911a8121-140a-418e-a802-f1b6c815318e</vt:lpwstr>
  </property>
  <property fmtid="{D5CDD505-2E9C-101B-9397-08002B2CF9AE}" pid="3" name="bjSaver">
    <vt:lpwstr>3O1Gvm5XUeGHackGhxGee6GW/bgAf7qU</vt:lpwstr>
  </property>
  <property fmtid="{D5CDD505-2E9C-101B-9397-08002B2CF9AE}" pid="4" name="bjDocumentSecurityLabel">
    <vt:lpwstr>Not Classified</vt:lpwstr>
  </property>
  <property fmtid="{D5CDD505-2E9C-101B-9397-08002B2CF9AE}" pid="5" name="bjDocumentLabelXML">
    <vt:lpwstr>&lt;?xml version="1.0" encoding="us-ascii"?&gt;&lt;sisl xmlns:xsi="http://www.w3.org/2001/XMLSchema-instance" xmlns:xsd="http://www.w3.org/2001/XMLSchema" sislVersion="0" policy="a10f9ac0-5937-4b4f-b459-96aedd9ed2c5" origin="userSelected" xmlns="http://www.boldonj</vt:lpwstr>
  </property>
  <property fmtid="{D5CDD505-2E9C-101B-9397-08002B2CF9AE}" pid="6" name="bjDocumentLabelXML-0">
    <vt:lpwstr>ames.com/2008/01/sie/internal/label"&gt;&lt;element uid="9920fcc9-9f43-4d43-9e3e-b98a219cfd55" value="" /&gt;&lt;/sisl&gt;</vt:lpwstr>
  </property>
</Properties>
</file>