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pushh01\dinfopln\Marketing Mix PI\InvOpt\P12 2024 AB\Products\G9\Total\Optimize\"/>
    </mc:Choice>
  </mc:AlternateContent>
  <xr:revisionPtr revIDLastSave="0" documentId="8_{4C5DFBBE-32BA-4065-985C-7567132C1E9F}" xr6:coauthVersionLast="47" xr6:coauthVersionMax="47" xr10:uidLastSave="{00000000-0000-0000-0000-000000000000}"/>
  <bookViews>
    <workbookView xWindow="-120" yWindow="-120" windowWidth="20730" windowHeight="11310" xr2:uid="{35478651-A262-4A53-8394-ECA25C9B8077}"/>
  </bookViews>
  <sheets>
    <sheet name="Additional Social and OLV SC" sheetId="1" r:id="rId1"/>
  </sheets>
  <definedNames>
    <definedName name="_1.0_MM_From_Socail_to_OLV">'Additional Social and OLV SC'!$A$79:$A$83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9" i="1" l="1"/>
  <c r="U105" i="1" s="1"/>
  <c r="S99" i="1"/>
  <c r="T99" i="1" s="1"/>
  <c r="Q99" i="1"/>
  <c r="Q104" i="1" s="1"/>
  <c r="O99" i="1"/>
  <c r="P99" i="1" s="1"/>
  <c r="M99" i="1"/>
  <c r="M105" i="1" s="1"/>
  <c r="K99" i="1"/>
  <c r="L99" i="1" s="1"/>
  <c r="I99" i="1"/>
  <c r="I104" i="1" s="1"/>
  <c r="G99" i="1"/>
  <c r="E99" i="1"/>
  <c r="D99" i="1"/>
  <c r="H99" i="1" s="1"/>
  <c r="U98" i="1"/>
  <c r="U102" i="1" s="1"/>
  <c r="S98" i="1"/>
  <c r="S100" i="1" s="1"/>
  <c r="Q98" i="1"/>
  <c r="Q100" i="1" s="1"/>
  <c r="P98" i="1"/>
  <c r="O98" i="1"/>
  <c r="O100" i="1" s="1"/>
  <c r="P100" i="1" s="1"/>
  <c r="M98" i="1"/>
  <c r="M102" i="1" s="1"/>
  <c r="K98" i="1"/>
  <c r="L98" i="1" s="1"/>
  <c r="I98" i="1"/>
  <c r="I102" i="1" s="1"/>
  <c r="G98" i="1"/>
  <c r="H98" i="1" s="1"/>
  <c r="E98" i="1"/>
  <c r="D102" i="1" s="1"/>
  <c r="D98" i="1"/>
  <c r="D100" i="1" s="1"/>
  <c r="U85" i="1"/>
  <c r="S103" i="1" s="1"/>
  <c r="S85" i="1"/>
  <c r="Q85" i="1"/>
  <c r="O118" i="1" s="1"/>
  <c r="O85" i="1"/>
  <c r="P85" i="1" s="1"/>
  <c r="M85" i="1"/>
  <c r="K103" i="1" s="1"/>
  <c r="K85" i="1"/>
  <c r="L85" i="1" s="1"/>
  <c r="I85" i="1"/>
  <c r="G118" i="1" s="1"/>
  <c r="G85" i="1"/>
  <c r="E85" i="1"/>
  <c r="D119" i="1" s="1"/>
  <c r="D85" i="1"/>
  <c r="T85" i="1" s="1"/>
  <c r="U84" i="1"/>
  <c r="U88" i="1" s="1"/>
  <c r="S84" i="1"/>
  <c r="T84" i="1" s="1"/>
  <c r="Q84" i="1"/>
  <c r="O88" i="1" s="1"/>
  <c r="O84" i="1"/>
  <c r="O86" i="1" s="1"/>
  <c r="M84" i="1"/>
  <c r="M88" i="1" s="1"/>
  <c r="L84" i="1"/>
  <c r="K84" i="1"/>
  <c r="K86" i="1" s="1"/>
  <c r="I84" i="1"/>
  <c r="G88" i="1" s="1"/>
  <c r="G84" i="1"/>
  <c r="H84" i="1" s="1"/>
  <c r="E84" i="1"/>
  <c r="D88" i="1" s="1"/>
  <c r="D84" i="1"/>
  <c r="D86" i="1" s="1"/>
  <c r="S76" i="1"/>
  <c r="O76" i="1"/>
  <c r="K76" i="1"/>
  <c r="G76" i="1"/>
  <c r="K75" i="1"/>
  <c r="U54" i="1"/>
  <c r="S67" i="1" s="1"/>
  <c r="S59" i="1" s="1"/>
  <c r="T54" i="1"/>
  <c r="S54" i="1"/>
  <c r="C54" i="1"/>
  <c r="U53" i="1"/>
  <c r="T53" i="1"/>
  <c r="S53" i="1"/>
  <c r="C53" i="1"/>
  <c r="U52" i="1"/>
  <c r="T52" i="1"/>
  <c r="S52" i="1"/>
  <c r="Q52" i="1"/>
  <c r="P52" i="1"/>
  <c r="O52" i="1"/>
  <c r="M52" i="1"/>
  <c r="L52" i="1"/>
  <c r="K52" i="1"/>
  <c r="I52" i="1"/>
  <c r="H52" i="1"/>
  <c r="G52" i="1"/>
  <c r="U51" i="1"/>
  <c r="T51" i="1"/>
  <c r="S51" i="1"/>
  <c r="Q51" i="1"/>
  <c r="P51" i="1"/>
  <c r="O51" i="1"/>
  <c r="M51" i="1"/>
  <c r="L51" i="1"/>
  <c r="K51" i="1"/>
  <c r="I51" i="1"/>
  <c r="H51" i="1"/>
  <c r="G51" i="1"/>
  <c r="U50" i="1"/>
  <c r="T50" i="1"/>
  <c r="S50" i="1"/>
  <c r="Q50" i="1"/>
  <c r="P50" i="1"/>
  <c r="O50" i="1"/>
  <c r="M50" i="1"/>
  <c r="L50" i="1"/>
  <c r="K50" i="1"/>
  <c r="I50" i="1"/>
  <c r="H50" i="1"/>
  <c r="G50" i="1"/>
  <c r="U49" i="1"/>
  <c r="T49" i="1"/>
  <c r="S49" i="1"/>
  <c r="Q49" i="1"/>
  <c r="P49" i="1"/>
  <c r="O49" i="1"/>
  <c r="M49" i="1"/>
  <c r="L49" i="1"/>
  <c r="K49" i="1"/>
  <c r="I49" i="1"/>
  <c r="H49" i="1"/>
  <c r="G49" i="1"/>
  <c r="U48" i="1"/>
  <c r="T48" i="1"/>
  <c r="S48" i="1"/>
  <c r="Q48" i="1"/>
  <c r="P48" i="1"/>
  <c r="O48" i="1"/>
  <c r="M48" i="1"/>
  <c r="L48" i="1"/>
  <c r="K48" i="1"/>
  <c r="I48" i="1"/>
  <c r="H48" i="1"/>
  <c r="G48" i="1"/>
  <c r="U47" i="1"/>
  <c r="T47" i="1"/>
  <c r="S47" i="1"/>
  <c r="Q47" i="1"/>
  <c r="P47" i="1"/>
  <c r="O47" i="1"/>
  <c r="M47" i="1"/>
  <c r="L47" i="1"/>
  <c r="K47" i="1"/>
  <c r="I47" i="1"/>
  <c r="H47" i="1"/>
  <c r="G47" i="1"/>
  <c r="U46" i="1"/>
  <c r="U110" i="1" s="1"/>
  <c r="T46" i="1"/>
  <c r="S46" i="1"/>
  <c r="S110" i="1" s="1"/>
  <c r="Q46" i="1"/>
  <c r="Q110" i="1" s="1"/>
  <c r="P46" i="1"/>
  <c r="O46" i="1"/>
  <c r="O110" i="1" s="1"/>
  <c r="M46" i="1"/>
  <c r="M110" i="1" s="1"/>
  <c r="L46" i="1"/>
  <c r="K46" i="1"/>
  <c r="K110" i="1" s="1"/>
  <c r="I46" i="1"/>
  <c r="I110" i="1" s="1"/>
  <c r="H46" i="1"/>
  <c r="G46" i="1"/>
  <c r="G110" i="1" s="1"/>
  <c r="U45" i="1"/>
  <c r="U109" i="1" s="1"/>
  <c r="T45" i="1"/>
  <c r="S45" i="1"/>
  <c r="S109" i="1" s="1"/>
  <c r="Q45" i="1"/>
  <c r="Q109" i="1" s="1"/>
  <c r="P45" i="1"/>
  <c r="O45" i="1"/>
  <c r="O109" i="1" s="1"/>
  <c r="M45" i="1"/>
  <c r="M109" i="1" s="1"/>
  <c r="L45" i="1"/>
  <c r="K45" i="1"/>
  <c r="K109" i="1" s="1"/>
  <c r="I45" i="1"/>
  <c r="I109" i="1" s="1"/>
  <c r="H45" i="1"/>
  <c r="G45" i="1"/>
  <c r="G109" i="1" s="1"/>
  <c r="U44" i="1"/>
  <c r="T44" i="1"/>
  <c r="S44" i="1"/>
  <c r="Q44" i="1"/>
  <c r="P44" i="1"/>
  <c r="O44" i="1"/>
  <c r="M44" i="1"/>
  <c r="L44" i="1"/>
  <c r="K44" i="1"/>
  <c r="I44" i="1"/>
  <c r="H44" i="1"/>
  <c r="G44" i="1"/>
  <c r="U43" i="1"/>
  <c r="U111" i="1" s="1"/>
  <c r="T43" i="1"/>
  <c r="S43" i="1"/>
  <c r="S111" i="1" s="1"/>
  <c r="Q43" i="1"/>
  <c r="Q111" i="1" s="1"/>
  <c r="P43" i="1"/>
  <c r="O43" i="1"/>
  <c r="O111" i="1" s="1"/>
  <c r="M43" i="1"/>
  <c r="M111" i="1" s="1"/>
  <c r="L43" i="1"/>
  <c r="K43" i="1"/>
  <c r="K111" i="1" s="1"/>
  <c r="I43" i="1"/>
  <c r="I111" i="1" s="1"/>
  <c r="H43" i="1"/>
  <c r="G43" i="1"/>
  <c r="G111" i="1" s="1"/>
  <c r="U42" i="1"/>
  <c r="T42" i="1"/>
  <c r="S42" i="1"/>
  <c r="Q42" i="1"/>
  <c r="P42" i="1"/>
  <c r="O42" i="1"/>
  <c r="M42" i="1"/>
  <c r="L42" i="1"/>
  <c r="K42" i="1"/>
  <c r="I42" i="1"/>
  <c r="H42" i="1"/>
  <c r="G42" i="1"/>
  <c r="U41" i="1"/>
  <c r="T41" i="1"/>
  <c r="S41" i="1"/>
  <c r="Q41" i="1"/>
  <c r="P41" i="1"/>
  <c r="O41" i="1"/>
  <c r="M41" i="1"/>
  <c r="L41" i="1"/>
  <c r="K41" i="1"/>
  <c r="I41" i="1"/>
  <c r="H41" i="1"/>
  <c r="G41" i="1"/>
  <c r="U40" i="1"/>
  <c r="T40" i="1"/>
  <c r="S40" i="1"/>
  <c r="Q40" i="1"/>
  <c r="P40" i="1"/>
  <c r="O40" i="1"/>
  <c r="M40" i="1"/>
  <c r="L40" i="1"/>
  <c r="K40" i="1"/>
  <c r="I40" i="1"/>
  <c r="H40" i="1"/>
  <c r="G40" i="1"/>
  <c r="U39" i="1"/>
  <c r="T39" i="1"/>
  <c r="S39" i="1"/>
  <c r="Q39" i="1"/>
  <c r="P39" i="1"/>
  <c r="O39" i="1"/>
  <c r="M39" i="1"/>
  <c r="L39" i="1"/>
  <c r="K39" i="1"/>
  <c r="I39" i="1"/>
  <c r="H39" i="1"/>
  <c r="G39" i="1"/>
  <c r="U38" i="1"/>
  <c r="T38" i="1"/>
  <c r="S38" i="1"/>
  <c r="Q38" i="1"/>
  <c r="P38" i="1"/>
  <c r="O38" i="1"/>
  <c r="M38" i="1"/>
  <c r="L38" i="1"/>
  <c r="K38" i="1"/>
  <c r="I38" i="1"/>
  <c r="H38" i="1"/>
  <c r="G38" i="1"/>
  <c r="U37" i="1"/>
  <c r="U107" i="1" s="1"/>
  <c r="T37" i="1"/>
  <c r="S37" i="1"/>
  <c r="S107" i="1" s="1"/>
  <c r="Q37" i="1"/>
  <c r="Q107" i="1" s="1"/>
  <c r="P37" i="1"/>
  <c r="O37" i="1"/>
  <c r="O107" i="1" s="1"/>
  <c r="M37" i="1"/>
  <c r="M107" i="1" s="1"/>
  <c r="L37" i="1"/>
  <c r="K37" i="1"/>
  <c r="K107" i="1" s="1"/>
  <c r="I37" i="1"/>
  <c r="I107" i="1" s="1"/>
  <c r="H37" i="1"/>
  <c r="G37" i="1"/>
  <c r="G107" i="1" s="1"/>
  <c r="U36" i="1"/>
  <c r="U106" i="1" s="1"/>
  <c r="T36" i="1"/>
  <c r="S36" i="1"/>
  <c r="S106" i="1" s="1"/>
  <c r="Q36" i="1"/>
  <c r="Q106" i="1" s="1"/>
  <c r="P36" i="1"/>
  <c r="O36" i="1"/>
  <c r="O106" i="1" s="1"/>
  <c r="M36" i="1"/>
  <c r="M106" i="1" s="1"/>
  <c r="L36" i="1"/>
  <c r="K36" i="1"/>
  <c r="K106" i="1" s="1"/>
  <c r="I36" i="1"/>
  <c r="I106" i="1" s="1"/>
  <c r="H36" i="1"/>
  <c r="G36" i="1"/>
  <c r="G106" i="1" s="1"/>
  <c r="U35" i="1"/>
  <c r="T35" i="1"/>
  <c r="S35" i="1"/>
  <c r="Q35" i="1"/>
  <c r="P35" i="1"/>
  <c r="O35" i="1"/>
  <c r="M35" i="1"/>
  <c r="L35" i="1"/>
  <c r="K35" i="1"/>
  <c r="I35" i="1"/>
  <c r="H35" i="1"/>
  <c r="G35" i="1"/>
  <c r="U34" i="1"/>
  <c r="U108" i="1" s="1"/>
  <c r="T34" i="1"/>
  <c r="S34" i="1"/>
  <c r="S108" i="1" s="1"/>
  <c r="Q34" i="1"/>
  <c r="Q108" i="1" s="1"/>
  <c r="P34" i="1"/>
  <c r="O34" i="1"/>
  <c r="O108" i="1" s="1"/>
  <c r="M34" i="1"/>
  <c r="M108" i="1" s="1"/>
  <c r="L34" i="1"/>
  <c r="K34" i="1"/>
  <c r="K108" i="1" s="1"/>
  <c r="I34" i="1"/>
  <c r="I108" i="1" s="1"/>
  <c r="H34" i="1"/>
  <c r="G34" i="1"/>
  <c r="G108" i="1" s="1"/>
  <c r="S32" i="1"/>
  <c r="O32" i="1"/>
  <c r="K32" i="1"/>
  <c r="G32" i="1"/>
  <c r="G31" i="1"/>
  <c r="M30" i="1"/>
  <c r="I29" i="1"/>
  <c r="U28" i="1"/>
  <c r="U55" i="1" s="1"/>
  <c r="S28" i="1"/>
  <c r="S55" i="1" s="1"/>
  <c r="Q28" i="1"/>
  <c r="Q55" i="1" s="1"/>
  <c r="O28" i="1"/>
  <c r="O55" i="1" s="1"/>
  <c r="M28" i="1"/>
  <c r="M29" i="1" s="1"/>
  <c r="K28" i="1"/>
  <c r="K55" i="1" s="1"/>
  <c r="I28" i="1"/>
  <c r="I55" i="1" s="1"/>
  <c r="G28" i="1"/>
  <c r="Q27" i="1"/>
  <c r="Q54" i="1" s="1"/>
  <c r="O27" i="1"/>
  <c r="O30" i="1" s="1"/>
  <c r="M27" i="1"/>
  <c r="K27" i="1"/>
  <c r="K54" i="1" s="1"/>
  <c r="I27" i="1"/>
  <c r="I54" i="1" s="1"/>
  <c r="G27" i="1"/>
  <c r="Q26" i="1"/>
  <c r="Q53" i="1" s="1"/>
  <c r="O26" i="1"/>
  <c r="M26" i="1"/>
  <c r="M53" i="1" s="1"/>
  <c r="K26" i="1"/>
  <c r="K53" i="1" s="1"/>
  <c r="I26" i="1"/>
  <c r="I53" i="1" s="1"/>
  <c r="G26" i="1"/>
  <c r="X25" i="1"/>
  <c r="E52" i="1"/>
  <c r="D52" i="1"/>
  <c r="C52" i="1"/>
  <c r="B52" i="1"/>
  <c r="X24" i="1"/>
  <c r="E51" i="1"/>
  <c r="D51" i="1"/>
  <c r="C51" i="1"/>
  <c r="B51" i="1"/>
  <c r="Z23" i="1"/>
  <c r="E50" i="1"/>
  <c r="D50" i="1"/>
  <c r="C50" i="1"/>
  <c r="B50" i="1"/>
  <c r="Z22" i="1"/>
  <c r="X22" i="1"/>
  <c r="E49" i="1"/>
  <c r="D49" i="1"/>
  <c r="C49" i="1"/>
  <c r="B49" i="1"/>
  <c r="Z21" i="1"/>
  <c r="E48" i="1"/>
  <c r="X21" i="1"/>
  <c r="C48" i="1"/>
  <c r="B48" i="1"/>
  <c r="X20" i="1"/>
  <c r="Z20" i="1"/>
  <c r="E47" i="1"/>
  <c r="D47" i="1"/>
  <c r="C47" i="1"/>
  <c r="B47" i="1"/>
  <c r="Z19" i="1"/>
  <c r="E46" i="1"/>
  <c r="E110" i="1" s="1"/>
  <c r="D46" i="1"/>
  <c r="D110" i="1" s="1"/>
  <c r="C46" i="1"/>
  <c r="B46" i="1"/>
  <c r="Z18" i="1"/>
  <c r="E45" i="1"/>
  <c r="E109" i="1" s="1"/>
  <c r="D45" i="1"/>
  <c r="D109" i="1" s="1"/>
  <c r="C45" i="1"/>
  <c r="B45" i="1"/>
  <c r="Z17" i="1"/>
  <c r="E44" i="1"/>
  <c r="X17" i="1"/>
  <c r="C44" i="1"/>
  <c r="B44" i="1"/>
  <c r="Y27" i="1"/>
  <c r="X16" i="1"/>
  <c r="E43" i="1"/>
  <c r="E111" i="1" s="1"/>
  <c r="D43" i="1"/>
  <c r="C43" i="1"/>
  <c r="Z15" i="1"/>
  <c r="E42" i="1"/>
  <c r="D42" i="1"/>
  <c r="C42" i="1"/>
  <c r="B42" i="1"/>
  <c r="Z14" i="1"/>
  <c r="E41" i="1"/>
  <c r="D41" i="1"/>
  <c r="C41" i="1"/>
  <c r="B41" i="1"/>
  <c r="Z13" i="1"/>
  <c r="X13" i="1"/>
  <c r="E40" i="1"/>
  <c r="D40" i="1"/>
  <c r="C40" i="1"/>
  <c r="B40" i="1"/>
  <c r="Z12" i="1"/>
  <c r="E39" i="1"/>
  <c r="X12" i="1"/>
  <c r="C39" i="1"/>
  <c r="B39" i="1"/>
  <c r="Z11" i="1"/>
  <c r="E38" i="1"/>
  <c r="D38" i="1"/>
  <c r="C38" i="1"/>
  <c r="B38" i="1"/>
  <c r="Z10" i="1"/>
  <c r="E37" i="1"/>
  <c r="E107" i="1" s="1"/>
  <c r="D37" i="1"/>
  <c r="D107" i="1" s="1"/>
  <c r="C37" i="1"/>
  <c r="B37" i="1"/>
  <c r="Z9" i="1"/>
  <c r="X9" i="1"/>
  <c r="E36" i="1"/>
  <c r="E106" i="1" s="1"/>
  <c r="D36" i="1"/>
  <c r="D106" i="1" s="1"/>
  <c r="C36" i="1"/>
  <c r="B36" i="1"/>
  <c r="Z8" i="1"/>
  <c r="X8" i="1"/>
  <c r="E35" i="1"/>
  <c r="D35" i="1"/>
  <c r="C35" i="1"/>
  <c r="B35" i="1"/>
  <c r="Z7" i="1"/>
  <c r="Y26" i="1"/>
  <c r="W28" i="1"/>
  <c r="E34" i="1"/>
  <c r="D34" i="1"/>
  <c r="C34" i="1"/>
  <c r="D3" i="1"/>
  <c r="C3" i="1"/>
  <c r="C109" i="1" l="1"/>
  <c r="C92" i="1"/>
  <c r="C81" i="1"/>
  <c r="C78" i="1"/>
  <c r="C106" i="1"/>
  <c r="C95" i="1"/>
  <c r="K63" i="1"/>
  <c r="K57" i="1" s="1"/>
  <c r="S61" i="1"/>
  <c r="S56" i="1" s="1"/>
  <c r="C110" i="1"/>
  <c r="C96" i="1"/>
  <c r="C93" i="1"/>
  <c r="C82" i="1"/>
  <c r="C107" i="1"/>
  <c r="C79" i="1"/>
  <c r="E113" i="1"/>
  <c r="P26" i="1"/>
  <c r="P53" i="1" s="1"/>
  <c r="E108" i="1"/>
  <c r="E112" i="1" s="1"/>
  <c r="X28" i="1"/>
  <c r="O61" i="1"/>
  <c r="O56" i="1" s="1"/>
  <c r="X7" i="1"/>
  <c r="X11" i="1"/>
  <c r="X15" i="1"/>
  <c r="X19" i="1"/>
  <c r="X23" i="1"/>
  <c r="Z25" i="1"/>
  <c r="D26" i="1"/>
  <c r="W26" i="1"/>
  <c r="D27" i="1"/>
  <c r="H27" i="1" s="1"/>
  <c r="H54" i="1" s="1"/>
  <c r="W27" i="1"/>
  <c r="D28" i="1"/>
  <c r="Y28" i="1"/>
  <c r="O29" i="1"/>
  <c r="Q30" i="1"/>
  <c r="M112" i="1"/>
  <c r="T106" i="1"/>
  <c r="S112" i="1"/>
  <c r="T107" i="1"/>
  <c r="M113" i="1"/>
  <c r="S113" i="1"/>
  <c r="T109" i="1"/>
  <c r="T110" i="1"/>
  <c r="O53" i="1"/>
  <c r="O63" i="1" s="1"/>
  <c r="O57" i="1" s="1"/>
  <c r="X53" i="1"/>
  <c r="G54" i="1"/>
  <c r="G65" i="1" s="1"/>
  <c r="G58" i="1" s="1"/>
  <c r="S69" i="1"/>
  <c r="S60" i="1" s="1"/>
  <c r="T100" i="1"/>
  <c r="X10" i="1"/>
  <c r="X14" i="1"/>
  <c r="Z16" i="1"/>
  <c r="X18" i="1"/>
  <c r="Z24" i="1"/>
  <c r="E26" i="1"/>
  <c r="E53" i="1" s="1"/>
  <c r="E27" i="1"/>
  <c r="E54" i="1" s="1"/>
  <c r="W54" i="1" s="1"/>
  <c r="W55" i="1" s="1"/>
  <c r="P27" i="1"/>
  <c r="P54" i="1" s="1"/>
  <c r="E28" i="1"/>
  <c r="P28" i="1"/>
  <c r="P55" i="1" s="1"/>
  <c r="Q29" i="1"/>
  <c r="I30" i="1"/>
  <c r="S30" i="1"/>
  <c r="I112" i="1"/>
  <c r="P106" i="1"/>
  <c r="O112" i="1"/>
  <c r="P107" i="1"/>
  <c r="D39" i="1"/>
  <c r="D108" i="1" s="1"/>
  <c r="D44" i="1"/>
  <c r="D111" i="1" s="1"/>
  <c r="I113" i="1"/>
  <c r="O113" i="1"/>
  <c r="P109" i="1"/>
  <c r="P110" i="1"/>
  <c r="D48" i="1"/>
  <c r="M54" i="1"/>
  <c r="G55" i="1"/>
  <c r="G61" i="1" s="1"/>
  <c r="G56" i="1" s="1"/>
  <c r="S63" i="1"/>
  <c r="S57" i="1" s="1"/>
  <c r="P86" i="1"/>
  <c r="B97" i="1"/>
  <c r="B95" i="1"/>
  <c r="B111" i="1"/>
  <c r="B110" i="1"/>
  <c r="B109" i="1"/>
  <c r="B83" i="1"/>
  <c r="B81" i="1"/>
  <c r="B96" i="1"/>
  <c r="B82" i="1"/>
  <c r="S29" i="1"/>
  <c r="L106" i="1"/>
  <c r="K112" i="1"/>
  <c r="U112" i="1"/>
  <c r="L107" i="1"/>
  <c r="L109" i="1"/>
  <c r="K113" i="1"/>
  <c r="U113" i="1"/>
  <c r="L110" i="1"/>
  <c r="G53" i="1"/>
  <c r="G63" i="1" s="1"/>
  <c r="G57" i="1" s="1"/>
  <c r="O54" i="1"/>
  <c r="O69" i="1" s="1"/>
  <c r="O60" i="1" s="1"/>
  <c r="X54" i="1"/>
  <c r="X55" i="1" s="1"/>
  <c r="M55" i="1"/>
  <c r="S65" i="1"/>
  <c r="S58" i="1" s="1"/>
  <c r="L86" i="1"/>
  <c r="B108" i="1"/>
  <c r="B107" i="1"/>
  <c r="B106" i="1"/>
  <c r="B79" i="1"/>
  <c r="B94" i="1"/>
  <c r="B92" i="1"/>
  <c r="B80" i="1"/>
  <c r="B78" i="1"/>
  <c r="B93" i="1"/>
  <c r="V26" i="1"/>
  <c r="B34" i="1"/>
  <c r="G112" i="1"/>
  <c r="H106" i="1"/>
  <c r="Q112" i="1"/>
  <c r="H107" i="1"/>
  <c r="B43" i="1"/>
  <c r="H109" i="1"/>
  <c r="G113" i="1"/>
  <c r="Q113" i="1"/>
  <c r="H110" i="1"/>
  <c r="U65" i="1"/>
  <c r="O101" i="1"/>
  <c r="P84" i="1"/>
  <c r="H85" i="1"/>
  <c r="E86" i="1"/>
  <c r="D87" i="1" s="1"/>
  <c r="U86" i="1"/>
  <c r="I88" i="1"/>
  <c r="Q88" i="1"/>
  <c r="G89" i="1"/>
  <c r="O89" i="1"/>
  <c r="D90" i="1"/>
  <c r="M90" i="1"/>
  <c r="U90" i="1"/>
  <c r="K91" i="1"/>
  <c r="S91" i="1"/>
  <c r="T98" i="1"/>
  <c r="I100" i="1"/>
  <c r="G102" i="1"/>
  <c r="O102" i="1"/>
  <c r="D103" i="1"/>
  <c r="M103" i="1"/>
  <c r="U103" i="1"/>
  <c r="K104" i="1"/>
  <c r="S104" i="1"/>
  <c r="I105" i="1"/>
  <c r="Q105" i="1"/>
  <c r="K117" i="1"/>
  <c r="S117" i="1"/>
  <c r="G119" i="1"/>
  <c r="O119" i="1"/>
  <c r="G86" i="1"/>
  <c r="H86" i="1" s="1"/>
  <c r="Q86" i="1"/>
  <c r="K88" i="1"/>
  <c r="S88" i="1"/>
  <c r="I89" i="1"/>
  <c r="Q89" i="1"/>
  <c r="G90" i="1"/>
  <c r="O90" i="1"/>
  <c r="D91" i="1"/>
  <c r="M91" i="1"/>
  <c r="U91" i="1"/>
  <c r="E100" i="1"/>
  <c r="D101" i="1" s="1"/>
  <c r="K100" i="1"/>
  <c r="L100" i="1" s="1"/>
  <c r="U100" i="1"/>
  <c r="Q102" i="1"/>
  <c r="G103" i="1"/>
  <c r="O103" i="1"/>
  <c r="D104" i="1"/>
  <c r="M104" i="1"/>
  <c r="U104" i="1"/>
  <c r="K105" i="1"/>
  <c r="S105" i="1"/>
  <c r="D117" i="1"/>
  <c r="K118" i="1"/>
  <c r="S118" i="1"/>
  <c r="M86" i="1"/>
  <c r="S86" i="1"/>
  <c r="T86" i="1" s="1"/>
  <c r="K89" i="1"/>
  <c r="S89" i="1"/>
  <c r="I90" i="1"/>
  <c r="Q90" i="1"/>
  <c r="G91" i="1"/>
  <c r="O91" i="1"/>
  <c r="G100" i="1"/>
  <c r="H100" i="1" s="1"/>
  <c r="K102" i="1"/>
  <c r="S102" i="1"/>
  <c r="I103" i="1"/>
  <c r="Q103" i="1"/>
  <c r="G104" i="1"/>
  <c r="O104" i="1"/>
  <c r="D105" i="1"/>
  <c r="G117" i="1"/>
  <c r="O117" i="1"/>
  <c r="D118" i="1"/>
  <c r="K119" i="1"/>
  <c r="S119" i="1"/>
  <c r="I86" i="1"/>
  <c r="D89" i="1"/>
  <c r="M89" i="1"/>
  <c r="U89" i="1"/>
  <c r="K90" i="1"/>
  <c r="S90" i="1"/>
  <c r="I91" i="1"/>
  <c r="Q91" i="1"/>
  <c r="M100" i="1"/>
  <c r="G105" i="1"/>
  <c r="O105" i="1"/>
  <c r="D112" i="1" l="1"/>
  <c r="H108" i="1"/>
  <c r="L108" i="1"/>
  <c r="T108" i="1"/>
  <c r="P108" i="1"/>
  <c r="T111" i="1"/>
  <c r="P111" i="1"/>
  <c r="D113" i="1"/>
  <c r="L111" i="1"/>
  <c r="H111" i="1"/>
  <c r="E114" i="1"/>
  <c r="D116" i="1"/>
  <c r="I87" i="1"/>
  <c r="G87" i="1"/>
  <c r="K61" i="1"/>
  <c r="K56" i="1" s="1"/>
  <c r="I117" i="1"/>
  <c r="I119" i="1"/>
  <c r="I118" i="1"/>
  <c r="D63" i="1"/>
  <c r="D57" i="1" s="1"/>
  <c r="D55" i="1"/>
  <c r="L28" i="1"/>
  <c r="L55" i="1" s="1"/>
  <c r="T28" i="1"/>
  <c r="T55" i="1" s="1"/>
  <c r="L26" i="1"/>
  <c r="L53" i="1" s="1"/>
  <c r="D53" i="1"/>
  <c r="Q63" i="1"/>
  <c r="Q64" i="1" s="1"/>
  <c r="O67" i="1"/>
  <c r="O59" i="1" s="1"/>
  <c r="G67" i="1"/>
  <c r="G59" i="1" s="1"/>
  <c r="M63" i="1"/>
  <c r="M64" i="1" s="1"/>
  <c r="U63" i="1"/>
  <c r="U64" i="1" s="1"/>
  <c r="U87" i="1"/>
  <c r="S87" i="1"/>
  <c r="Q101" i="1"/>
  <c r="Q117" i="1"/>
  <c r="Q119" i="1"/>
  <c r="Q118" i="1"/>
  <c r="G114" i="1"/>
  <c r="H112" i="1"/>
  <c r="U119" i="1"/>
  <c r="U118" i="1"/>
  <c r="U117" i="1"/>
  <c r="P112" i="1"/>
  <c r="O114" i="1"/>
  <c r="E29" i="1"/>
  <c r="E55" i="1"/>
  <c r="M61" i="1" s="1"/>
  <c r="M62" i="1" s="1"/>
  <c r="E30" i="1"/>
  <c r="T113" i="1"/>
  <c r="T112" i="1"/>
  <c r="S114" i="1"/>
  <c r="Z27" i="1"/>
  <c r="X27" i="1"/>
  <c r="W53" i="1"/>
  <c r="H28" i="1"/>
  <c r="H55" i="1" s="1"/>
  <c r="O65" i="1"/>
  <c r="O58" i="1" s="1"/>
  <c r="G69" i="1"/>
  <c r="G60" i="1" s="1"/>
  <c r="M101" i="1"/>
  <c r="K101" i="1"/>
  <c r="G101" i="1"/>
  <c r="I101" i="1"/>
  <c r="H113" i="1"/>
  <c r="L113" i="1"/>
  <c r="S116" i="1"/>
  <c r="U114" i="1"/>
  <c r="U116" i="1"/>
  <c r="M119" i="1"/>
  <c r="M118" i="1"/>
  <c r="M117" i="1"/>
  <c r="D54" i="1"/>
  <c r="D65" i="1" s="1"/>
  <c r="D58" i="1" s="1"/>
  <c r="L27" i="1"/>
  <c r="L54" i="1" s="1"/>
  <c r="M87" i="1"/>
  <c r="K87" i="1"/>
  <c r="U101" i="1"/>
  <c r="S101" i="1"/>
  <c r="Q87" i="1"/>
  <c r="O87" i="1"/>
  <c r="U66" i="1"/>
  <c r="U69" i="1"/>
  <c r="U70" i="1" s="1"/>
  <c r="U67" i="1"/>
  <c r="U68" i="1" s="1"/>
  <c r="Q114" i="1"/>
  <c r="Q116" i="1"/>
  <c r="O116" i="1"/>
  <c r="L112" i="1"/>
  <c r="K114" i="1"/>
  <c r="K67" i="1"/>
  <c r="K59" i="1" s="1"/>
  <c r="M65" i="1"/>
  <c r="K65" i="1"/>
  <c r="K58" i="1" s="1"/>
  <c r="K69" i="1"/>
  <c r="K60" i="1" s="1"/>
  <c r="V54" i="1"/>
  <c r="V55" i="1" s="1"/>
  <c r="P113" i="1"/>
  <c r="I116" i="1"/>
  <c r="G116" i="1"/>
  <c r="I114" i="1"/>
  <c r="D69" i="1"/>
  <c r="D60" i="1" s="1"/>
  <c r="D67" i="1"/>
  <c r="D59" i="1" s="1"/>
  <c r="K116" i="1"/>
  <c r="M116" i="1"/>
  <c r="M114" i="1"/>
  <c r="Z26" i="1"/>
  <c r="X26" i="1"/>
  <c r="V27" i="1"/>
  <c r="I63" i="1"/>
  <c r="I64" i="1" s="1"/>
  <c r="H26" i="1"/>
  <c r="H53" i="1" s="1"/>
  <c r="Q65" i="1"/>
  <c r="I65" i="1"/>
  <c r="V53" i="1"/>
  <c r="I115" i="1" l="1"/>
  <c r="G115" i="1"/>
  <c r="Q115" i="1"/>
  <c r="O115" i="1"/>
  <c r="U115" i="1"/>
  <c r="S115" i="1"/>
  <c r="M115" i="1"/>
  <c r="K115" i="1"/>
  <c r="Q69" i="1"/>
  <c r="Q70" i="1" s="1"/>
  <c r="Q67" i="1"/>
  <c r="Q68" i="1" s="1"/>
  <c r="Q66" i="1"/>
  <c r="I69" i="1"/>
  <c r="I70" i="1" s="1"/>
  <c r="I67" i="1"/>
  <c r="I68" i="1" s="1"/>
  <c r="I66" i="1"/>
  <c r="M69" i="1"/>
  <c r="M70" i="1" s="1"/>
  <c r="M66" i="1"/>
  <c r="M67" i="1"/>
  <c r="M68" i="1" s="1"/>
  <c r="D61" i="1"/>
  <c r="D56" i="1" s="1"/>
  <c r="I61" i="1"/>
  <c r="I62" i="1" s="1"/>
  <c r="U61" i="1"/>
  <c r="U62" i="1" s="1"/>
  <c r="Q61" i="1"/>
  <c r="Q62" i="1" s="1"/>
  <c r="H114" i="1"/>
  <c r="D114" i="1"/>
  <c r="D115" i="1" s="1"/>
  <c r="P114" i="1" l="1"/>
  <c r="L114" i="1"/>
  <c r="T114" i="1"/>
</calcChain>
</file>

<file path=xl/sharedStrings.xml><?xml version="1.0" encoding="utf-8"?>
<sst xmlns="http://schemas.openxmlformats.org/spreadsheetml/2006/main" count="163" uniqueCount="65">
  <si>
    <t>Optimal channel spend allowed to vary based on custom constraints of the 2024 channel spend</t>
  </si>
  <si>
    <t>Current Optimal ($92MM)</t>
  </si>
  <si>
    <t>20M increase in total budget (10M increase in adult and adolescent in each)</t>
  </si>
  <si>
    <t>20M increase in total budget ( Global Max 130%)</t>
  </si>
  <si>
    <t>20M increase in total budget ( Global Max 140%)</t>
  </si>
  <si>
    <t>Formula Template</t>
  </si>
  <si>
    <t>InScope Promotion</t>
  </si>
  <si>
    <t>Spend</t>
  </si>
  <si>
    <t>Expected pre-tax NPV($MM)</t>
  </si>
  <si>
    <t>Pre-tax Spend (MM)</t>
  </si>
  <si>
    <t>% Change from current</t>
  </si>
  <si>
    <t>Expected pre-tax NPV (MM)</t>
  </si>
  <si>
    <t>Current optimal Overall vs Individual</t>
  </si>
  <si>
    <t>10M increase Overall vs Individual</t>
  </si>
  <si>
    <t>20M increase Overall vs Individual</t>
  </si>
  <si>
    <t>Gardasil Adolescents</t>
  </si>
  <si>
    <t>Gardasil Adults</t>
  </si>
  <si>
    <t>Total InScope Budget</t>
  </si>
  <si>
    <t>2024 Current Baseline ($MM)</t>
  </si>
  <si>
    <t>Indication</t>
  </si>
  <si>
    <t>In-Scope Promotion</t>
  </si>
  <si>
    <t>Spend (MM)</t>
  </si>
  <si>
    <t>Expected pre-tax NPV(MM)</t>
  </si>
  <si>
    <t>Δ Pre-tax Revenue w.r.t 2024 Current baseline</t>
  </si>
  <si>
    <t>+$7(1.4%)</t>
  </si>
  <si>
    <t>+$71(14%)</t>
  </si>
  <si>
    <t>+$76(15%)</t>
  </si>
  <si>
    <t>+$84(16%)</t>
  </si>
  <si>
    <t>Δ Adolescents Pre-tax Revenue w.r.t 2024 Current baseline</t>
  </si>
  <si>
    <t>+$1(0.5%)</t>
  </si>
  <si>
    <t>+$47(16%)</t>
  </si>
  <si>
    <t>+$54(19%)</t>
  </si>
  <si>
    <t>+$68(23%)</t>
  </si>
  <si>
    <t>Δ  Pre-tax Adult Revenue w.r.t 2024 Current baseline (Total doses)</t>
  </si>
  <si>
    <t>+$6(2.6%)</t>
  </si>
  <si>
    <t>+$24(11%)</t>
  </si>
  <si>
    <t>+$21(10%)</t>
  </si>
  <si>
    <t>+$16(7%)</t>
  </si>
  <si>
    <t>Δ  Pre-tax Adult Projected Revenue w.r.t 2024 Current baseline</t>
  </si>
  <si>
    <t>+$7(2.6%)</t>
  </si>
  <si>
    <t>+$30(11%)</t>
  </si>
  <si>
    <t>+$27(10%)</t>
  </si>
  <si>
    <t>+$20(7%)</t>
  </si>
  <si>
    <t>Δ Pre-tax Adult Revenue w.r.t 2024 Current baseline</t>
  </si>
  <si>
    <t>+$5(2.6%)</t>
  </si>
  <si>
    <t>+$19(11%)</t>
  </si>
  <si>
    <t>+$17(10%)</t>
  </si>
  <si>
    <t>+$13(7%)</t>
  </si>
  <si>
    <t>$1.0 MM From Socail to OLV</t>
  </si>
  <si>
    <t>Others</t>
  </si>
  <si>
    <t>$1.5 MM From Socail to OLV</t>
  </si>
  <si>
    <t>$2.0 MM From Socail to OLV</t>
  </si>
  <si>
    <t>HCC In Office</t>
  </si>
  <si>
    <t>HCP MCM</t>
  </si>
  <si>
    <t>HCC Social</t>
  </si>
  <si>
    <t>HCC Online Video</t>
  </si>
  <si>
    <t>HCC Streaming Video</t>
  </si>
  <si>
    <t>HCC Display</t>
  </si>
  <si>
    <t>HCC Paid Search</t>
  </si>
  <si>
    <t>HCC Audio</t>
  </si>
  <si>
    <t>HCC TV</t>
  </si>
  <si>
    <t>HCC InOffice</t>
  </si>
  <si>
    <t>HCC Linear TV</t>
  </si>
  <si>
    <t>HCC Radio</t>
  </si>
  <si>
    <t>HCC Pharmacy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</si>
</sst>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"/>
    <numFmt numFmtId="165" formatCode="&quot;$&quot;#,##0.0"/>
    <numFmt numFmtId="166" formatCode="0.0"/>
    <numFmt numFmtId="167" formatCode="&quot;$&quot;#,##0.00"/>
    <numFmt numFmtId="168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9"/>
      <color theme="1"/>
      <name val="Arial"/>
      <family val="2"/>
    </font>
    <font>
      <b/>
      <sz val="10"/>
      <color rgb="FF00B050"/>
      <name val="Arial"/>
      <family val="2"/>
    </font>
    <font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sz val="8"/>
      <color theme="1"/>
      <name val="Arial"/>
      <family val="2"/>
    </font>
    <font>
      <b/>
      <sz val="9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8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0">
    <xf numFmtId="0" fontId="0" fillId="0" borderId="0" xfId="0"/>
    <xf numFmtId="164" fontId="0" fillId="0" borderId="0" xfId="0" applyNumberForma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4" xfId="0" applyBorder="1" applyAlignment="1">
      <alignment horizontal="left" vertical="center" wrapText="1" inden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left" vertical="center" indent="1"/>
    </xf>
    <xf numFmtId="164" fontId="0" fillId="0" borderId="9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9" fontId="0" fillId="0" borderId="11" xfId="2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0" fillId="0" borderId="11" xfId="0" applyBorder="1"/>
    <xf numFmtId="164" fontId="0" fillId="0" borderId="0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  <xf numFmtId="164" fontId="0" fillId="0" borderId="12" xfId="0" applyNumberFormat="1" applyBorder="1"/>
    <xf numFmtId="164" fontId="0" fillId="0" borderId="14" xfId="0" applyNumberFormat="1" applyBorder="1"/>
    <xf numFmtId="0" fontId="0" fillId="0" borderId="15" xfId="0" applyBorder="1" applyAlignment="1">
      <alignment horizontal="left" vertical="center" indent="1"/>
    </xf>
    <xf numFmtId="164" fontId="0" fillId="0" borderId="9" xfId="0" applyNumberFormat="1" applyBorder="1"/>
    <xf numFmtId="164" fontId="0" fillId="0" borderId="16" xfId="0" applyNumberFormat="1" applyBorder="1"/>
    <xf numFmtId="0" fontId="0" fillId="0" borderId="17" xfId="0" applyBorder="1" applyAlignment="1">
      <alignment horizontal="left" vertical="center" indent="1"/>
    </xf>
    <xf numFmtId="164" fontId="0" fillId="0" borderId="18" xfId="1" applyNumberFormat="1" applyFont="1" applyBorder="1" applyAlignment="1">
      <alignment horizontal="center"/>
    </xf>
    <xf numFmtId="164" fontId="0" fillId="0" borderId="19" xfId="1" applyNumberFormat="1" applyFont="1" applyBorder="1" applyAlignment="1">
      <alignment horizontal="center"/>
    </xf>
    <xf numFmtId="9" fontId="0" fillId="0" borderId="18" xfId="2" applyFont="1" applyBorder="1" applyAlignment="1">
      <alignment horizontal="center"/>
    </xf>
    <xf numFmtId="164" fontId="0" fillId="0" borderId="20" xfId="1" applyNumberFormat="1" applyFont="1" applyBorder="1" applyAlignment="1">
      <alignment horizontal="center"/>
    </xf>
    <xf numFmtId="164" fontId="0" fillId="0" borderId="19" xfId="0" applyNumberFormat="1" applyBorder="1"/>
    <xf numFmtId="164" fontId="0" fillId="3" borderId="0" xfId="1" applyNumberFormat="1" applyFont="1" applyFill="1" applyAlignment="1">
      <alignment horizontal="center"/>
    </xf>
    <xf numFmtId="0" fontId="0" fillId="0" borderId="21" xfId="0" applyBorder="1" applyAlignment="1">
      <alignment horizontal="left" vertical="center" indent="1"/>
    </xf>
    <xf numFmtId="164" fontId="0" fillId="0" borderId="22" xfId="0" applyNumberFormat="1" applyBorder="1"/>
    <xf numFmtId="0" fontId="0" fillId="0" borderId="0" xfId="0" applyAlignment="1">
      <alignment horizontal="left" vertical="center" indent="1"/>
    </xf>
    <xf numFmtId="0" fontId="0" fillId="0" borderId="14" xfId="0" applyBorder="1" applyAlignment="1">
      <alignment horizontal="left" vertical="center" indent="1"/>
    </xf>
    <xf numFmtId="9" fontId="0" fillId="0" borderId="11" xfId="2" applyFont="1" applyBorder="1" applyAlignment="1">
      <alignment horizontal="center" vertical="center"/>
    </xf>
    <xf numFmtId="0" fontId="0" fillId="0" borderId="22" xfId="0" applyBorder="1" applyAlignment="1">
      <alignment horizontal="left" vertical="center" indent="1"/>
    </xf>
    <xf numFmtId="9" fontId="0" fillId="0" borderId="18" xfId="2" applyFont="1" applyBorder="1" applyAlignment="1">
      <alignment horizontal="center" vertical="center"/>
    </xf>
    <xf numFmtId="0" fontId="0" fillId="0" borderId="23" xfId="0" applyBorder="1" applyAlignment="1">
      <alignment horizontal="left" vertical="center" wrapText="1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7" xfId="2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3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2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0" xfId="0" applyFont="1"/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7" fillId="0" borderId="27" xfId="0" applyFont="1" applyBorder="1" applyAlignment="1">
      <alignment horizontal="left" vertical="center" wrapText="1" indent="1"/>
    </xf>
    <xf numFmtId="0" fontId="7" fillId="0" borderId="27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left" vertical="center" indent="1"/>
    </xf>
    <xf numFmtId="165" fontId="11" fillId="0" borderId="31" xfId="1" applyNumberFormat="1" applyFont="1" applyBorder="1" applyAlignment="1">
      <alignment horizontal="center" vertical="center"/>
    </xf>
    <xf numFmtId="164" fontId="11" fillId="0" borderId="32" xfId="1" applyNumberFormat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165" fontId="11" fillId="0" borderId="33" xfId="1" applyNumberFormat="1" applyFont="1" applyBorder="1" applyAlignment="1">
      <alignment horizontal="center" vertical="center"/>
    </xf>
    <xf numFmtId="9" fontId="11" fillId="0" borderId="31" xfId="2" applyFont="1" applyBorder="1" applyAlignment="1">
      <alignment horizontal="center" vertical="center"/>
    </xf>
    <xf numFmtId="164" fontId="11" fillId="0" borderId="34" xfId="1" applyNumberFormat="1" applyFont="1" applyBorder="1" applyAlignment="1">
      <alignment horizontal="center" vertical="center"/>
    </xf>
    <xf numFmtId="0" fontId="11" fillId="0" borderId="0" xfId="0" applyFont="1"/>
    <xf numFmtId="165" fontId="11" fillId="0" borderId="34" xfId="1" applyNumberFormat="1" applyFont="1" applyBorder="1" applyAlignment="1">
      <alignment horizontal="center" vertical="center"/>
    </xf>
    <xf numFmtId="165" fontId="11" fillId="0" borderId="0" xfId="1" applyNumberFormat="1" applyFont="1" applyBorder="1" applyAlignment="1">
      <alignment horizontal="center" vertical="center"/>
    </xf>
    <xf numFmtId="165" fontId="11" fillId="0" borderId="35" xfId="1" applyNumberFormat="1" applyFont="1" applyBorder="1" applyAlignment="1">
      <alignment horizontal="center" vertical="center"/>
    </xf>
    <xf numFmtId="164" fontId="11" fillId="0" borderId="36" xfId="1" applyNumberFormat="1" applyFont="1" applyBorder="1" applyAlignment="1">
      <alignment horizontal="center" vertical="center"/>
    </xf>
    <xf numFmtId="165" fontId="11" fillId="0" borderId="37" xfId="1" applyNumberFormat="1" applyFont="1" applyBorder="1" applyAlignment="1">
      <alignment horizontal="center" vertical="center"/>
    </xf>
    <xf numFmtId="9" fontId="11" fillId="0" borderId="35" xfId="2" applyFont="1" applyBorder="1" applyAlignment="1">
      <alignment horizontal="center" vertical="center"/>
    </xf>
    <xf numFmtId="164" fontId="11" fillId="0" borderId="38" xfId="1" applyNumberFormat="1" applyFont="1" applyBorder="1" applyAlignment="1">
      <alignment horizontal="center" vertical="center"/>
    </xf>
    <xf numFmtId="165" fontId="11" fillId="0" borderId="38" xfId="1" applyNumberFormat="1" applyFont="1" applyBorder="1" applyAlignment="1">
      <alignment horizontal="center" vertical="center"/>
    </xf>
    <xf numFmtId="166" fontId="6" fillId="0" borderId="0" xfId="0" applyNumberFormat="1" applyFont="1" applyAlignment="1">
      <alignment horizontal="center"/>
    </xf>
    <xf numFmtId="0" fontId="9" fillId="4" borderId="39" xfId="0" applyFont="1" applyFill="1" applyBorder="1" applyAlignment="1">
      <alignment horizontal="left" vertical="center" wrapText="1" indent="1"/>
    </xf>
    <xf numFmtId="165" fontId="9" fillId="4" borderId="40" xfId="0" applyNumberFormat="1" applyFont="1" applyFill="1" applyBorder="1" applyAlignment="1">
      <alignment horizontal="center" vertical="center"/>
    </xf>
    <xf numFmtId="164" fontId="9" fillId="4" borderId="4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9" fillId="4" borderId="42" xfId="1" applyNumberFormat="1" applyFont="1" applyFill="1" applyBorder="1" applyAlignment="1">
      <alignment horizontal="center" vertical="center" wrapText="1"/>
    </xf>
    <xf numFmtId="9" fontId="7" fillId="0" borderId="35" xfId="2" applyFont="1" applyBorder="1" applyAlignment="1">
      <alignment horizontal="center" vertical="center"/>
    </xf>
    <xf numFmtId="164" fontId="9" fillId="4" borderId="43" xfId="1" applyNumberFormat="1" applyFont="1" applyFill="1" applyBorder="1" applyAlignment="1">
      <alignment horizontal="center" vertical="center" wrapText="1"/>
    </xf>
    <xf numFmtId="164" fontId="9" fillId="4" borderId="0" xfId="1" applyNumberFormat="1" applyFont="1" applyFill="1" applyBorder="1" applyAlignment="1">
      <alignment horizontal="center" vertical="center" wrapText="1"/>
    </xf>
    <xf numFmtId="164" fontId="9" fillId="4" borderId="40" xfId="0" applyNumberFormat="1" applyFont="1" applyFill="1" applyBorder="1" applyAlignment="1">
      <alignment horizontal="center" vertical="center"/>
    </xf>
    <xf numFmtId="164" fontId="9" fillId="4" borderId="42" xfId="1" applyNumberFormat="1" applyFont="1" applyFill="1" applyBorder="1" applyAlignment="1">
      <alignment horizontal="center" vertical="center" wrapText="1"/>
    </xf>
    <xf numFmtId="9" fontId="9" fillId="4" borderId="44" xfId="2" applyFont="1" applyFill="1" applyBorder="1" applyAlignment="1">
      <alignment horizontal="center" vertical="center"/>
    </xf>
    <xf numFmtId="167" fontId="0" fillId="0" borderId="0" xfId="0" applyNumberFormat="1"/>
    <xf numFmtId="165" fontId="9" fillId="4" borderId="41" xfId="0" applyNumberFormat="1" applyFont="1" applyFill="1" applyBorder="1" applyAlignment="1">
      <alignment horizontal="center" vertical="center"/>
    </xf>
    <xf numFmtId="164" fontId="12" fillId="4" borderId="43" xfId="1" quotePrefix="1" applyNumberFormat="1" applyFont="1" applyFill="1" applyBorder="1" applyAlignment="1">
      <alignment horizontal="center" vertical="center" wrapText="1"/>
    </xf>
    <xf numFmtId="164" fontId="12" fillId="4" borderId="0" xfId="1" quotePrefix="1" applyNumberFormat="1" applyFont="1" applyFill="1" applyBorder="1" applyAlignment="1">
      <alignment horizontal="center" vertical="center" wrapText="1"/>
    </xf>
    <xf numFmtId="164" fontId="4" fillId="4" borderId="43" xfId="1" applyNumberFormat="1" applyFont="1" applyFill="1" applyBorder="1" applyAlignment="1">
      <alignment horizontal="center" vertical="center" wrapText="1"/>
    </xf>
    <xf numFmtId="164" fontId="4" fillId="4" borderId="0" xfId="1" applyNumberFormat="1" applyFont="1" applyFill="1" applyBorder="1" applyAlignment="1">
      <alignment horizontal="center" vertical="center" wrapText="1"/>
    </xf>
    <xf numFmtId="168" fontId="0" fillId="0" borderId="0" xfId="2" applyNumberFormat="1" applyFont="1" applyAlignment="1">
      <alignment horizontal="center"/>
    </xf>
    <xf numFmtId="9" fontId="0" fillId="0" borderId="0" xfId="0" applyNumberFormat="1"/>
    <xf numFmtId="0" fontId="11" fillId="0" borderId="12" xfId="0" applyFont="1" applyBorder="1"/>
    <xf numFmtId="0" fontId="11" fillId="0" borderId="11" xfId="0" applyFont="1" applyBorder="1"/>
    <xf numFmtId="0" fontId="13" fillId="0" borderId="11" xfId="0" applyFont="1" applyBorder="1" applyAlignment="1">
      <alignment vertical="center" wrapText="1"/>
    </xf>
    <xf numFmtId="0" fontId="13" fillId="0" borderId="45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1" fillId="0" borderId="9" xfId="0" applyFont="1" applyBorder="1"/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0" xfId="0" applyFont="1"/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1" fillId="0" borderId="46" xfId="0" applyFont="1" applyBorder="1" applyAlignment="1">
      <alignment horizontal="left" vertical="center" wrapText="1" indent="1"/>
    </xf>
    <xf numFmtId="0" fontId="11" fillId="0" borderId="47" xfId="0" applyFont="1" applyBorder="1" applyAlignment="1">
      <alignment horizontal="left" vertical="center" wrapText="1" indent="1"/>
    </xf>
    <xf numFmtId="0" fontId="11" fillId="0" borderId="4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51" xfId="0" applyFont="1" applyBorder="1" applyAlignment="1">
      <alignment horizontal="left" vertical="center" indent="1"/>
    </xf>
    <xf numFmtId="0" fontId="16" fillId="0" borderId="52" xfId="0" applyFont="1" applyBorder="1" applyAlignment="1">
      <alignment horizontal="left" vertical="center" indent="1"/>
    </xf>
    <xf numFmtId="165" fontId="16" fillId="0" borderId="53" xfId="1" applyNumberFormat="1" applyFont="1" applyBorder="1" applyAlignment="1">
      <alignment horizontal="center" vertical="center"/>
    </xf>
    <xf numFmtId="164" fontId="16" fillId="0" borderId="54" xfId="1" applyNumberFormat="1" applyFont="1" applyBorder="1" applyAlignment="1">
      <alignment horizontal="center" vertical="center"/>
    </xf>
    <xf numFmtId="164" fontId="16" fillId="0" borderId="11" xfId="1" applyNumberFormat="1" applyFont="1" applyBorder="1" applyAlignment="1">
      <alignment horizontal="center" vertical="center"/>
    </xf>
    <xf numFmtId="165" fontId="16" fillId="0" borderId="55" xfId="1" applyNumberFormat="1" applyFont="1" applyBorder="1" applyAlignment="1">
      <alignment horizontal="center" vertical="center"/>
    </xf>
    <xf numFmtId="9" fontId="16" fillId="0" borderId="53" xfId="2" applyFont="1" applyBorder="1" applyAlignment="1">
      <alignment horizontal="center" vertical="center"/>
    </xf>
    <xf numFmtId="164" fontId="16" fillId="0" borderId="56" xfId="1" applyNumberFormat="1" applyFont="1" applyBorder="1" applyAlignment="1">
      <alignment horizontal="center" vertical="center"/>
    </xf>
    <xf numFmtId="0" fontId="16" fillId="0" borderId="11" xfId="0" applyFont="1" applyBorder="1"/>
    <xf numFmtId="165" fontId="16" fillId="0" borderId="56" xfId="1" applyNumberFormat="1" applyFont="1" applyBorder="1" applyAlignment="1">
      <alignment horizontal="center" vertical="center"/>
    </xf>
    <xf numFmtId="165" fontId="16" fillId="0" borderId="11" xfId="1" applyNumberFormat="1" applyFont="1" applyBorder="1" applyAlignment="1">
      <alignment horizontal="center" vertical="center"/>
    </xf>
    <xf numFmtId="165" fontId="16" fillId="0" borderId="57" xfId="1" applyNumberFormat="1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16" fillId="0" borderId="58" xfId="0" applyFont="1" applyBorder="1" applyAlignment="1">
      <alignment horizontal="left" vertical="center" indent="1"/>
    </xf>
    <xf numFmtId="0" fontId="16" fillId="0" borderId="30" xfId="0" applyFont="1" applyBorder="1" applyAlignment="1">
      <alignment horizontal="left" vertical="center" indent="1"/>
    </xf>
    <xf numFmtId="165" fontId="16" fillId="0" borderId="35" xfId="1" applyNumberFormat="1" applyFont="1" applyBorder="1" applyAlignment="1">
      <alignment horizontal="center" vertical="center"/>
    </xf>
    <xf numFmtId="164" fontId="16" fillId="0" borderId="36" xfId="1" applyNumberFormat="1" applyFont="1" applyBorder="1" applyAlignment="1">
      <alignment horizontal="center" vertical="center"/>
    </xf>
    <xf numFmtId="164" fontId="16" fillId="0" borderId="0" xfId="1" applyNumberFormat="1" applyFont="1" applyBorder="1" applyAlignment="1">
      <alignment horizontal="center" vertical="center"/>
    </xf>
    <xf numFmtId="165" fontId="16" fillId="0" borderId="37" xfId="1" applyNumberFormat="1" applyFont="1" applyBorder="1" applyAlignment="1">
      <alignment horizontal="center" vertical="center"/>
    </xf>
    <xf numFmtId="9" fontId="16" fillId="0" borderId="35" xfId="2" applyFont="1" applyBorder="1" applyAlignment="1">
      <alignment horizontal="center" vertical="center"/>
    </xf>
    <xf numFmtId="164" fontId="16" fillId="0" borderId="38" xfId="1" applyNumberFormat="1" applyFont="1" applyBorder="1" applyAlignment="1">
      <alignment horizontal="center" vertical="center"/>
    </xf>
    <xf numFmtId="9" fontId="16" fillId="0" borderId="31" xfId="2" applyFont="1" applyBorder="1" applyAlignment="1">
      <alignment horizontal="center" vertical="center"/>
    </xf>
    <xf numFmtId="0" fontId="16" fillId="0" borderId="0" xfId="0" applyFont="1"/>
    <xf numFmtId="165" fontId="16" fillId="0" borderId="38" xfId="1" applyNumberFormat="1" applyFont="1" applyBorder="1" applyAlignment="1">
      <alignment horizontal="center" vertical="center"/>
    </xf>
    <xf numFmtId="165" fontId="16" fillId="0" borderId="0" xfId="1" applyNumberFormat="1" applyFont="1" applyBorder="1" applyAlignment="1">
      <alignment horizontal="center" vertical="center"/>
    </xf>
    <xf numFmtId="165" fontId="16" fillId="0" borderId="59" xfId="1" applyNumberFormat="1" applyFont="1" applyBorder="1" applyAlignment="1">
      <alignment horizontal="center" vertical="center"/>
    </xf>
    <xf numFmtId="0" fontId="16" fillId="0" borderId="60" xfId="0" applyFont="1" applyBorder="1" applyAlignment="1">
      <alignment horizontal="left" vertical="center" indent="1"/>
    </xf>
    <xf numFmtId="0" fontId="16" fillId="0" borderId="61" xfId="0" applyFont="1" applyBorder="1" applyAlignment="1">
      <alignment horizontal="left" vertical="center" indent="1"/>
    </xf>
    <xf numFmtId="165" fontId="16" fillId="0" borderId="62" xfId="1" applyNumberFormat="1" applyFont="1" applyBorder="1" applyAlignment="1">
      <alignment horizontal="center" vertical="center"/>
    </xf>
    <xf numFmtId="164" fontId="16" fillId="0" borderId="63" xfId="1" applyNumberFormat="1" applyFont="1" applyBorder="1" applyAlignment="1">
      <alignment horizontal="center" vertical="center"/>
    </xf>
    <xf numFmtId="164" fontId="16" fillId="0" borderId="18" xfId="1" applyNumberFormat="1" applyFont="1" applyBorder="1" applyAlignment="1">
      <alignment horizontal="center" vertical="center"/>
    </xf>
    <xf numFmtId="165" fontId="16" fillId="0" borderId="64" xfId="1" applyNumberFormat="1" applyFont="1" applyBorder="1" applyAlignment="1">
      <alignment horizontal="center" vertical="center"/>
    </xf>
    <xf numFmtId="9" fontId="16" fillId="0" borderId="62" xfId="2" applyFont="1" applyBorder="1" applyAlignment="1">
      <alignment horizontal="center" vertical="center"/>
    </xf>
    <xf numFmtId="164" fontId="16" fillId="0" borderId="65" xfId="1" applyNumberFormat="1" applyFont="1" applyBorder="1" applyAlignment="1">
      <alignment horizontal="center" vertical="center"/>
    </xf>
    <xf numFmtId="9" fontId="16" fillId="0" borderId="66" xfId="2" applyFont="1" applyBorder="1" applyAlignment="1">
      <alignment horizontal="center" vertical="center"/>
    </xf>
    <xf numFmtId="0" fontId="16" fillId="0" borderId="18" xfId="0" applyFont="1" applyBorder="1"/>
    <xf numFmtId="165" fontId="16" fillId="0" borderId="65" xfId="1" applyNumberFormat="1" applyFont="1" applyBorder="1" applyAlignment="1">
      <alignment horizontal="center" vertical="center"/>
    </xf>
    <xf numFmtId="165" fontId="16" fillId="0" borderId="18" xfId="1" applyNumberFormat="1" applyFont="1" applyBorder="1" applyAlignment="1">
      <alignment horizontal="center" vertical="center"/>
    </xf>
    <xf numFmtId="165" fontId="16" fillId="0" borderId="67" xfId="1" applyNumberFormat="1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 wrapText="1"/>
    </xf>
    <xf numFmtId="0" fontId="14" fillId="4" borderId="39" xfId="0" applyFont="1" applyFill="1" applyBorder="1" applyAlignment="1">
      <alignment horizontal="left" vertical="center" wrapText="1" indent="1"/>
    </xf>
    <xf numFmtId="165" fontId="14" fillId="4" borderId="40" xfId="0" applyNumberFormat="1" applyFont="1" applyFill="1" applyBorder="1" applyAlignment="1">
      <alignment horizontal="center" vertical="center"/>
    </xf>
    <xf numFmtId="164" fontId="14" fillId="4" borderId="4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5" fontId="14" fillId="4" borderId="42" xfId="1" applyNumberFormat="1" applyFont="1" applyFill="1" applyBorder="1" applyAlignment="1">
      <alignment horizontal="center" vertical="center" wrapText="1"/>
    </xf>
    <xf numFmtId="164" fontId="14" fillId="4" borderId="43" xfId="1" applyNumberFormat="1" applyFont="1" applyFill="1" applyBorder="1" applyAlignment="1">
      <alignment horizontal="center" vertical="center" wrapText="1"/>
    </xf>
    <xf numFmtId="164" fontId="14" fillId="4" borderId="0" xfId="1" applyNumberFormat="1" applyFont="1" applyFill="1" applyBorder="1" applyAlignment="1">
      <alignment horizontal="center" vertical="center" wrapText="1"/>
    </xf>
    <xf numFmtId="164" fontId="14" fillId="4" borderId="40" xfId="0" applyNumberFormat="1" applyFont="1" applyFill="1" applyBorder="1" applyAlignment="1">
      <alignment horizontal="center" vertical="center"/>
    </xf>
    <xf numFmtId="164" fontId="14" fillId="4" borderId="42" xfId="1" applyNumberFormat="1" applyFont="1" applyFill="1" applyBorder="1" applyAlignment="1">
      <alignment horizontal="center" vertical="center" wrapText="1"/>
    </xf>
    <xf numFmtId="9" fontId="14" fillId="4" borderId="44" xfId="2" applyFont="1" applyFill="1" applyBorder="1" applyAlignment="1">
      <alignment horizontal="center" vertical="center"/>
    </xf>
    <xf numFmtId="164" fontId="17" fillId="4" borderId="43" xfId="1" quotePrefix="1" applyNumberFormat="1" applyFont="1" applyFill="1" applyBorder="1" applyAlignment="1">
      <alignment horizontal="center" vertical="center" wrapText="1"/>
    </xf>
    <xf numFmtId="164" fontId="17" fillId="4" borderId="0" xfId="1" quotePrefix="1" applyNumberFormat="1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7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FFB1-997B-458D-BAB3-56C579D58251}">
  <sheetPr>
    <pageSetUpPr autoPageBreaks="0"/>
  </sheetPr>
  <dimension ref="A2:AC119"/>
  <sheetViews>
    <sheetView showGridLines="0" tabSelected="1" topLeftCell="A65" zoomScale="75" zoomScaleNormal="75" workbookViewId="0">
      <selection activeCell="C79" sqref="C79"/>
    </sheetView>
  </sheetViews>
  <sheetFormatPr defaultColWidth="8.7109375" defaultRowHeight="15" x14ac:dyDescent="0.25"/>
  <cols>
    <col min="2" max="2" width="22" bestFit="1" customWidth="1"/>
    <col min="3" max="3" width="41.28515625" bestFit="1" customWidth="1"/>
    <col min="4" max="5" width="13.85546875" bestFit="1" customWidth="1"/>
    <col min="6" max="6" width="0.85546875" customWidth="1"/>
    <col min="7" max="7" width="13.85546875" hidden="1" customWidth="1"/>
    <col min="8" max="8" width="14.28515625" hidden="1" customWidth="1"/>
    <col min="9" max="9" width="13.7109375" hidden="1" customWidth="1"/>
    <col min="10" max="10" width="0.85546875" customWidth="1"/>
    <col min="11" max="11" width="13.85546875" customWidth="1"/>
    <col min="12" max="12" width="13.5703125" customWidth="1"/>
    <col min="13" max="13" width="14.140625" customWidth="1"/>
    <col min="14" max="14" width="0.85546875" customWidth="1"/>
    <col min="15" max="15" width="13.85546875" customWidth="1"/>
    <col min="16" max="16" width="13.5703125" customWidth="1"/>
    <col min="17" max="17" width="14.5703125" customWidth="1"/>
    <col min="18" max="18" width="0.7109375" customWidth="1"/>
    <col min="19" max="19" width="13.42578125" customWidth="1"/>
    <col min="20" max="20" width="13.28515625" customWidth="1"/>
    <col min="21" max="21" width="13.85546875" customWidth="1"/>
    <col min="22" max="22" width="13.28515625" bestFit="1" customWidth="1"/>
    <col min="23" max="23" width="17.85546875" bestFit="1" customWidth="1"/>
    <col min="24" max="24" width="12.140625" bestFit="1" customWidth="1"/>
    <col min="25" max="25" width="13.85546875" bestFit="1" customWidth="1"/>
    <col min="26" max="26" width="12.7109375" bestFit="1" customWidth="1"/>
    <col min="27" max="27" width="17.42578125" customWidth="1"/>
    <col min="28" max="28" width="13.28515625" bestFit="1" customWidth="1"/>
    <col min="29" max="29" width="14.42578125" bestFit="1" customWidth="1"/>
  </cols>
  <sheetData>
    <row r="2" spans="2:29" x14ac:dyDescent="0.25">
      <c r="M2" s="1"/>
    </row>
    <row r="3" spans="2:29" x14ac:dyDescent="0.25">
      <c r="C3" s="1">
        <f>SUM(D9:D13)</f>
        <v>11817798</v>
      </c>
      <c r="D3" s="1">
        <f>SUM(E9:E13)</f>
        <v>118836392.90779939</v>
      </c>
    </row>
    <row r="4" spans="2:29" x14ac:dyDescent="0.25">
      <c r="G4" s="2" t="s">
        <v>0</v>
      </c>
      <c r="H4" s="2"/>
      <c r="I4" s="2"/>
      <c r="J4" s="2"/>
      <c r="K4" s="2"/>
      <c r="L4" s="2"/>
      <c r="M4" s="2"/>
      <c r="N4" s="2"/>
      <c r="O4" s="2"/>
      <c r="P4" s="2"/>
      <c r="Q4" s="2"/>
      <c r="R4" s="3"/>
      <c r="S4" s="3"/>
      <c r="T4" s="3"/>
      <c r="U4" s="3"/>
    </row>
    <row r="5" spans="2:29" ht="36" customHeight="1" x14ac:dyDescent="0.25">
      <c r="G5" s="4" t="s">
        <v>1</v>
      </c>
      <c r="H5" s="5"/>
      <c r="I5" s="6"/>
      <c r="J5" s="7"/>
      <c r="K5" s="8" t="s">
        <v>2</v>
      </c>
      <c r="L5" s="9"/>
      <c r="M5" s="10"/>
      <c r="O5" s="8" t="s">
        <v>3</v>
      </c>
      <c r="P5" s="9"/>
      <c r="Q5" s="10"/>
      <c r="R5" s="11"/>
      <c r="S5" s="8" t="s">
        <v>4</v>
      </c>
      <c r="T5" s="9"/>
      <c r="U5" s="10"/>
      <c r="W5" t="s">
        <v>5</v>
      </c>
    </row>
    <row r="6" spans="2:29" ht="30.75" customHeight="1" x14ac:dyDescent="0.25">
      <c r="C6" s="12" t="s">
        <v>6</v>
      </c>
      <c r="D6" s="13" t="s">
        <v>7</v>
      </c>
      <c r="E6" s="14" t="s">
        <v>8</v>
      </c>
      <c r="F6" s="15"/>
      <c r="G6" s="16" t="s">
        <v>9</v>
      </c>
      <c r="H6" s="15" t="s">
        <v>10</v>
      </c>
      <c r="I6" s="14" t="s">
        <v>11</v>
      </c>
      <c r="J6" s="15"/>
      <c r="K6" s="16" t="s">
        <v>9</v>
      </c>
      <c r="L6" s="15" t="s">
        <v>10</v>
      </c>
      <c r="M6" s="14" t="s">
        <v>11</v>
      </c>
      <c r="N6" s="17"/>
      <c r="O6" s="16" t="s">
        <v>9</v>
      </c>
      <c r="P6" s="15" t="s">
        <v>10</v>
      </c>
      <c r="Q6" s="14" t="s">
        <v>11</v>
      </c>
      <c r="R6" s="18"/>
      <c r="S6" s="16" t="s">
        <v>9</v>
      </c>
      <c r="T6" s="15" t="s">
        <v>10</v>
      </c>
      <c r="U6" s="14" t="s">
        <v>11</v>
      </c>
      <c r="W6" s="19" t="s">
        <v>9</v>
      </c>
      <c r="X6" s="19" t="s">
        <v>10</v>
      </c>
      <c r="Y6" s="19" t="s">
        <v>11</v>
      </c>
      <c r="AA6" s="20" t="s">
        <v>12</v>
      </c>
      <c r="AB6" s="19" t="s">
        <v>13</v>
      </c>
      <c r="AC6" s="19" t="s">
        <v>14</v>
      </c>
    </row>
    <row r="7" spans="2:29" x14ac:dyDescent="0.25">
      <c r="B7" s="21" t="s">
        <v>15</v>
      </c>
      <c r="C7" s="21" t="s">
        <v>52</v>
      </c>
      <c r="D7" s="22">
        <v>1000000</v>
      </c>
      <c r="E7" s="23">
        <v>5040789.0644048415</v>
      </c>
      <c r="F7" s="24"/>
      <c r="G7" s="25">
        <v>1000000</v>
      </c>
      <c r="H7" s="26">
        <v>0</v>
      </c>
      <c r="I7" s="27">
        <v>5040789.0644048415</v>
      </c>
      <c r="J7" s="24"/>
      <c r="K7" s="22">
        <v>1176429.1162956713</v>
      </c>
      <c r="L7" s="28">
        <v>0.17642911629567132</v>
      </c>
      <c r="M7" s="23">
        <v>5736877.6676953258</v>
      </c>
      <c r="N7" s="29"/>
      <c r="O7" s="22">
        <v>1280553.8166407023</v>
      </c>
      <c r="P7" s="28">
        <v>0.28055381664070234</v>
      </c>
      <c r="Q7" s="23">
        <v>6124893.4309640741</v>
      </c>
      <c r="R7" s="30"/>
      <c r="S7" s="22">
        <v>1477446.4670283725</v>
      </c>
      <c r="T7" s="28">
        <v>0.47744646702837246</v>
      </c>
      <c r="U7" s="23">
        <v>6815212.4286170546</v>
      </c>
      <c r="V7" s="1"/>
      <c r="W7" s="31">
        <v>1477446.4670283725</v>
      </c>
      <c r="X7" s="32">
        <f>(W7-$D7)/$D7</f>
        <v>0.47744646702837246</v>
      </c>
      <c r="Y7" s="31">
        <v>6815212.4286170546</v>
      </c>
      <c r="Z7" s="31">
        <f>K7-W7</f>
        <v>-301017.35073270113</v>
      </c>
      <c r="AA7" s="33">
        <v>0</v>
      </c>
      <c r="AB7" s="34">
        <v>3514.7903857687488</v>
      </c>
      <c r="AC7" s="34">
        <v>-374034.8956880942</v>
      </c>
    </row>
    <row r="8" spans="2:29" x14ac:dyDescent="0.25">
      <c r="B8" s="35" t="s">
        <v>15</v>
      </c>
      <c r="C8" s="35" t="s">
        <v>53</v>
      </c>
      <c r="D8" s="22">
        <v>7775778</v>
      </c>
      <c r="E8" s="23">
        <v>80499957.11832428</v>
      </c>
      <c r="F8" s="30"/>
      <c r="G8" s="22">
        <v>7998999.8847845653</v>
      </c>
      <c r="H8" s="28">
        <v>2.8707337681781207E-2</v>
      </c>
      <c r="I8" s="23">
        <v>81778277.188084155</v>
      </c>
      <c r="J8" s="30"/>
      <c r="K8" s="22">
        <v>10781490.947601428</v>
      </c>
      <c r="L8" s="28">
        <v>0.38654819461170681</v>
      </c>
      <c r="M8" s="23">
        <v>94764181.268858969</v>
      </c>
      <c r="O8" s="22">
        <v>11092068.118553624</v>
      </c>
      <c r="P8" s="28">
        <v>0.42648981472382874</v>
      </c>
      <c r="Q8" s="23">
        <v>95922136.097286731</v>
      </c>
      <c r="R8" s="30"/>
      <c r="S8" s="22">
        <v>11653434.194842588</v>
      </c>
      <c r="T8" s="28">
        <v>0.49868401526414313</v>
      </c>
      <c r="U8" s="23">
        <v>97889996.867404997</v>
      </c>
      <c r="V8" s="1"/>
      <c r="W8" s="31">
        <v>11653434.194842588</v>
      </c>
      <c r="X8" s="32">
        <f t="shared" ref="X8:X22" si="0">(W8-$D8)/$D8</f>
        <v>0.49868401526414313</v>
      </c>
      <c r="Y8" s="31">
        <v>97889996.867404997</v>
      </c>
      <c r="Z8" s="31">
        <f t="shared" ref="Z8:Z25" si="1">K8-W8</f>
        <v>-871943.2472411599</v>
      </c>
      <c r="AA8" s="36">
        <v>-4662.7890975764021</v>
      </c>
      <c r="AB8" s="37">
        <v>411.1471988838166</v>
      </c>
      <c r="AC8" s="37">
        <v>-907931.88144637644</v>
      </c>
    </row>
    <row r="9" spans="2:29" x14ac:dyDescent="0.25">
      <c r="B9" s="35" t="s">
        <v>15</v>
      </c>
      <c r="C9" s="35" t="s">
        <v>54</v>
      </c>
      <c r="D9" s="22">
        <v>1840000</v>
      </c>
      <c r="E9" s="23">
        <v>15925915.704314221</v>
      </c>
      <c r="F9" s="30"/>
      <c r="G9" s="22">
        <v>1599500</v>
      </c>
      <c r="H9" s="28">
        <v>-0.13070652173913044</v>
      </c>
      <c r="I9" s="23">
        <v>14642130.239828272</v>
      </c>
      <c r="J9" s="30"/>
      <c r="K9" s="22">
        <v>1981710.9863617201</v>
      </c>
      <c r="L9" s="28">
        <v>7.7016840413978327E-2</v>
      </c>
      <c r="M9" s="23">
        <v>16650907.534845885</v>
      </c>
      <c r="O9" s="22">
        <v>2455047.5305201802</v>
      </c>
      <c r="P9" s="28">
        <v>0.33426496223922841</v>
      </c>
      <c r="Q9" s="23">
        <v>18934317.776486579</v>
      </c>
      <c r="R9" s="30"/>
      <c r="S9" s="22">
        <v>3433719.40695416</v>
      </c>
      <c r="T9" s="28">
        <v>0.86615185160552177</v>
      </c>
      <c r="U9" s="23">
        <v>23156483.062249612</v>
      </c>
      <c r="V9" s="1"/>
      <c r="W9" s="31">
        <v>3433719.40695416</v>
      </c>
      <c r="X9" s="32">
        <f t="shared" si="0"/>
        <v>0.86615185160552177</v>
      </c>
      <c r="Y9" s="31">
        <v>23156483.062249612</v>
      </c>
      <c r="Z9" s="31">
        <f t="shared" si="1"/>
        <v>-1452008.4205924398</v>
      </c>
      <c r="AA9" s="36">
        <v>0</v>
      </c>
      <c r="AB9" s="37">
        <v>-2006207.1108648041</v>
      </c>
      <c r="AC9" s="37">
        <v>-4044952.4694798198</v>
      </c>
    </row>
    <row r="10" spans="2:29" x14ac:dyDescent="0.25">
      <c r="B10" s="35" t="s">
        <v>15</v>
      </c>
      <c r="C10" s="35" t="s">
        <v>55</v>
      </c>
      <c r="D10" s="22">
        <v>1220000</v>
      </c>
      <c r="E10" s="23">
        <v>3394246.7935979273</v>
      </c>
      <c r="F10" s="30"/>
      <c r="G10" s="22">
        <v>1000000</v>
      </c>
      <c r="H10" s="28">
        <v>-0.18032786885245902</v>
      </c>
      <c r="I10" s="23">
        <v>3357832.8692201264</v>
      </c>
      <c r="J10" s="30"/>
      <c r="K10" s="22">
        <v>3000000</v>
      </c>
      <c r="L10" s="28">
        <v>1.459016393442623</v>
      </c>
      <c r="M10" s="23">
        <v>3419940.3096573995</v>
      </c>
      <c r="O10" s="22">
        <v>3000000</v>
      </c>
      <c r="P10" s="28">
        <v>1.459016393442623</v>
      </c>
      <c r="Q10" s="23">
        <v>3419940.3096573995</v>
      </c>
      <c r="R10" s="30"/>
      <c r="S10" s="22">
        <v>3000000</v>
      </c>
      <c r="T10" s="28">
        <v>1.459016393442623</v>
      </c>
      <c r="U10" s="23">
        <v>3419940.3096573995</v>
      </c>
      <c r="V10" s="1"/>
      <c r="W10" s="31">
        <v>3000000</v>
      </c>
      <c r="X10" s="32">
        <f t="shared" si="0"/>
        <v>1.459016393442623</v>
      </c>
      <c r="Y10" s="31">
        <v>3419940.3096573995</v>
      </c>
      <c r="Z10" s="31">
        <f t="shared" si="1"/>
        <v>0</v>
      </c>
      <c r="AA10" s="36">
        <v>0</v>
      </c>
      <c r="AB10" s="37">
        <v>2000000</v>
      </c>
      <c r="AC10" s="37">
        <v>2000000</v>
      </c>
    </row>
    <row r="11" spans="2:29" x14ac:dyDescent="0.25">
      <c r="B11" s="35" t="s">
        <v>15</v>
      </c>
      <c r="C11" s="35" t="s">
        <v>56</v>
      </c>
      <c r="D11" s="22">
        <v>4817798</v>
      </c>
      <c r="E11" s="23">
        <v>27455486.015820313</v>
      </c>
      <c r="F11" s="30"/>
      <c r="G11" s="22">
        <v>4817798</v>
      </c>
      <c r="H11" s="28">
        <v>0</v>
      </c>
      <c r="I11" s="23">
        <v>27455486.015820313</v>
      </c>
      <c r="J11" s="30"/>
      <c r="K11" s="22">
        <v>5610885.2745636441</v>
      </c>
      <c r="L11" s="28">
        <v>0.16461613263230299</v>
      </c>
      <c r="M11" s="23">
        <v>30546193.408102117</v>
      </c>
      <c r="O11" s="22">
        <v>6494076.6811486697</v>
      </c>
      <c r="P11" s="28">
        <v>0.3479346126900027</v>
      </c>
      <c r="Q11" s="23">
        <v>33837425.591033712</v>
      </c>
      <c r="R11" s="30"/>
      <c r="S11" s="22">
        <v>8472745.2524451073</v>
      </c>
      <c r="T11" s="28">
        <v>0.75863439115652154</v>
      </c>
      <c r="U11" s="23">
        <v>40761675.682919972</v>
      </c>
      <c r="V11" s="1"/>
      <c r="W11" s="31">
        <v>8472745.2524451073</v>
      </c>
      <c r="X11" s="32">
        <f t="shared" si="0"/>
        <v>0.75863439115652154</v>
      </c>
      <c r="Y11" s="31">
        <v>40761675.682919972</v>
      </c>
      <c r="Z11" s="31">
        <f t="shared" si="1"/>
        <v>-2861859.9778814632</v>
      </c>
      <c r="AA11" s="36">
        <v>0</v>
      </c>
      <c r="AB11" s="37">
        <v>1843.8235819619149</v>
      </c>
      <c r="AC11" s="37">
        <v>-4278280.2103841985</v>
      </c>
    </row>
    <row r="12" spans="2:29" x14ac:dyDescent="0.25">
      <c r="B12" s="35" t="s">
        <v>15</v>
      </c>
      <c r="C12" s="35" t="s">
        <v>57</v>
      </c>
      <c r="D12" s="22">
        <v>3540000</v>
      </c>
      <c r="E12" s="23">
        <v>39290778.509746693</v>
      </c>
      <c r="F12" s="30"/>
      <c r="G12" s="22">
        <v>3815866.8367254268</v>
      </c>
      <c r="H12" s="28">
        <v>7.792848495068555E-2</v>
      </c>
      <c r="I12" s="23">
        <v>40911736.873087771</v>
      </c>
      <c r="J12" s="30"/>
      <c r="K12" s="22">
        <v>5063060.177244084</v>
      </c>
      <c r="L12" s="28">
        <v>0.43024298792205762</v>
      </c>
      <c r="M12" s="23">
        <v>46724867.304993257</v>
      </c>
      <c r="O12" s="22">
        <v>5202542.954141208</v>
      </c>
      <c r="P12" s="28">
        <v>0.46964490229977629</v>
      </c>
      <c r="Q12" s="23">
        <v>47244945.61050126</v>
      </c>
      <c r="R12" s="30"/>
      <c r="S12" s="22">
        <v>5457181.4787297705</v>
      </c>
      <c r="T12" s="28">
        <v>0.54157668890671484</v>
      </c>
      <c r="U12" s="23">
        <v>48137663.740853444</v>
      </c>
      <c r="V12" s="1"/>
      <c r="W12" s="31">
        <v>5457181.4787297705</v>
      </c>
      <c r="X12" s="32">
        <f t="shared" si="0"/>
        <v>0.54157668890671484</v>
      </c>
      <c r="Y12" s="31">
        <v>48137663.740853444</v>
      </c>
      <c r="Z12" s="31">
        <f t="shared" si="1"/>
        <v>-394121.30148568656</v>
      </c>
      <c r="AA12" s="36">
        <v>4027.4115999196656</v>
      </c>
      <c r="AB12" s="37">
        <v>437.7909759702161</v>
      </c>
      <c r="AC12" s="37">
        <v>-484087.48229864519</v>
      </c>
    </row>
    <row r="13" spans="2:29" x14ac:dyDescent="0.25">
      <c r="B13" s="35" t="s">
        <v>15</v>
      </c>
      <c r="C13" s="35" t="s">
        <v>58</v>
      </c>
      <c r="D13" s="22">
        <v>400000</v>
      </c>
      <c r="E13" s="23">
        <v>32769965.884320233</v>
      </c>
      <c r="F13" s="30"/>
      <c r="G13" s="22">
        <v>400000</v>
      </c>
      <c r="H13" s="28">
        <v>0</v>
      </c>
      <c r="I13" s="23">
        <v>32769965.884320233</v>
      </c>
      <c r="J13" s="30"/>
      <c r="K13" s="22">
        <v>400000</v>
      </c>
      <c r="L13" s="28">
        <v>0</v>
      </c>
      <c r="M13" s="23">
        <v>32769965.884320233</v>
      </c>
      <c r="O13" s="22">
        <v>400000</v>
      </c>
      <c r="P13" s="28">
        <v>0</v>
      </c>
      <c r="Q13" s="23">
        <v>32769965.884320233</v>
      </c>
      <c r="R13" s="30"/>
      <c r="S13" s="22">
        <v>400000</v>
      </c>
      <c r="T13" s="28">
        <v>0</v>
      </c>
      <c r="U13" s="23">
        <v>32769965.884320233</v>
      </c>
      <c r="V13" s="1"/>
      <c r="W13" s="31">
        <v>400000</v>
      </c>
      <c r="X13" s="32">
        <f t="shared" si="0"/>
        <v>0</v>
      </c>
      <c r="Y13" s="31">
        <v>32769965.884320233</v>
      </c>
      <c r="Z13" s="31">
        <f t="shared" si="1"/>
        <v>0</v>
      </c>
      <c r="AA13" s="36">
        <v>0</v>
      </c>
      <c r="AB13" s="37">
        <v>0</v>
      </c>
      <c r="AC13" s="37">
        <v>0</v>
      </c>
    </row>
    <row r="14" spans="2:29" x14ac:dyDescent="0.25">
      <c r="B14" s="35" t="s">
        <v>15</v>
      </c>
      <c r="C14" s="35" t="s">
        <v>59</v>
      </c>
      <c r="D14" s="22">
        <v>2220000</v>
      </c>
      <c r="E14" s="23">
        <v>20698391.738152172</v>
      </c>
      <c r="F14" s="30"/>
      <c r="G14" s="22">
        <v>2181411.278490013</v>
      </c>
      <c r="H14" s="28">
        <v>-1.738230698648064E-2</v>
      </c>
      <c r="I14" s="23">
        <v>20481763.637834262</v>
      </c>
      <c r="J14" s="30"/>
      <c r="K14" s="22">
        <v>4800000</v>
      </c>
      <c r="L14" s="28">
        <v>1.1621621621621621</v>
      </c>
      <c r="M14" s="23">
        <v>32875287.531392161</v>
      </c>
      <c r="O14" s="22">
        <v>4800000</v>
      </c>
      <c r="P14" s="28">
        <v>1.1621621621621621</v>
      </c>
      <c r="Q14" s="23">
        <v>32875287.531392161</v>
      </c>
      <c r="R14" s="30"/>
      <c r="S14" s="22">
        <v>4800000</v>
      </c>
      <c r="T14" s="28">
        <v>1.1621621621621621</v>
      </c>
      <c r="U14" s="23">
        <v>32875287.531392161</v>
      </c>
      <c r="V14" s="1"/>
      <c r="W14" s="31">
        <v>4800000</v>
      </c>
      <c r="X14" s="32">
        <f t="shared" si="0"/>
        <v>1.1621621621621621</v>
      </c>
      <c r="Y14" s="31">
        <v>32875287.531392161</v>
      </c>
      <c r="Z14" s="31">
        <f t="shared" si="1"/>
        <v>0</v>
      </c>
      <c r="AA14" s="36">
        <v>635.37749766232446</v>
      </c>
      <c r="AB14" s="37">
        <v>0</v>
      </c>
      <c r="AC14" s="37">
        <v>0</v>
      </c>
    </row>
    <row r="15" spans="2:29" x14ac:dyDescent="0.25">
      <c r="B15" s="38" t="s">
        <v>15</v>
      </c>
      <c r="C15" s="38" t="s">
        <v>60</v>
      </c>
      <c r="D15" s="22">
        <v>16888801</v>
      </c>
      <c r="E15" s="23">
        <v>67034177.652868718</v>
      </c>
      <c r="F15" s="39"/>
      <c r="G15" s="40">
        <v>16888801</v>
      </c>
      <c r="H15" s="41">
        <v>0</v>
      </c>
      <c r="I15" s="42">
        <v>67034177.652868718</v>
      </c>
      <c r="J15" s="30"/>
      <c r="K15" s="22">
        <v>16888801</v>
      </c>
      <c r="L15" s="28">
        <v>0</v>
      </c>
      <c r="M15" s="23">
        <v>67034177.652868718</v>
      </c>
      <c r="O15" s="22">
        <v>16888801</v>
      </c>
      <c r="P15" s="28">
        <v>0</v>
      </c>
      <c r="Q15" s="23">
        <v>67034177.652868718</v>
      </c>
      <c r="R15" s="30"/>
      <c r="S15" s="22">
        <v>16888801</v>
      </c>
      <c r="T15" s="28">
        <v>0</v>
      </c>
      <c r="U15" s="23">
        <v>67034177.652868718</v>
      </c>
      <c r="V15" s="1"/>
      <c r="W15" s="31">
        <v>16888801</v>
      </c>
      <c r="X15" s="32">
        <f t="shared" si="0"/>
        <v>0</v>
      </c>
      <c r="Y15" s="31">
        <v>67034177.652868718</v>
      </c>
      <c r="Z15" s="31">
        <f t="shared" si="1"/>
        <v>0</v>
      </c>
      <c r="AA15" s="43">
        <v>0</v>
      </c>
      <c r="AB15" s="37">
        <v>0</v>
      </c>
      <c r="AC15" s="37">
        <v>0</v>
      </c>
    </row>
    <row r="16" spans="2:29" x14ac:dyDescent="0.25">
      <c r="B16" s="21" t="s">
        <v>16</v>
      </c>
      <c r="C16" s="21" t="s">
        <v>61</v>
      </c>
      <c r="D16" s="25">
        <v>1000000</v>
      </c>
      <c r="E16" s="27">
        <v>1523370.618038136</v>
      </c>
      <c r="F16" s="24"/>
      <c r="G16" s="25">
        <v>900000</v>
      </c>
      <c r="H16" s="26">
        <v>-0.1</v>
      </c>
      <c r="I16" s="27">
        <v>1410431.7445188572</v>
      </c>
      <c r="J16" s="30"/>
      <c r="K16" s="25">
        <v>900000</v>
      </c>
      <c r="L16" s="26">
        <v>-0.1</v>
      </c>
      <c r="M16" s="27">
        <v>1410431.7445188572</v>
      </c>
      <c r="O16" s="25">
        <v>900000</v>
      </c>
      <c r="P16" s="26">
        <v>-0.1</v>
      </c>
      <c r="Q16" s="27">
        <v>1410431.7445188572</v>
      </c>
      <c r="R16" s="30"/>
      <c r="S16" s="25">
        <v>900000</v>
      </c>
      <c r="T16" s="26">
        <v>-0.1</v>
      </c>
      <c r="U16" s="27">
        <v>1410431.7445188572</v>
      </c>
      <c r="V16" s="1"/>
      <c r="W16" s="31">
        <v>900000</v>
      </c>
      <c r="X16" s="32">
        <f t="shared" si="0"/>
        <v>-0.1</v>
      </c>
      <c r="Y16" s="31">
        <v>1410431.7445188572</v>
      </c>
      <c r="Z16" s="31">
        <f t="shared" si="1"/>
        <v>0</v>
      </c>
      <c r="AA16" s="33">
        <v>0</v>
      </c>
      <c r="AB16" s="34">
        <v>0</v>
      </c>
      <c r="AC16" s="34">
        <v>-126598.07612722274</v>
      </c>
    </row>
    <row r="17" spans="2:29" x14ac:dyDescent="0.25">
      <c r="B17" s="35" t="s">
        <v>16</v>
      </c>
      <c r="C17" s="35" t="s">
        <v>53</v>
      </c>
      <c r="D17" s="22">
        <v>16948000</v>
      </c>
      <c r="E17" s="23">
        <v>92408087.499027938</v>
      </c>
      <c r="F17" s="30"/>
      <c r="G17" s="22">
        <v>20333699.638065696</v>
      </c>
      <c r="H17" s="28">
        <v>0.19976986299655983</v>
      </c>
      <c r="I17" s="23">
        <v>103711863.92886993</v>
      </c>
      <c r="J17" s="30"/>
      <c r="K17" s="22">
        <v>21000000</v>
      </c>
      <c r="L17" s="28">
        <v>0.2390842577295256</v>
      </c>
      <c r="M17" s="23">
        <v>105724786.72171538</v>
      </c>
      <c r="O17" s="22">
        <v>21000000.203315023</v>
      </c>
      <c r="P17" s="28">
        <v>0.23908426972592775</v>
      </c>
      <c r="Q17" s="23">
        <v>105724787.32592277</v>
      </c>
      <c r="R17" s="30"/>
      <c r="S17" s="22">
        <v>21000000</v>
      </c>
      <c r="T17" s="28">
        <v>0.2390842577295256</v>
      </c>
      <c r="U17" s="23">
        <v>105724786.72171538</v>
      </c>
      <c r="V17" s="1"/>
      <c r="W17" s="31">
        <v>21000000</v>
      </c>
      <c r="X17" s="32">
        <f t="shared" si="0"/>
        <v>0.2390842577295256</v>
      </c>
      <c r="Y17" s="31">
        <v>105724786.72171538</v>
      </c>
      <c r="Z17" s="31">
        <f t="shared" si="1"/>
        <v>0</v>
      </c>
      <c r="AA17" s="36">
        <v>972.85154687613249</v>
      </c>
      <c r="AB17" s="37">
        <v>0</v>
      </c>
      <c r="AC17" s="37">
        <v>0.20331502333283424</v>
      </c>
    </row>
    <row r="18" spans="2:29" x14ac:dyDescent="0.25">
      <c r="B18" s="35" t="s">
        <v>16</v>
      </c>
      <c r="C18" s="35" t="s">
        <v>54</v>
      </c>
      <c r="D18" s="22">
        <v>2200000</v>
      </c>
      <c r="E18" s="23">
        <v>6171975.0306531982</v>
      </c>
      <c r="F18" s="30"/>
      <c r="G18" s="22">
        <v>1800000</v>
      </c>
      <c r="H18" s="28">
        <v>-0.18181818181818182</v>
      </c>
      <c r="I18" s="23">
        <v>5471848.3801533533</v>
      </c>
      <c r="J18" s="30"/>
      <c r="K18" s="22">
        <v>2584161.4183054296</v>
      </c>
      <c r="L18" s="28">
        <v>0.17461882650246802</v>
      </c>
      <c r="M18" s="23">
        <v>6797705.3323120307</v>
      </c>
      <c r="O18" s="22">
        <v>2154570.9220185201</v>
      </c>
      <c r="P18" s="28">
        <v>-2.0649580900672697E-2</v>
      </c>
      <c r="Q18" s="23">
        <v>6095186.9190110052</v>
      </c>
      <c r="R18" s="30"/>
      <c r="S18" s="22">
        <v>282368.45260442002</v>
      </c>
      <c r="T18" s="28">
        <v>-0.87165070336162731</v>
      </c>
      <c r="U18" s="23">
        <v>1800778.3315955945</v>
      </c>
      <c r="V18" s="1"/>
      <c r="W18" s="31">
        <v>282368.45260442002</v>
      </c>
      <c r="X18" s="32">
        <f t="shared" si="0"/>
        <v>-0.87165070336162731</v>
      </c>
      <c r="Y18" s="31">
        <v>1800778.3315955945</v>
      </c>
      <c r="Z18" s="31">
        <f t="shared" si="1"/>
        <v>2301792.9657010096</v>
      </c>
      <c r="AA18" s="36">
        <v>0</v>
      </c>
      <c r="AB18" s="37">
        <v>-2002353.8138572956</v>
      </c>
      <c r="AC18" s="37">
        <v>-4578657.5485720765</v>
      </c>
    </row>
    <row r="19" spans="2:29" x14ac:dyDescent="0.25">
      <c r="B19" s="35" t="s">
        <v>16</v>
      </c>
      <c r="C19" s="35" t="s">
        <v>55</v>
      </c>
      <c r="D19" s="22">
        <v>1500000</v>
      </c>
      <c r="E19" s="23">
        <v>5944544.9570494974</v>
      </c>
      <c r="F19" s="30"/>
      <c r="G19" s="22">
        <v>1106817.9535387796</v>
      </c>
      <c r="H19" s="28">
        <v>-0.26212136430748023</v>
      </c>
      <c r="I19" s="23">
        <v>4875568.5712330546</v>
      </c>
      <c r="J19" s="30"/>
      <c r="K19" s="22">
        <v>4539912.7789936904</v>
      </c>
      <c r="L19" s="28">
        <v>2.0266085193291268</v>
      </c>
      <c r="M19" s="23">
        <v>9210428.7253492735</v>
      </c>
      <c r="O19" s="22">
        <v>4469338.7975853104</v>
      </c>
      <c r="P19" s="28">
        <v>1.979559198390207</v>
      </c>
      <c r="Q19" s="23">
        <v>9184578.3889322914</v>
      </c>
      <c r="R19" s="30"/>
      <c r="S19" s="22">
        <v>4091880.75284738</v>
      </c>
      <c r="T19" s="28">
        <v>1.7279205018982533</v>
      </c>
      <c r="U19" s="23">
        <v>9025116.2264585905</v>
      </c>
      <c r="V19" s="1"/>
      <c r="W19" s="31">
        <v>4091880.75284738</v>
      </c>
      <c r="X19" s="32">
        <f t="shared" si="0"/>
        <v>1.7279205018982533</v>
      </c>
      <c r="Y19" s="31">
        <v>9025116.2264585905</v>
      </c>
      <c r="Z19" s="31">
        <f t="shared" si="1"/>
        <v>448032.02614631038</v>
      </c>
      <c r="AA19" s="36">
        <v>3206.1157225614879</v>
      </c>
      <c r="AB19" s="37">
        <v>2001304.421063805</v>
      </c>
      <c r="AC19" s="37">
        <v>1685190.2141371164</v>
      </c>
    </row>
    <row r="20" spans="2:29" x14ac:dyDescent="0.25">
      <c r="B20" s="35" t="s">
        <v>16</v>
      </c>
      <c r="C20" s="35" t="s">
        <v>56</v>
      </c>
      <c r="D20" s="22">
        <v>10268452</v>
      </c>
      <c r="E20" s="23">
        <v>18886370.658155333</v>
      </c>
      <c r="F20" s="30"/>
      <c r="G20" s="22">
        <v>8306901</v>
      </c>
      <c r="H20" s="28">
        <v>-0.19102694349644914</v>
      </c>
      <c r="I20" s="23">
        <v>16281797.494816165</v>
      </c>
      <c r="J20" s="30"/>
      <c r="K20" s="22">
        <v>11192377.367288953</v>
      </c>
      <c r="L20" s="28">
        <v>8.9977083915759912E-2</v>
      </c>
      <c r="M20" s="23">
        <v>20060449.763434079</v>
      </c>
      <c r="O20" s="22">
        <v>9781828.9864038322</v>
      </c>
      <c r="P20" s="28">
        <v>-4.7390104525605978E-2</v>
      </c>
      <c r="Q20" s="23">
        <v>18255304.051492907</v>
      </c>
      <c r="R20" s="30"/>
      <c r="S20" s="22">
        <v>8306901</v>
      </c>
      <c r="T20" s="28">
        <v>-0.19102694349644914</v>
      </c>
      <c r="U20" s="23">
        <v>16281797.494816165</v>
      </c>
      <c r="V20" s="1"/>
      <c r="W20" s="31">
        <v>8306901</v>
      </c>
      <c r="X20" s="32">
        <f t="shared" si="0"/>
        <v>-0.19102694349644914</v>
      </c>
      <c r="Y20" s="31">
        <v>16281797.494816165</v>
      </c>
      <c r="Z20" s="31">
        <f t="shared" si="1"/>
        <v>2885476.3672889527</v>
      </c>
      <c r="AA20" s="36">
        <v>0</v>
      </c>
      <c r="AB20" s="37">
        <v>1049.0135579686612</v>
      </c>
      <c r="AC20" s="37">
        <v>-8890647.9194829036</v>
      </c>
    </row>
    <row r="21" spans="2:29" x14ac:dyDescent="0.25">
      <c r="B21" s="35" t="s">
        <v>16</v>
      </c>
      <c r="C21" s="35" t="s">
        <v>57</v>
      </c>
      <c r="D21" s="22">
        <v>4000000</v>
      </c>
      <c r="E21" s="23">
        <v>21020675.494225871</v>
      </c>
      <c r="F21" s="30"/>
      <c r="G21" s="22">
        <v>4266670.9673053306</v>
      </c>
      <c r="H21" s="28">
        <v>6.6667741826332644E-2</v>
      </c>
      <c r="I21" s="23">
        <v>21850640.140886877</v>
      </c>
      <c r="J21" s="30"/>
      <c r="K21" s="22">
        <v>5000000</v>
      </c>
      <c r="L21" s="28">
        <v>0.25</v>
      </c>
      <c r="M21" s="23">
        <v>24032152.746086098</v>
      </c>
      <c r="O21" s="22">
        <v>5000000</v>
      </c>
      <c r="P21" s="28">
        <v>0.25</v>
      </c>
      <c r="Q21" s="23">
        <v>24032152.746086098</v>
      </c>
      <c r="R21" s="30"/>
      <c r="S21" s="22">
        <v>5000000</v>
      </c>
      <c r="T21" s="28">
        <v>0.25</v>
      </c>
      <c r="U21" s="23">
        <v>24032152.746086098</v>
      </c>
      <c r="V21" s="1"/>
      <c r="W21" s="31">
        <v>5000000</v>
      </c>
      <c r="X21" s="32">
        <f t="shared" si="0"/>
        <v>0.25</v>
      </c>
      <c r="Y21" s="31">
        <v>24032152.746086098</v>
      </c>
      <c r="Z21" s="31">
        <f t="shared" si="1"/>
        <v>0</v>
      </c>
      <c r="AA21" s="36">
        <v>-6415.2453787680715</v>
      </c>
      <c r="AB21" s="37">
        <v>0</v>
      </c>
      <c r="AC21" s="37">
        <v>0</v>
      </c>
    </row>
    <row r="22" spans="2:29" x14ac:dyDescent="0.25">
      <c r="B22" s="35" t="s">
        <v>16</v>
      </c>
      <c r="C22" s="35" t="s">
        <v>58</v>
      </c>
      <c r="D22" s="22">
        <v>200000</v>
      </c>
      <c r="E22" s="23">
        <v>17969341.094351832</v>
      </c>
      <c r="F22" s="30"/>
      <c r="G22" s="22">
        <v>200000</v>
      </c>
      <c r="H22" s="28">
        <v>0</v>
      </c>
      <c r="I22" s="23">
        <v>17969341.094351832</v>
      </c>
      <c r="J22" s="30"/>
      <c r="K22" s="22">
        <v>200000</v>
      </c>
      <c r="L22" s="28">
        <v>0</v>
      </c>
      <c r="M22" s="23">
        <v>17969341.094351832</v>
      </c>
      <c r="O22" s="22">
        <v>200000</v>
      </c>
      <c r="P22" s="28">
        <v>0</v>
      </c>
      <c r="Q22" s="23">
        <v>17969341.094351832</v>
      </c>
      <c r="R22" s="30"/>
      <c r="S22" s="22">
        <v>200000</v>
      </c>
      <c r="T22" s="28">
        <v>0</v>
      </c>
      <c r="U22" s="23">
        <v>17969341.094351832</v>
      </c>
      <c r="V22" s="1"/>
      <c r="W22" s="31">
        <v>200000</v>
      </c>
      <c r="X22" s="32">
        <f t="shared" si="0"/>
        <v>0</v>
      </c>
      <c r="Y22" s="31">
        <v>17969341.094351832</v>
      </c>
      <c r="Z22" s="31">
        <f t="shared" si="1"/>
        <v>0</v>
      </c>
      <c r="AA22" s="36">
        <v>0</v>
      </c>
      <c r="AB22" s="37">
        <v>0</v>
      </c>
      <c r="AC22" s="37">
        <v>0</v>
      </c>
    </row>
    <row r="23" spans="2:29" x14ac:dyDescent="0.25">
      <c r="B23" s="35" t="s">
        <v>16</v>
      </c>
      <c r="C23" s="35" t="s">
        <v>62</v>
      </c>
      <c r="D23" s="22">
        <v>28089211</v>
      </c>
      <c r="E23" s="23">
        <v>40395109.654958591</v>
      </c>
      <c r="F23" s="30"/>
      <c r="G23" s="22">
        <v>28089211</v>
      </c>
      <c r="H23" s="28">
        <v>0</v>
      </c>
      <c r="I23" s="23">
        <v>40395109.654958591</v>
      </c>
      <c r="J23" s="30"/>
      <c r="K23" s="22">
        <v>28089211</v>
      </c>
      <c r="L23" s="28">
        <v>0</v>
      </c>
      <c r="M23" s="23">
        <v>40395109.654958591</v>
      </c>
      <c r="O23" s="22">
        <v>28089211</v>
      </c>
      <c r="P23" s="28">
        <v>0</v>
      </c>
      <c r="Q23" s="23">
        <v>40395109.654958591</v>
      </c>
      <c r="R23" s="30"/>
      <c r="S23" s="22">
        <v>28089211</v>
      </c>
      <c r="T23" s="28">
        <v>0</v>
      </c>
      <c r="U23" s="23">
        <v>40395109.654958591</v>
      </c>
      <c r="V23" s="1"/>
      <c r="W23" s="31">
        <v>28089211</v>
      </c>
      <c r="X23" s="32">
        <f>(W23-$D23)/$D23</f>
        <v>0</v>
      </c>
      <c r="Y23" s="31">
        <v>40395109.654958591</v>
      </c>
      <c r="Z23" s="31">
        <f t="shared" si="1"/>
        <v>0</v>
      </c>
      <c r="AA23" s="36">
        <v>0</v>
      </c>
      <c r="AB23" s="37">
        <v>0</v>
      </c>
      <c r="AC23" s="37">
        <v>0</v>
      </c>
    </row>
    <row r="24" spans="2:29" x14ac:dyDescent="0.25">
      <c r="B24" s="38" t="s">
        <v>16</v>
      </c>
      <c r="C24" s="38" t="s">
        <v>63</v>
      </c>
      <c r="D24" s="22">
        <v>1500000</v>
      </c>
      <c r="E24" s="23">
        <v>7290309.9462908376</v>
      </c>
      <c r="F24" s="30"/>
      <c r="G24" s="22">
        <v>702362.44109018752</v>
      </c>
      <c r="H24" s="28">
        <v>-0.53175837260654168</v>
      </c>
      <c r="I24" s="23">
        <v>5381879.8862388413</v>
      </c>
      <c r="J24" s="30"/>
      <c r="K24" s="22">
        <v>2200000</v>
      </c>
      <c r="L24" s="28">
        <v>0.46666666666666667</v>
      </c>
      <c r="M24" s="23">
        <v>8497253.2367697079</v>
      </c>
      <c r="O24" s="22">
        <v>2200000</v>
      </c>
      <c r="P24" s="28">
        <v>0.46666666666666667</v>
      </c>
      <c r="Q24" s="23">
        <v>8497253.2367697079</v>
      </c>
      <c r="R24" s="30"/>
      <c r="S24" s="22">
        <v>1954350.9945481978</v>
      </c>
      <c r="T24" s="28">
        <v>0.30290066303213187</v>
      </c>
      <c r="U24" s="23">
        <v>8104206.8009546781</v>
      </c>
      <c r="V24" s="1"/>
      <c r="W24" s="31">
        <v>1954350.9945481978</v>
      </c>
      <c r="X24" s="32">
        <f t="shared" ref="X24:X25" si="2">(W24-$D24)/$D24</f>
        <v>0.30290066303213187</v>
      </c>
      <c r="Y24" s="44">
        <v>8104206.8009546781</v>
      </c>
      <c r="Z24" s="31">
        <f t="shared" si="1"/>
        <v>245649.00545180216</v>
      </c>
      <c r="AA24" s="36">
        <v>2236.2645860570483</v>
      </c>
      <c r="AB24" s="37">
        <v>0</v>
      </c>
      <c r="AC24" s="37">
        <v>0</v>
      </c>
    </row>
    <row r="25" spans="2:29" x14ac:dyDescent="0.25">
      <c r="B25" s="45" t="s">
        <v>16</v>
      </c>
      <c r="C25" s="38" t="s">
        <v>64</v>
      </c>
      <c r="D25" s="40">
        <v>3200000</v>
      </c>
      <c r="E25" s="42">
        <v>5063837.1955307471</v>
      </c>
      <c r="F25" s="30"/>
      <c r="G25" s="22">
        <v>3200000</v>
      </c>
      <c r="H25" s="28">
        <v>0</v>
      </c>
      <c r="I25" s="23">
        <v>5063837.1955307471</v>
      </c>
      <c r="J25" s="30"/>
      <c r="K25" s="22">
        <v>3200000</v>
      </c>
      <c r="L25" s="28">
        <v>0</v>
      </c>
      <c r="M25" s="23">
        <v>5063837.1955307471</v>
      </c>
      <c r="O25" s="22">
        <v>3200000</v>
      </c>
      <c r="P25" s="28">
        <v>0</v>
      </c>
      <c r="Q25" s="23">
        <v>5063837.1955307471</v>
      </c>
      <c r="R25" s="30"/>
      <c r="S25" s="22">
        <v>3200000</v>
      </c>
      <c r="T25" s="28">
        <v>0</v>
      </c>
      <c r="U25" s="23">
        <v>5063837.1955307471</v>
      </c>
      <c r="V25" s="1"/>
      <c r="W25" s="31">
        <v>3200000</v>
      </c>
      <c r="X25" s="32">
        <f t="shared" si="2"/>
        <v>0</v>
      </c>
      <c r="Y25" s="31">
        <v>5063837.1955307471</v>
      </c>
      <c r="Z25" s="31">
        <f t="shared" si="1"/>
        <v>0</v>
      </c>
      <c r="AA25" s="43">
        <v>0</v>
      </c>
      <c r="AB25" s="46">
        <v>0</v>
      </c>
      <c r="AC25" s="46">
        <v>0</v>
      </c>
    </row>
    <row r="26" spans="2:29" x14ac:dyDescent="0.25">
      <c r="B26" s="47"/>
      <c r="C26" s="48" t="s">
        <v>15</v>
      </c>
      <c r="D26" s="25">
        <f>SUM(D7:D15)</f>
        <v>39702377</v>
      </c>
      <c r="E26" s="27">
        <f>SUM(E7:E15)</f>
        <v>292109708.48154938</v>
      </c>
      <c r="F26" s="30"/>
      <c r="G26" s="25">
        <f>SUM(G7:G15)</f>
        <v>39702377.000000007</v>
      </c>
      <c r="H26" s="49">
        <f>(G26-$D$26)/$D$26</f>
        <v>1.8766081932383616E-16</v>
      </c>
      <c r="I26" s="27">
        <f>SUM(I7:I15)</f>
        <v>293472159.42546868</v>
      </c>
      <c r="J26" s="30"/>
      <c r="K26" s="25">
        <f>SUM(K7:K15)</f>
        <v>49702377.502066545</v>
      </c>
      <c r="L26" s="49">
        <f>(K26-$D$26)/$D$26</f>
        <v>0.25187410068839317</v>
      </c>
      <c r="M26" s="27">
        <f>SUM(M7:M15)</f>
        <v>330522398.56273407</v>
      </c>
      <c r="O26" s="25">
        <f>SUM(O7:O15)</f>
        <v>51613090.101004384</v>
      </c>
      <c r="P26" s="49">
        <f>(O26-$D$26)/$D$26</f>
        <v>0.30000000002529786</v>
      </c>
      <c r="Q26" s="27">
        <f>SUM(Q7:Q15)</f>
        <v>338163089.88451087</v>
      </c>
      <c r="R26" s="30"/>
      <c r="S26" s="25">
        <v>55583327.800000004</v>
      </c>
      <c r="T26" s="49">
        <v>0.40000000000000013</v>
      </c>
      <c r="U26" s="27">
        <v>360139860.66345346</v>
      </c>
      <c r="V26" s="1">
        <f>M26-E26</f>
        <v>38412690.081184685</v>
      </c>
      <c r="W26" s="25">
        <f>SUM(W7:W15)</f>
        <v>55583327.799999997</v>
      </c>
      <c r="X26" s="49">
        <f>(W26-$D$26)/$D$26</f>
        <v>0.39999999999999991</v>
      </c>
      <c r="Y26" s="27">
        <f>SUM(Y7:Y15)</f>
        <v>352860403.16028357</v>
      </c>
      <c r="Z26" s="31">
        <f>W26-G26</f>
        <v>15880950.79999999</v>
      </c>
      <c r="AA26" s="1"/>
    </row>
    <row r="27" spans="2:29" x14ac:dyDescent="0.25">
      <c r="B27" s="47"/>
      <c r="C27" s="50" t="s">
        <v>16</v>
      </c>
      <c r="D27" s="40">
        <f>SUM(D16:D25)</f>
        <v>68905663</v>
      </c>
      <c r="E27" s="42">
        <f>SUM(E16:E25)</f>
        <v>216673622.14828196</v>
      </c>
      <c r="F27" s="30"/>
      <c r="G27" s="40">
        <f>SUM(G16:G25)</f>
        <v>68905663</v>
      </c>
      <c r="H27" s="51">
        <f>(G27-$D$27)/$D$27</f>
        <v>0</v>
      </c>
      <c r="I27" s="42">
        <f>SUM(I16:I25)</f>
        <v>222412318.09155828</v>
      </c>
      <c r="J27" s="30"/>
      <c r="K27" s="40">
        <f>SUM(K16:K25)</f>
        <v>78905662.56458807</v>
      </c>
      <c r="L27" s="51">
        <f>(K27-$D$27)/$D$27</f>
        <v>0.1451259465363256</v>
      </c>
      <c r="M27" s="42">
        <f>SUM(M16:M25)</f>
        <v>239161496.21502656</v>
      </c>
      <c r="O27" s="40">
        <f>SUM(O16:O25)</f>
        <v>76994949.909322679</v>
      </c>
      <c r="P27" s="51">
        <f>(O27-$D$27)/$D$27</f>
        <v>0.11739654706352189</v>
      </c>
      <c r="Q27" s="42">
        <f>SUM(Q16:Q25)</f>
        <v>236627982.35757482</v>
      </c>
      <c r="R27" s="30"/>
      <c r="S27" s="40">
        <v>73024712.200000003</v>
      </c>
      <c r="T27" s="51">
        <v>5.9778094000779047E-2</v>
      </c>
      <c r="U27" s="42">
        <v>232423426.59668708</v>
      </c>
      <c r="V27" s="1">
        <f>M27-E27</f>
        <v>22487874.066744596</v>
      </c>
      <c r="W27" s="40">
        <f>SUM(W16:W25)</f>
        <v>73024712.200000003</v>
      </c>
      <c r="X27" s="51">
        <f>(W27-$D$27)/$D$27</f>
        <v>5.9778094000779047E-2</v>
      </c>
      <c r="Y27" s="42">
        <f>SUM(Y16:Y25)</f>
        <v>229807558.01098651</v>
      </c>
      <c r="Z27" s="31">
        <f>W27-G27</f>
        <v>4119049.200000003</v>
      </c>
      <c r="AA27" s="1"/>
    </row>
    <row r="28" spans="2:29" ht="34.35" customHeight="1" x14ac:dyDescent="0.25">
      <c r="C28" s="52" t="s">
        <v>17</v>
      </c>
      <c r="D28" s="53">
        <f>SUM(D7:D25)</f>
        <v>108608040</v>
      </c>
      <c r="E28" s="54">
        <f>SUM(E7:E25)</f>
        <v>508783330.62983131</v>
      </c>
      <c r="F28" s="55"/>
      <c r="G28" s="53">
        <f>SUM(G7:G25)</f>
        <v>108608040</v>
      </c>
      <c r="H28" s="56">
        <f>(G28-$D$28)/$D$28</f>
        <v>0</v>
      </c>
      <c r="I28" s="54">
        <f>SUM(I7:I25)</f>
        <v>515884477.51702702</v>
      </c>
      <c r="J28" s="55"/>
      <c r="K28" s="53">
        <f>SUM(K7:K25)</f>
        <v>128608040.06665462</v>
      </c>
      <c r="L28" s="56">
        <f>(K28-$D$28)/$D$28</f>
        <v>0.18414843014066568</v>
      </c>
      <c r="M28" s="54">
        <f>SUM(M7:M25)</f>
        <v>569683894.77776062</v>
      </c>
      <c r="O28" s="53">
        <f>SUM(O7:O25)</f>
        <v>128608040.01032707</v>
      </c>
      <c r="P28" s="56">
        <f>(O28-$D$28)/$D$28</f>
        <v>0.18414842962203415</v>
      </c>
      <c r="Q28" s="54">
        <f>SUM(Q7:Q25)</f>
        <v>574791072.2420857</v>
      </c>
      <c r="R28" s="57"/>
      <c r="S28" s="53">
        <f>SUM(S7:S25)</f>
        <v>128608039.99999999</v>
      </c>
      <c r="T28" s="56">
        <f>(S28-$D$28)/$D$28</f>
        <v>0.18414842952694832</v>
      </c>
      <c r="U28" s="54">
        <f>SUM(U7:U25)</f>
        <v>582667961.17127025</v>
      </c>
      <c r="W28" s="57">
        <f>SUM(W7:W25)</f>
        <v>128608039.99999999</v>
      </c>
      <c r="X28" s="58">
        <f>(W28-$D$28)/$D$28</f>
        <v>0.18414842952694832</v>
      </c>
      <c r="Y28" s="57">
        <f>SUM(Y7:Y25)</f>
        <v>582667961.17127025</v>
      </c>
    </row>
    <row r="29" spans="2:29" x14ac:dyDescent="0.25">
      <c r="E29" s="59">
        <f>SUM(E7:E15)/E28</f>
        <v>0.57413380292931759</v>
      </c>
      <c r="F29" s="59"/>
      <c r="G29" s="59"/>
      <c r="H29" s="59"/>
      <c r="I29" s="59">
        <f>SUM(I7:I15)/I28</f>
        <v>0.56887185448564404</v>
      </c>
      <c r="J29" s="59"/>
      <c r="K29" s="59"/>
      <c r="L29" s="59"/>
      <c r="M29" s="59">
        <f>SUM(M7:M15)/M28</f>
        <v>0.58018561098988797</v>
      </c>
      <c r="O29" s="1">
        <f>O26-$G$26</f>
        <v>11910713.101004377</v>
      </c>
      <c r="Q29" s="59">
        <f>SUM(Q7:Q15)/Q28</f>
        <v>0.58832349042137899</v>
      </c>
      <c r="R29" s="59"/>
      <c r="S29" s="1">
        <f>S26-$G$26</f>
        <v>15880950.799999997</v>
      </c>
      <c r="U29" s="59"/>
      <c r="V29" s="1"/>
      <c r="Y29" s="60">
        <v>2578861.4728302658</v>
      </c>
    </row>
    <row r="30" spans="2:29" x14ac:dyDescent="0.25">
      <c r="E30" s="59">
        <f>SUM(E16:E25)/E28</f>
        <v>0.42586619707068252</v>
      </c>
      <c r="F30" s="59"/>
      <c r="G30" s="59"/>
      <c r="H30" s="59"/>
      <c r="I30" s="59">
        <f>SUM(I16:I25)/I28</f>
        <v>0.43112814551435585</v>
      </c>
      <c r="J30" s="59"/>
      <c r="K30" s="59"/>
      <c r="L30" s="59"/>
      <c r="M30" s="59">
        <f>SUM(M16:M25)/M28</f>
        <v>0.41981438901011209</v>
      </c>
      <c r="O30" s="1">
        <f>O27-$G$27</f>
        <v>8089286.909322679</v>
      </c>
      <c r="Q30" s="59">
        <f>SUM(Q16:Q25)/Q28</f>
        <v>0.41167650957862101</v>
      </c>
      <c r="R30" s="59"/>
      <c r="S30" s="1">
        <f>S27-$G$27</f>
        <v>4119049.200000003</v>
      </c>
      <c r="U30" s="59"/>
    </row>
    <row r="31" spans="2:29" ht="15" customHeight="1" x14ac:dyDescent="0.25">
      <c r="B31" s="61"/>
      <c r="C31" s="61"/>
      <c r="D31" s="62"/>
      <c r="E31" s="62"/>
      <c r="F31" s="62"/>
      <c r="G31" s="63" t="str">
        <f>$G$4</f>
        <v>Optimal channel spend allowed to vary based on custom constraints of the 2024 channel spend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</row>
    <row r="32" spans="2:29" ht="30.4" customHeight="1" x14ac:dyDescent="0.25">
      <c r="B32" s="61"/>
      <c r="C32" s="61"/>
      <c r="D32" s="65" t="s">
        <v>18</v>
      </c>
      <c r="E32" s="66"/>
      <c r="F32" s="67"/>
      <c r="G32" s="68" t="str">
        <f>$G$5</f>
        <v>Current Optimal ($92MM)</v>
      </c>
      <c r="H32" s="69"/>
      <c r="I32" s="70"/>
      <c r="J32" s="71"/>
      <c r="K32" s="72" t="str">
        <f>$K$5</f>
        <v>20M increase in total budget (10M increase in adult and adolescent in each)</v>
      </c>
      <c r="L32" s="73"/>
      <c r="M32" s="74"/>
      <c r="N32" s="62"/>
      <c r="O32" s="72" t="str">
        <f>$O$5</f>
        <v>20M increase in total budget ( Global Max 130%)</v>
      </c>
      <c r="P32" s="73"/>
      <c r="Q32" s="74"/>
      <c r="R32" s="75"/>
      <c r="S32" s="76" t="str">
        <f>$S$5</f>
        <v>20M increase in total budget ( Global Max 140%)</v>
      </c>
      <c r="T32" s="76"/>
      <c r="U32" s="76"/>
    </row>
    <row r="33" spans="2:21" ht="25.5" x14ac:dyDescent="0.25">
      <c r="B33" s="77" t="s">
        <v>19</v>
      </c>
      <c r="C33" s="77" t="s">
        <v>20</v>
      </c>
      <c r="D33" s="78" t="s">
        <v>21</v>
      </c>
      <c r="E33" s="79" t="s">
        <v>22</v>
      </c>
      <c r="F33" s="80"/>
      <c r="G33" s="81" t="s">
        <v>9</v>
      </c>
      <c r="H33" s="79" t="s">
        <v>10</v>
      </c>
      <c r="I33" s="82" t="s">
        <v>11</v>
      </c>
      <c r="J33" s="80"/>
      <c r="K33" s="81" t="s">
        <v>9</v>
      </c>
      <c r="L33" s="79" t="s">
        <v>10</v>
      </c>
      <c r="M33" s="82" t="s">
        <v>11</v>
      </c>
      <c r="N33" s="62"/>
      <c r="O33" s="81" t="s">
        <v>9</v>
      </c>
      <c r="P33" s="79" t="s">
        <v>10</v>
      </c>
      <c r="Q33" s="82" t="s">
        <v>11</v>
      </c>
      <c r="R33" s="80"/>
      <c r="S33" s="81" t="s">
        <v>9</v>
      </c>
      <c r="T33" s="79" t="s">
        <v>10</v>
      </c>
      <c r="U33" s="82" t="s">
        <v>11</v>
      </c>
    </row>
    <row r="34" spans="2:21" x14ac:dyDescent="0.25">
      <c r="B34" s="83" t="str">
        <f>$B$7</f>
        <v>Gardasil Adolescents</v>
      </c>
      <c r="C34" s="83" t="str">
        <f t="shared" ref="B34:D49" si="3">C7</f>
        <v>HCC In Office</v>
      </c>
      <c r="D34" s="84">
        <f t="shared" ref="D34:E49" si="4">D7/1000000</f>
        <v>1</v>
      </c>
      <c r="E34" s="85">
        <f t="shared" si="4"/>
        <v>5.0407890644048416</v>
      </c>
      <c r="F34" s="86"/>
      <c r="G34" s="87">
        <f t="shared" ref="G34:G50" si="5">G7/1000000</f>
        <v>1</v>
      </c>
      <c r="H34" s="88">
        <f t="shared" ref="H34:H50" si="6">H7</f>
        <v>0</v>
      </c>
      <c r="I34" s="89">
        <f t="shared" ref="I34:I50" si="7">I7/1000000</f>
        <v>5.0407890644048416</v>
      </c>
      <c r="J34" s="86"/>
      <c r="K34" s="87">
        <f t="shared" ref="K34:K50" si="8">K7/1000000</f>
        <v>1.1764291162956713</v>
      </c>
      <c r="L34" s="88">
        <f t="shared" ref="L34:L50" si="9">L7</f>
        <v>0.17642911629567132</v>
      </c>
      <c r="M34" s="89">
        <f t="shared" ref="M34:M50" si="10">M7/1000000</f>
        <v>5.7368776676953255</v>
      </c>
      <c r="N34" s="90"/>
      <c r="O34" s="87">
        <f t="shared" ref="O34:O50" si="11">O7/1000000</f>
        <v>1.2805538166407022</v>
      </c>
      <c r="P34" s="88">
        <f t="shared" ref="P34:P50" si="12">P7</f>
        <v>0.28055381664070234</v>
      </c>
      <c r="Q34" s="91">
        <f t="shared" ref="Q34:Q50" si="13">Q7/1000000</f>
        <v>6.1248934309640743</v>
      </c>
      <c r="R34" s="92"/>
      <c r="S34" s="87">
        <f t="shared" ref="S34:S50" si="14">S7/1000000</f>
        <v>1.4774464670283725</v>
      </c>
      <c r="T34" s="88">
        <f t="shared" ref="T34:T50" si="15">T7</f>
        <v>0.47744646702837246</v>
      </c>
      <c r="U34" s="91">
        <f t="shared" ref="U34:U50" si="16">U7/1000000</f>
        <v>6.8152124286170546</v>
      </c>
    </row>
    <row r="35" spans="2:21" x14ac:dyDescent="0.25">
      <c r="B35" s="83" t="str">
        <f t="shared" si="3"/>
        <v>Gardasil Adolescents</v>
      </c>
      <c r="C35" s="83" t="str">
        <f t="shared" si="3"/>
        <v>HCP MCM</v>
      </c>
      <c r="D35" s="93">
        <f t="shared" si="4"/>
        <v>7.7757779999999999</v>
      </c>
      <c r="E35" s="94">
        <f t="shared" si="4"/>
        <v>80.499957118324275</v>
      </c>
      <c r="F35" s="86"/>
      <c r="G35" s="95">
        <f t="shared" si="5"/>
        <v>7.9989998847845651</v>
      </c>
      <c r="H35" s="96">
        <f t="shared" si="6"/>
        <v>2.8707337681781207E-2</v>
      </c>
      <c r="I35" s="97">
        <f t="shared" si="7"/>
        <v>81.778277188084161</v>
      </c>
      <c r="J35" s="86"/>
      <c r="K35" s="95">
        <f t="shared" si="8"/>
        <v>10.781490947601428</v>
      </c>
      <c r="L35" s="88">
        <f t="shared" si="9"/>
        <v>0.38654819461170681</v>
      </c>
      <c r="M35" s="97">
        <f t="shared" si="10"/>
        <v>94.764181268858962</v>
      </c>
      <c r="N35" s="90"/>
      <c r="O35" s="95">
        <f t="shared" si="11"/>
        <v>11.092068118553623</v>
      </c>
      <c r="P35" s="88">
        <f t="shared" si="12"/>
        <v>0.42648981472382874</v>
      </c>
      <c r="Q35" s="98">
        <f t="shared" si="13"/>
        <v>95.922136097286725</v>
      </c>
      <c r="R35" s="92"/>
      <c r="S35" s="95">
        <f t="shared" si="14"/>
        <v>11.653434194842589</v>
      </c>
      <c r="T35" s="88">
        <f t="shared" si="15"/>
        <v>0.49868401526414313</v>
      </c>
      <c r="U35" s="98">
        <f t="shared" si="16"/>
        <v>97.889996867405003</v>
      </c>
    </row>
    <row r="36" spans="2:21" x14ac:dyDescent="0.25">
      <c r="B36" s="83" t="str">
        <f t="shared" si="3"/>
        <v>Gardasil Adolescents</v>
      </c>
      <c r="C36" s="83" t="str">
        <f t="shared" si="3"/>
        <v>HCC Social</v>
      </c>
      <c r="D36" s="93">
        <f t="shared" si="4"/>
        <v>1.84</v>
      </c>
      <c r="E36" s="94">
        <f t="shared" si="4"/>
        <v>15.925915704314221</v>
      </c>
      <c r="F36" s="86"/>
      <c r="G36" s="95">
        <f t="shared" si="5"/>
        <v>1.5994999999999999</v>
      </c>
      <c r="H36" s="96">
        <f t="shared" si="6"/>
        <v>-0.13070652173913044</v>
      </c>
      <c r="I36" s="97">
        <f t="shared" si="7"/>
        <v>14.642130239828273</v>
      </c>
      <c r="J36" s="86"/>
      <c r="K36" s="95">
        <f t="shared" si="8"/>
        <v>1.9817109863617202</v>
      </c>
      <c r="L36" s="88">
        <f t="shared" si="9"/>
        <v>7.7016840413978327E-2</v>
      </c>
      <c r="M36" s="97">
        <f t="shared" si="10"/>
        <v>16.650907534845885</v>
      </c>
      <c r="N36" s="90"/>
      <c r="O36" s="95">
        <f t="shared" si="11"/>
        <v>2.4550475305201802</v>
      </c>
      <c r="P36" s="88">
        <f t="shared" si="12"/>
        <v>0.33426496223922841</v>
      </c>
      <c r="Q36" s="98">
        <f t="shared" si="13"/>
        <v>18.93431777648658</v>
      </c>
      <c r="R36" s="92"/>
      <c r="S36" s="95">
        <f t="shared" si="14"/>
        <v>3.4337194069541601</v>
      </c>
      <c r="T36" s="88">
        <f t="shared" si="15"/>
        <v>0.86615185160552177</v>
      </c>
      <c r="U36" s="98">
        <f t="shared" si="16"/>
        <v>23.156483062249613</v>
      </c>
    </row>
    <row r="37" spans="2:21" x14ac:dyDescent="0.25">
      <c r="B37" s="83" t="str">
        <f t="shared" si="3"/>
        <v>Gardasil Adolescents</v>
      </c>
      <c r="C37" s="83" t="str">
        <f t="shared" si="3"/>
        <v>HCC Online Video</v>
      </c>
      <c r="D37" s="93">
        <f t="shared" si="4"/>
        <v>1.22</v>
      </c>
      <c r="E37" s="94">
        <f t="shared" si="4"/>
        <v>3.3942467935979272</v>
      </c>
      <c r="F37" s="86"/>
      <c r="G37" s="95">
        <f t="shared" si="5"/>
        <v>1</v>
      </c>
      <c r="H37" s="96">
        <f t="shared" si="6"/>
        <v>-0.18032786885245902</v>
      </c>
      <c r="I37" s="97">
        <f t="shared" si="7"/>
        <v>3.3578328692201262</v>
      </c>
      <c r="J37" s="86"/>
      <c r="K37" s="95">
        <f t="shared" si="8"/>
        <v>3</v>
      </c>
      <c r="L37" s="88">
        <f t="shared" si="9"/>
        <v>1.459016393442623</v>
      </c>
      <c r="M37" s="97">
        <f t="shared" si="10"/>
        <v>3.4199403096573997</v>
      </c>
      <c r="N37" s="90"/>
      <c r="O37" s="95">
        <f t="shared" si="11"/>
        <v>3</v>
      </c>
      <c r="P37" s="88">
        <f t="shared" si="12"/>
        <v>1.459016393442623</v>
      </c>
      <c r="Q37" s="98">
        <f t="shared" si="13"/>
        <v>3.4199403096573997</v>
      </c>
      <c r="R37" s="92"/>
      <c r="S37" s="95">
        <f t="shared" si="14"/>
        <v>3</v>
      </c>
      <c r="T37" s="88">
        <f t="shared" si="15"/>
        <v>1.459016393442623</v>
      </c>
      <c r="U37" s="98">
        <f t="shared" si="16"/>
        <v>3.4199403096573997</v>
      </c>
    </row>
    <row r="38" spans="2:21" x14ac:dyDescent="0.25">
      <c r="B38" s="83" t="str">
        <f t="shared" si="3"/>
        <v>Gardasil Adolescents</v>
      </c>
      <c r="C38" s="83" t="str">
        <f t="shared" si="3"/>
        <v>HCC Streaming Video</v>
      </c>
      <c r="D38" s="93">
        <f t="shared" si="4"/>
        <v>4.8177979999999998</v>
      </c>
      <c r="E38" s="94">
        <f t="shared" si="4"/>
        <v>27.455486015820313</v>
      </c>
      <c r="F38" s="86"/>
      <c r="G38" s="95">
        <f t="shared" si="5"/>
        <v>4.8177979999999998</v>
      </c>
      <c r="H38" s="96">
        <f t="shared" si="6"/>
        <v>0</v>
      </c>
      <c r="I38" s="97">
        <f t="shared" si="7"/>
        <v>27.455486015820313</v>
      </c>
      <c r="J38" s="86"/>
      <c r="K38" s="95">
        <f t="shared" si="8"/>
        <v>5.6108852745636444</v>
      </c>
      <c r="L38" s="88">
        <f t="shared" si="9"/>
        <v>0.16461613263230299</v>
      </c>
      <c r="M38" s="97">
        <f t="shared" si="10"/>
        <v>30.546193408102116</v>
      </c>
      <c r="N38" s="90"/>
      <c r="O38" s="95">
        <f t="shared" si="11"/>
        <v>6.4940766811486696</v>
      </c>
      <c r="P38" s="88">
        <f t="shared" si="12"/>
        <v>0.3479346126900027</v>
      </c>
      <c r="Q38" s="98">
        <f t="shared" si="13"/>
        <v>33.837425591033714</v>
      </c>
      <c r="R38" s="92"/>
      <c r="S38" s="95">
        <f t="shared" si="14"/>
        <v>8.4727452524451081</v>
      </c>
      <c r="T38" s="88">
        <f t="shared" si="15"/>
        <v>0.75863439115652154</v>
      </c>
      <c r="U38" s="98">
        <f t="shared" si="16"/>
        <v>40.761675682919972</v>
      </c>
    </row>
    <row r="39" spans="2:21" x14ac:dyDescent="0.25">
      <c r="B39" s="83" t="str">
        <f t="shared" si="3"/>
        <v>Gardasil Adolescents</v>
      </c>
      <c r="C39" s="83" t="str">
        <f t="shared" si="3"/>
        <v>HCC Display</v>
      </c>
      <c r="D39" s="93">
        <f t="shared" si="4"/>
        <v>3.54</v>
      </c>
      <c r="E39" s="94">
        <f t="shared" si="4"/>
        <v>39.290778509746694</v>
      </c>
      <c r="F39" s="86"/>
      <c r="G39" s="95">
        <f t="shared" si="5"/>
        <v>3.8158668367254269</v>
      </c>
      <c r="H39" s="96">
        <f t="shared" si="6"/>
        <v>7.792848495068555E-2</v>
      </c>
      <c r="I39" s="97">
        <f t="shared" si="7"/>
        <v>40.911736873087769</v>
      </c>
      <c r="J39" s="86"/>
      <c r="K39" s="95">
        <f t="shared" si="8"/>
        <v>5.0630601772440835</v>
      </c>
      <c r="L39" s="88">
        <f t="shared" si="9"/>
        <v>0.43024298792205762</v>
      </c>
      <c r="M39" s="97">
        <f t="shared" si="10"/>
        <v>46.724867304993253</v>
      </c>
      <c r="N39" s="90"/>
      <c r="O39" s="95">
        <f t="shared" si="11"/>
        <v>5.202542954141208</v>
      </c>
      <c r="P39" s="88">
        <f t="shared" si="12"/>
        <v>0.46964490229977629</v>
      </c>
      <c r="Q39" s="98">
        <f t="shared" si="13"/>
        <v>47.244945610501262</v>
      </c>
      <c r="R39" s="92"/>
      <c r="S39" s="95">
        <f t="shared" si="14"/>
        <v>5.4571814787297708</v>
      </c>
      <c r="T39" s="88">
        <f t="shared" si="15"/>
        <v>0.54157668890671484</v>
      </c>
      <c r="U39" s="98">
        <f t="shared" si="16"/>
        <v>48.137663740853441</v>
      </c>
    </row>
    <row r="40" spans="2:21" x14ac:dyDescent="0.25">
      <c r="B40" s="83" t="str">
        <f t="shared" si="3"/>
        <v>Gardasil Adolescents</v>
      </c>
      <c r="C40" s="83" t="str">
        <f t="shared" si="3"/>
        <v>HCC Paid Search</v>
      </c>
      <c r="D40" s="93">
        <f t="shared" si="4"/>
        <v>0.4</v>
      </c>
      <c r="E40" s="94">
        <f t="shared" si="4"/>
        <v>32.769965884320236</v>
      </c>
      <c r="F40" s="86"/>
      <c r="G40" s="95">
        <f t="shared" si="5"/>
        <v>0.4</v>
      </c>
      <c r="H40" s="96">
        <f t="shared" si="6"/>
        <v>0</v>
      </c>
      <c r="I40" s="97">
        <f t="shared" si="7"/>
        <v>32.769965884320236</v>
      </c>
      <c r="J40" s="86"/>
      <c r="K40" s="95">
        <f t="shared" si="8"/>
        <v>0.4</v>
      </c>
      <c r="L40" s="88">
        <f t="shared" si="9"/>
        <v>0</v>
      </c>
      <c r="M40" s="97">
        <f t="shared" si="10"/>
        <v>32.769965884320236</v>
      </c>
      <c r="N40" s="90"/>
      <c r="O40" s="95">
        <f t="shared" si="11"/>
        <v>0.4</v>
      </c>
      <c r="P40" s="88">
        <f t="shared" si="12"/>
        <v>0</v>
      </c>
      <c r="Q40" s="98">
        <f t="shared" si="13"/>
        <v>32.769965884320236</v>
      </c>
      <c r="R40" s="92"/>
      <c r="S40" s="95">
        <f t="shared" si="14"/>
        <v>0.4</v>
      </c>
      <c r="T40" s="88">
        <f t="shared" si="15"/>
        <v>0</v>
      </c>
      <c r="U40" s="98">
        <f t="shared" si="16"/>
        <v>32.769965884320236</v>
      </c>
    </row>
    <row r="41" spans="2:21" x14ac:dyDescent="0.25">
      <c r="B41" s="83" t="str">
        <f t="shared" si="3"/>
        <v>Gardasil Adolescents</v>
      </c>
      <c r="C41" s="83" t="str">
        <f t="shared" si="3"/>
        <v>HCC Audio</v>
      </c>
      <c r="D41" s="93">
        <f t="shared" si="4"/>
        <v>2.2200000000000002</v>
      </c>
      <c r="E41" s="94">
        <f t="shared" si="4"/>
        <v>20.698391738152171</v>
      </c>
      <c r="F41" s="86"/>
      <c r="G41" s="95">
        <f t="shared" si="5"/>
        <v>2.181411278490013</v>
      </c>
      <c r="H41" s="96">
        <f t="shared" si="6"/>
        <v>-1.738230698648064E-2</v>
      </c>
      <c r="I41" s="97">
        <f t="shared" si="7"/>
        <v>20.481763637834263</v>
      </c>
      <c r="J41" s="86"/>
      <c r="K41" s="95">
        <f t="shared" si="8"/>
        <v>4.8</v>
      </c>
      <c r="L41" s="88">
        <f t="shared" si="9"/>
        <v>1.1621621621621621</v>
      </c>
      <c r="M41" s="97">
        <f t="shared" si="10"/>
        <v>32.875287531392161</v>
      </c>
      <c r="N41" s="90"/>
      <c r="O41" s="95">
        <f t="shared" si="11"/>
        <v>4.8</v>
      </c>
      <c r="P41" s="88">
        <f t="shared" si="12"/>
        <v>1.1621621621621621</v>
      </c>
      <c r="Q41" s="98">
        <f t="shared" si="13"/>
        <v>32.875287531392161</v>
      </c>
      <c r="R41" s="92"/>
      <c r="S41" s="95">
        <f t="shared" si="14"/>
        <v>4.8</v>
      </c>
      <c r="T41" s="88">
        <f t="shared" si="15"/>
        <v>1.1621621621621621</v>
      </c>
      <c r="U41" s="98">
        <f t="shared" si="16"/>
        <v>32.875287531392161</v>
      </c>
    </row>
    <row r="42" spans="2:21" x14ac:dyDescent="0.25">
      <c r="B42" s="83" t="str">
        <f t="shared" si="3"/>
        <v>Gardasil Adolescents</v>
      </c>
      <c r="C42" s="83" t="str">
        <f t="shared" si="3"/>
        <v>HCC TV</v>
      </c>
      <c r="D42" s="93">
        <f t="shared" si="4"/>
        <v>16.888801000000001</v>
      </c>
      <c r="E42" s="94">
        <f t="shared" si="4"/>
        <v>67.034177652868721</v>
      </c>
      <c r="F42" s="86"/>
      <c r="G42" s="95">
        <f t="shared" si="5"/>
        <v>16.888801000000001</v>
      </c>
      <c r="H42" s="96">
        <f t="shared" si="6"/>
        <v>0</v>
      </c>
      <c r="I42" s="97">
        <f t="shared" si="7"/>
        <v>67.034177652868721</v>
      </c>
      <c r="J42" s="86"/>
      <c r="K42" s="95">
        <f t="shared" si="8"/>
        <v>16.888801000000001</v>
      </c>
      <c r="L42" s="88">
        <f t="shared" si="9"/>
        <v>0</v>
      </c>
      <c r="M42" s="97">
        <f t="shared" si="10"/>
        <v>67.034177652868721</v>
      </c>
      <c r="N42" s="90"/>
      <c r="O42" s="95">
        <f t="shared" si="11"/>
        <v>16.888801000000001</v>
      </c>
      <c r="P42" s="88">
        <f t="shared" si="12"/>
        <v>0</v>
      </c>
      <c r="Q42" s="98">
        <f t="shared" si="13"/>
        <v>67.034177652868721</v>
      </c>
      <c r="R42" s="92"/>
      <c r="S42" s="95">
        <f t="shared" si="14"/>
        <v>16.888801000000001</v>
      </c>
      <c r="T42" s="88">
        <f t="shared" si="15"/>
        <v>0</v>
      </c>
      <c r="U42" s="98">
        <f t="shared" si="16"/>
        <v>67.034177652868721</v>
      </c>
    </row>
    <row r="43" spans="2:21" x14ac:dyDescent="0.25">
      <c r="B43" s="83" t="str">
        <f>$B$16</f>
        <v>Gardasil Adults</v>
      </c>
      <c r="C43" s="83" t="str">
        <f t="shared" si="3"/>
        <v>HCC InOffice</v>
      </c>
      <c r="D43" s="93">
        <f t="shared" si="4"/>
        <v>1</v>
      </c>
      <c r="E43" s="94">
        <f t="shared" si="4"/>
        <v>1.5233706180381361</v>
      </c>
      <c r="F43" s="86"/>
      <c r="G43" s="95">
        <f t="shared" si="5"/>
        <v>0.9</v>
      </c>
      <c r="H43" s="96">
        <f t="shared" si="6"/>
        <v>-0.1</v>
      </c>
      <c r="I43" s="97">
        <f t="shared" si="7"/>
        <v>1.4104317445188572</v>
      </c>
      <c r="J43" s="86"/>
      <c r="K43" s="95">
        <f t="shared" si="8"/>
        <v>0.9</v>
      </c>
      <c r="L43" s="88">
        <f t="shared" si="9"/>
        <v>-0.1</v>
      </c>
      <c r="M43" s="97">
        <f t="shared" si="10"/>
        <v>1.4104317445188572</v>
      </c>
      <c r="N43" s="90"/>
      <c r="O43" s="95">
        <f t="shared" si="11"/>
        <v>0.9</v>
      </c>
      <c r="P43" s="88">
        <f t="shared" si="12"/>
        <v>-0.1</v>
      </c>
      <c r="Q43" s="98">
        <f t="shared" si="13"/>
        <v>1.4104317445188572</v>
      </c>
      <c r="R43" s="92"/>
      <c r="S43" s="95">
        <f t="shared" si="14"/>
        <v>0.9</v>
      </c>
      <c r="T43" s="88">
        <f t="shared" si="15"/>
        <v>-0.1</v>
      </c>
      <c r="U43" s="98">
        <f t="shared" si="16"/>
        <v>1.4104317445188572</v>
      </c>
    </row>
    <row r="44" spans="2:21" x14ac:dyDescent="0.25">
      <c r="B44" s="83" t="str">
        <f t="shared" si="3"/>
        <v>Gardasil Adults</v>
      </c>
      <c r="C44" s="83" t="str">
        <f t="shared" si="3"/>
        <v>HCP MCM</v>
      </c>
      <c r="D44" s="93">
        <f t="shared" si="4"/>
        <v>16.948</v>
      </c>
      <c r="E44" s="94">
        <f t="shared" si="4"/>
        <v>92.408087499027943</v>
      </c>
      <c r="F44" s="86"/>
      <c r="G44" s="95">
        <f t="shared" si="5"/>
        <v>20.333699638065696</v>
      </c>
      <c r="H44" s="96">
        <f t="shared" si="6"/>
        <v>0.19976986299655983</v>
      </c>
      <c r="I44" s="97">
        <f t="shared" si="7"/>
        <v>103.71186392886993</v>
      </c>
      <c r="J44" s="86"/>
      <c r="K44" s="95">
        <f t="shared" si="8"/>
        <v>21</v>
      </c>
      <c r="L44" s="88">
        <f t="shared" si="9"/>
        <v>0.2390842577295256</v>
      </c>
      <c r="M44" s="97">
        <f t="shared" si="10"/>
        <v>105.72478672171538</v>
      </c>
      <c r="N44" s="90"/>
      <c r="O44" s="95">
        <f t="shared" si="11"/>
        <v>21.000000203315022</v>
      </c>
      <c r="P44" s="88">
        <f t="shared" si="12"/>
        <v>0.23908426972592775</v>
      </c>
      <c r="Q44" s="98">
        <f t="shared" si="13"/>
        <v>105.72478732592278</v>
      </c>
      <c r="R44" s="92"/>
      <c r="S44" s="95">
        <f t="shared" si="14"/>
        <v>21</v>
      </c>
      <c r="T44" s="88">
        <f t="shared" si="15"/>
        <v>0.2390842577295256</v>
      </c>
      <c r="U44" s="98">
        <f t="shared" si="16"/>
        <v>105.72478672171538</v>
      </c>
    </row>
    <row r="45" spans="2:21" x14ac:dyDescent="0.25">
      <c r="B45" s="83" t="str">
        <f t="shared" si="3"/>
        <v>Gardasil Adults</v>
      </c>
      <c r="C45" s="83" t="str">
        <f t="shared" si="3"/>
        <v>HCC Social</v>
      </c>
      <c r="D45" s="93">
        <f t="shared" si="4"/>
        <v>2.2000000000000002</v>
      </c>
      <c r="E45" s="94">
        <f t="shared" si="4"/>
        <v>6.171975030653198</v>
      </c>
      <c r="F45" s="86"/>
      <c r="G45" s="95">
        <f t="shared" si="5"/>
        <v>1.8</v>
      </c>
      <c r="H45" s="96">
        <f t="shared" si="6"/>
        <v>-0.18181818181818182</v>
      </c>
      <c r="I45" s="97">
        <f t="shared" si="7"/>
        <v>5.4718483801533537</v>
      </c>
      <c r="J45" s="86"/>
      <c r="K45" s="95">
        <f t="shared" si="8"/>
        <v>2.5841614183054298</v>
      </c>
      <c r="L45" s="88">
        <f t="shared" si="9"/>
        <v>0.17461882650246802</v>
      </c>
      <c r="M45" s="97">
        <f t="shared" si="10"/>
        <v>6.7977053323120309</v>
      </c>
      <c r="N45" s="90"/>
      <c r="O45" s="95">
        <f t="shared" si="11"/>
        <v>2.1545709220185199</v>
      </c>
      <c r="P45" s="88">
        <f t="shared" si="12"/>
        <v>-2.0649580900672697E-2</v>
      </c>
      <c r="Q45" s="98">
        <f t="shared" si="13"/>
        <v>6.0951869190110051</v>
      </c>
      <c r="R45" s="92"/>
      <c r="S45" s="95">
        <f t="shared" si="14"/>
        <v>0.28236845260442001</v>
      </c>
      <c r="T45" s="88">
        <f t="shared" si="15"/>
        <v>-0.87165070336162731</v>
      </c>
      <c r="U45" s="98">
        <f t="shared" si="16"/>
        <v>1.8007783315955945</v>
      </c>
    </row>
    <row r="46" spans="2:21" x14ac:dyDescent="0.25">
      <c r="B46" s="83" t="str">
        <f t="shared" si="3"/>
        <v>Gardasil Adults</v>
      </c>
      <c r="C46" s="83" t="str">
        <f t="shared" si="3"/>
        <v>HCC Online Video</v>
      </c>
      <c r="D46" s="93">
        <f t="shared" si="4"/>
        <v>1.5</v>
      </c>
      <c r="E46" s="94">
        <f t="shared" si="4"/>
        <v>5.944544957049497</v>
      </c>
      <c r="F46" s="86"/>
      <c r="G46" s="95">
        <f t="shared" si="5"/>
        <v>1.1068179535387797</v>
      </c>
      <c r="H46" s="96">
        <f t="shared" si="6"/>
        <v>-0.26212136430748023</v>
      </c>
      <c r="I46" s="97">
        <f t="shared" si="7"/>
        <v>4.875568571233055</v>
      </c>
      <c r="J46" s="86"/>
      <c r="K46" s="95">
        <f t="shared" si="8"/>
        <v>4.5399127789936902</v>
      </c>
      <c r="L46" s="88">
        <f t="shared" si="9"/>
        <v>2.0266085193291268</v>
      </c>
      <c r="M46" s="97">
        <f t="shared" si="10"/>
        <v>9.2104287253492743</v>
      </c>
      <c r="N46" s="90"/>
      <c r="O46" s="95">
        <f t="shared" si="11"/>
        <v>4.4693387975853103</v>
      </c>
      <c r="P46" s="88">
        <f t="shared" si="12"/>
        <v>1.979559198390207</v>
      </c>
      <c r="Q46" s="98">
        <f t="shared" si="13"/>
        <v>9.1845783889322909</v>
      </c>
      <c r="R46" s="92"/>
      <c r="S46" s="95">
        <f t="shared" si="14"/>
        <v>4.0918807528473797</v>
      </c>
      <c r="T46" s="88">
        <f t="shared" si="15"/>
        <v>1.7279205018982533</v>
      </c>
      <c r="U46" s="98">
        <f t="shared" si="16"/>
        <v>9.0251162264585911</v>
      </c>
    </row>
    <row r="47" spans="2:21" x14ac:dyDescent="0.25">
      <c r="B47" s="83" t="str">
        <f t="shared" si="3"/>
        <v>Gardasil Adults</v>
      </c>
      <c r="C47" s="83" t="str">
        <f t="shared" si="3"/>
        <v>HCC Streaming Video</v>
      </c>
      <c r="D47" s="93">
        <f t="shared" si="4"/>
        <v>10.268452</v>
      </c>
      <c r="E47" s="94">
        <f t="shared" si="4"/>
        <v>18.886370658155332</v>
      </c>
      <c r="F47" s="86"/>
      <c r="G47" s="95">
        <f t="shared" si="5"/>
        <v>8.3069009999999999</v>
      </c>
      <c r="H47" s="96">
        <f t="shared" si="6"/>
        <v>-0.19102694349644914</v>
      </c>
      <c r="I47" s="97">
        <f t="shared" si="7"/>
        <v>16.281797494816164</v>
      </c>
      <c r="J47" s="86"/>
      <c r="K47" s="95">
        <f t="shared" si="8"/>
        <v>11.192377367288953</v>
      </c>
      <c r="L47" s="88">
        <f t="shared" si="9"/>
        <v>8.9977083915759912E-2</v>
      </c>
      <c r="M47" s="97">
        <f t="shared" si="10"/>
        <v>20.060449763434079</v>
      </c>
      <c r="N47" s="90"/>
      <c r="O47" s="95">
        <f t="shared" si="11"/>
        <v>9.7818289864038324</v>
      </c>
      <c r="P47" s="88">
        <f t="shared" si="12"/>
        <v>-4.7390104525605978E-2</v>
      </c>
      <c r="Q47" s="98">
        <f t="shared" si="13"/>
        <v>18.255304051492907</v>
      </c>
      <c r="R47" s="92"/>
      <c r="S47" s="95">
        <f t="shared" si="14"/>
        <v>8.3069009999999999</v>
      </c>
      <c r="T47" s="88">
        <f t="shared" si="15"/>
        <v>-0.19102694349644914</v>
      </c>
      <c r="U47" s="98">
        <f t="shared" si="16"/>
        <v>16.281797494816164</v>
      </c>
    </row>
    <row r="48" spans="2:21" x14ac:dyDescent="0.25">
      <c r="B48" s="83" t="str">
        <f t="shared" si="3"/>
        <v>Gardasil Adults</v>
      </c>
      <c r="C48" s="83" t="str">
        <f t="shared" si="3"/>
        <v>HCC Display</v>
      </c>
      <c r="D48" s="93">
        <f t="shared" si="4"/>
        <v>4</v>
      </c>
      <c r="E48" s="94">
        <f t="shared" si="4"/>
        <v>21.02067549422587</v>
      </c>
      <c r="F48" s="86"/>
      <c r="G48" s="95">
        <f t="shared" si="5"/>
        <v>4.2666709673053305</v>
      </c>
      <c r="H48" s="96">
        <f t="shared" si="6"/>
        <v>6.6667741826332644E-2</v>
      </c>
      <c r="I48" s="97">
        <f t="shared" si="7"/>
        <v>21.850640140886878</v>
      </c>
      <c r="J48" s="86"/>
      <c r="K48" s="95">
        <f t="shared" si="8"/>
        <v>5</v>
      </c>
      <c r="L48" s="88">
        <f t="shared" si="9"/>
        <v>0.25</v>
      </c>
      <c r="M48" s="97">
        <f t="shared" si="10"/>
        <v>24.032152746086098</v>
      </c>
      <c r="N48" s="90"/>
      <c r="O48" s="95">
        <f t="shared" si="11"/>
        <v>5</v>
      </c>
      <c r="P48" s="88">
        <f t="shared" si="12"/>
        <v>0.25</v>
      </c>
      <c r="Q48" s="98">
        <f t="shared" si="13"/>
        <v>24.032152746086098</v>
      </c>
      <c r="R48" s="92"/>
      <c r="S48" s="95">
        <f t="shared" si="14"/>
        <v>5</v>
      </c>
      <c r="T48" s="88">
        <f t="shared" si="15"/>
        <v>0.25</v>
      </c>
      <c r="U48" s="98">
        <f t="shared" si="16"/>
        <v>24.032152746086098</v>
      </c>
    </row>
    <row r="49" spans="2:24" x14ac:dyDescent="0.25">
      <c r="B49" s="83" t="str">
        <f t="shared" si="3"/>
        <v>Gardasil Adults</v>
      </c>
      <c r="C49" s="83" t="str">
        <f t="shared" si="3"/>
        <v>HCC Paid Search</v>
      </c>
      <c r="D49" s="93">
        <f t="shared" si="4"/>
        <v>0.2</v>
      </c>
      <c r="E49" s="94">
        <f t="shared" si="4"/>
        <v>17.969341094351833</v>
      </c>
      <c r="F49" s="86"/>
      <c r="G49" s="95">
        <f t="shared" si="5"/>
        <v>0.2</v>
      </c>
      <c r="H49" s="96">
        <f t="shared" si="6"/>
        <v>0</v>
      </c>
      <c r="I49" s="97">
        <f t="shared" si="7"/>
        <v>17.969341094351833</v>
      </c>
      <c r="J49" s="86"/>
      <c r="K49" s="95">
        <f t="shared" si="8"/>
        <v>0.2</v>
      </c>
      <c r="L49" s="88">
        <f t="shared" si="9"/>
        <v>0</v>
      </c>
      <c r="M49" s="97">
        <f t="shared" si="10"/>
        <v>17.969341094351833</v>
      </c>
      <c r="N49" s="90"/>
      <c r="O49" s="95">
        <f t="shared" si="11"/>
        <v>0.2</v>
      </c>
      <c r="P49" s="88">
        <f t="shared" si="12"/>
        <v>0</v>
      </c>
      <c r="Q49" s="98">
        <f t="shared" si="13"/>
        <v>17.969341094351833</v>
      </c>
      <c r="R49" s="92"/>
      <c r="S49" s="95">
        <f t="shared" si="14"/>
        <v>0.2</v>
      </c>
      <c r="T49" s="88">
        <f t="shared" si="15"/>
        <v>0</v>
      </c>
      <c r="U49" s="98">
        <f t="shared" si="16"/>
        <v>17.969341094351833</v>
      </c>
    </row>
    <row r="50" spans="2:24" x14ac:dyDescent="0.25">
      <c r="B50" s="83" t="str">
        <f t="shared" ref="B50:C50" si="17">B23</f>
        <v>Gardasil Adults</v>
      </c>
      <c r="C50" s="83" t="str">
        <f t="shared" si="17"/>
        <v>HCC Linear TV</v>
      </c>
      <c r="D50" s="93">
        <f>D23/1000000</f>
        <v>28.089210999999999</v>
      </c>
      <c r="E50" s="94">
        <f>E23/1000000</f>
        <v>40.395109654958588</v>
      </c>
      <c r="F50" s="86"/>
      <c r="G50" s="95">
        <f t="shared" si="5"/>
        <v>28.089210999999999</v>
      </c>
      <c r="H50" s="96">
        <f t="shared" si="6"/>
        <v>0</v>
      </c>
      <c r="I50" s="97">
        <f t="shared" si="7"/>
        <v>40.395109654958588</v>
      </c>
      <c r="J50" s="86"/>
      <c r="K50" s="95">
        <f t="shared" si="8"/>
        <v>28.089210999999999</v>
      </c>
      <c r="L50" s="88">
        <f t="shared" si="9"/>
        <v>0</v>
      </c>
      <c r="M50" s="97">
        <f t="shared" si="10"/>
        <v>40.395109654958588</v>
      </c>
      <c r="N50" s="90"/>
      <c r="O50" s="95">
        <f t="shared" si="11"/>
        <v>28.089210999999999</v>
      </c>
      <c r="P50" s="88">
        <f t="shared" si="12"/>
        <v>0</v>
      </c>
      <c r="Q50" s="98">
        <f t="shared" si="13"/>
        <v>40.395109654958588</v>
      </c>
      <c r="R50" s="92"/>
      <c r="S50" s="95">
        <f t="shared" si="14"/>
        <v>28.089210999999999</v>
      </c>
      <c r="T50" s="88">
        <f t="shared" si="15"/>
        <v>0</v>
      </c>
      <c r="U50" s="98">
        <f t="shared" si="16"/>
        <v>40.395109654958588</v>
      </c>
    </row>
    <row r="51" spans="2:24" x14ac:dyDescent="0.25">
      <c r="B51" s="83" t="str">
        <f>B24</f>
        <v>Gardasil Adults</v>
      </c>
      <c r="C51" s="83" t="str">
        <f>C24</f>
        <v>HCC Radio</v>
      </c>
      <c r="D51" s="93">
        <f t="shared" ref="D51:E54" si="18">D24/1000000</f>
        <v>1.5</v>
      </c>
      <c r="E51" s="94">
        <f t="shared" si="18"/>
        <v>7.2903099462908374</v>
      </c>
      <c r="F51" s="86"/>
      <c r="G51" s="95">
        <f>G24/1000000</f>
        <v>0.70236244109018753</v>
      </c>
      <c r="H51" s="96">
        <f>H24</f>
        <v>-0.53175837260654168</v>
      </c>
      <c r="I51" s="97">
        <f>I24/1000000</f>
        <v>5.3818798862388411</v>
      </c>
      <c r="J51" s="86"/>
      <c r="K51" s="95">
        <f>K24/1000000</f>
        <v>2.2000000000000002</v>
      </c>
      <c r="L51" s="88">
        <f>L24</f>
        <v>0.46666666666666667</v>
      </c>
      <c r="M51" s="97">
        <f>M24/1000000</f>
        <v>8.4972532367697085</v>
      </c>
      <c r="N51" s="90"/>
      <c r="O51" s="95">
        <f>O24/1000000</f>
        <v>2.2000000000000002</v>
      </c>
      <c r="P51" s="88">
        <f>P24</f>
        <v>0.46666666666666667</v>
      </c>
      <c r="Q51" s="98">
        <f>Q24/1000000</f>
        <v>8.4972532367697085</v>
      </c>
      <c r="R51" s="92"/>
      <c r="S51" s="95">
        <f>S24/1000000</f>
        <v>1.9543509945481978</v>
      </c>
      <c r="T51" s="88">
        <f>T24</f>
        <v>0.30290066303213187</v>
      </c>
      <c r="U51" s="98">
        <f>U24/1000000</f>
        <v>8.1042068009546782</v>
      </c>
    </row>
    <row r="52" spans="2:24" x14ac:dyDescent="0.25">
      <c r="B52" s="83" t="str">
        <f>B25</f>
        <v>Gardasil Adults</v>
      </c>
      <c r="C52" s="83" t="str">
        <f>C25</f>
        <v>HCC Pharmacy</v>
      </c>
      <c r="D52" s="93">
        <f t="shared" si="18"/>
        <v>3.2</v>
      </c>
      <c r="E52" s="94">
        <f t="shared" si="18"/>
        <v>5.0638371955307466</v>
      </c>
      <c r="F52" s="86"/>
      <c r="G52" s="95">
        <f>G25/1000000</f>
        <v>3.2</v>
      </c>
      <c r="H52" s="96">
        <f>H25</f>
        <v>0</v>
      </c>
      <c r="I52" s="97">
        <f>I25/1000000</f>
        <v>5.0638371955307466</v>
      </c>
      <c r="J52" s="86"/>
      <c r="K52" s="95">
        <f>K25/1000000</f>
        <v>3.2</v>
      </c>
      <c r="L52" s="88">
        <f>L25</f>
        <v>0</v>
      </c>
      <c r="M52" s="97">
        <f>M25/1000000</f>
        <v>5.0638371955307466</v>
      </c>
      <c r="N52" s="90"/>
      <c r="O52" s="95">
        <f>O25/1000000</f>
        <v>3.2</v>
      </c>
      <c r="P52" s="88">
        <f>P25</f>
        <v>0</v>
      </c>
      <c r="Q52" s="98">
        <f>Q25/1000000</f>
        <v>5.0638371955307466</v>
      </c>
      <c r="R52" s="92"/>
      <c r="S52" s="95">
        <f>S25/1000000</f>
        <v>3.2</v>
      </c>
      <c r="T52" s="88">
        <f>T25</f>
        <v>0</v>
      </c>
      <c r="U52" s="98">
        <f>U25/1000000</f>
        <v>5.0638371955307466</v>
      </c>
    </row>
    <row r="53" spans="2:24" x14ac:dyDescent="0.25">
      <c r="B53" s="99"/>
      <c r="C53" s="100" t="str">
        <f>C26</f>
        <v>Gardasil Adolescents</v>
      </c>
      <c r="D53" s="101">
        <f t="shared" si="18"/>
        <v>39.702376999999998</v>
      </c>
      <c r="E53" s="102">
        <f t="shared" si="18"/>
        <v>292.10970848154938</v>
      </c>
      <c r="F53" s="103"/>
      <c r="G53" s="104">
        <f t="shared" ref="G53:G54" si="19">G26/1000000</f>
        <v>39.702377000000006</v>
      </c>
      <c r="H53" s="105">
        <f t="shared" ref="H53:H54" si="20">H26</f>
        <v>1.8766081932383616E-16</v>
      </c>
      <c r="I53" s="106">
        <f t="shared" ref="I53:I54" si="21">I26/1000000</f>
        <v>293.4721594254687</v>
      </c>
      <c r="J53" s="103"/>
      <c r="K53" s="104">
        <f t="shared" ref="K53:K54" si="22">K26/1000000</f>
        <v>49.702377502066547</v>
      </c>
      <c r="L53" s="105">
        <f t="shared" ref="L53:L54" si="23">L26</f>
        <v>0.25187410068839317</v>
      </c>
      <c r="M53" s="106">
        <f t="shared" ref="M53:M54" si="24">M26/1000000</f>
        <v>330.52239856273405</v>
      </c>
      <c r="N53" s="62"/>
      <c r="O53" s="104">
        <f t="shared" ref="O53:O54" si="25">O26/1000000</f>
        <v>51.613090101004381</v>
      </c>
      <c r="P53" s="105">
        <f t="shared" ref="P53:P54" si="26">P26</f>
        <v>0.30000000002529786</v>
      </c>
      <c r="Q53" s="106">
        <f t="shared" ref="Q53:Q54" si="27">Q26/1000000</f>
        <v>338.1630898845109</v>
      </c>
      <c r="R53" s="107"/>
      <c r="S53" s="104">
        <f t="shared" ref="S53:S54" si="28">S26/1000000</f>
        <v>55.583327800000006</v>
      </c>
      <c r="T53" s="105">
        <f t="shared" ref="T53:T54" si="29">T26</f>
        <v>0.40000000000000013</v>
      </c>
      <c r="U53" s="106">
        <f t="shared" ref="U53:U54" si="30">U26/1000000</f>
        <v>360.13986066345348</v>
      </c>
      <c r="V53" s="1">
        <f>M53-E53</f>
        <v>38.412690081184678</v>
      </c>
      <c r="W53" s="1">
        <f>Q53-E53</f>
        <v>46.05338140296152</v>
      </c>
      <c r="X53" s="1">
        <f>U53-E53</f>
        <v>68.0301521819041</v>
      </c>
    </row>
    <row r="54" spans="2:24" x14ac:dyDescent="0.25">
      <c r="B54" s="99"/>
      <c r="C54" s="100" t="str">
        <f>C27</f>
        <v>Gardasil Adults</v>
      </c>
      <c r="D54" s="101">
        <f t="shared" si="18"/>
        <v>68.905663000000004</v>
      </c>
      <c r="E54" s="102">
        <f t="shared" si="18"/>
        <v>216.67362214828196</v>
      </c>
      <c r="F54" s="103"/>
      <c r="G54" s="104">
        <f t="shared" si="19"/>
        <v>68.905663000000004</v>
      </c>
      <c r="H54" s="105">
        <f t="shared" si="20"/>
        <v>0</v>
      </c>
      <c r="I54" s="106">
        <f t="shared" si="21"/>
        <v>222.41231809155829</v>
      </c>
      <c r="J54" s="103"/>
      <c r="K54" s="104">
        <f t="shared" si="22"/>
        <v>78.90566256458807</v>
      </c>
      <c r="L54" s="105">
        <f t="shared" si="23"/>
        <v>0.1451259465363256</v>
      </c>
      <c r="M54" s="106">
        <f t="shared" si="24"/>
        <v>239.16149621502655</v>
      </c>
      <c r="N54" s="62"/>
      <c r="O54" s="104">
        <f t="shared" si="25"/>
        <v>76.994949909322685</v>
      </c>
      <c r="P54" s="105">
        <f t="shared" si="26"/>
        <v>0.11739654706352189</v>
      </c>
      <c r="Q54" s="106">
        <f t="shared" si="27"/>
        <v>236.62798235757481</v>
      </c>
      <c r="R54" s="107"/>
      <c r="S54" s="104">
        <f t="shared" si="28"/>
        <v>73.024712199999996</v>
      </c>
      <c r="T54" s="105">
        <f t="shared" si="29"/>
        <v>5.9778094000779047E-2</v>
      </c>
      <c r="U54" s="106">
        <f t="shared" si="30"/>
        <v>232.42342659668708</v>
      </c>
      <c r="V54" s="1">
        <f>M54-E54</f>
        <v>22.487874066744581</v>
      </c>
      <c r="W54" s="1">
        <f>Q54-E54</f>
        <v>19.954360209292844</v>
      </c>
      <c r="X54" s="1">
        <f>U54-E54</f>
        <v>15.749804448405115</v>
      </c>
    </row>
    <row r="55" spans="2:24" ht="29.65" customHeight="1" x14ac:dyDescent="0.25">
      <c r="B55" s="61"/>
      <c r="C55" s="100" t="s">
        <v>17</v>
      </c>
      <c r="D55" s="108">
        <f>D28/1000000</f>
        <v>108.60804</v>
      </c>
      <c r="E55" s="102">
        <f>E28/1000000</f>
        <v>508.78333062983131</v>
      </c>
      <c r="F55" s="103"/>
      <c r="G55" s="109">
        <f>G28/1000000</f>
        <v>108.60804</v>
      </c>
      <c r="H55" s="110">
        <f>H28</f>
        <v>0</v>
      </c>
      <c r="I55" s="106">
        <f>I28/1000000</f>
        <v>515.88447751702699</v>
      </c>
      <c r="J55" s="103"/>
      <c r="K55" s="109">
        <f>K28/1000000</f>
        <v>128.60804006665461</v>
      </c>
      <c r="L55" s="110">
        <f>L28</f>
        <v>0.18414843014066568</v>
      </c>
      <c r="M55" s="106">
        <f>M28/1000000</f>
        <v>569.68389477776066</v>
      </c>
      <c r="N55" s="62"/>
      <c r="O55" s="109">
        <f>O28/1000000</f>
        <v>128.60804001032707</v>
      </c>
      <c r="P55" s="110">
        <f>P28</f>
        <v>0.18414842962203415</v>
      </c>
      <c r="Q55" s="106">
        <f>Q28/1000000</f>
        <v>574.79107224208565</v>
      </c>
      <c r="R55" s="107"/>
      <c r="S55" s="109">
        <f>S28/1000000</f>
        <v>128.60803999999999</v>
      </c>
      <c r="T55" s="110">
        <f>T28</f>
        <v>0.18414842952694832</v>
      </c>
      <c r="U55" s="106">
        <f>U28/1000000</f>
        <v>582.66796117127024</v>
      </c>
      <c r="V55" s="111">
        <f>V54*1.25</f>
        <v>28.109842583430726</v>
      </c>
      <c r="W55" s="111">
        <f>W54*1.25</f>
        <v>24.942950261616055</v>
      </c>
      <c r="X55" s="111">
        <f>X54*1.25</f>
        <v>19.687255560506394</v>
      </c>
    </row>
    <row r="56" spans="2:24" ht="25.5" x14ac:dyDescent="0.25">
      <c r="B56" s="61"/>
      <c r="C56" s="100" t="s">
        <v>23</v>
      </c>
      <c r="D56" s="104" t="str">
        <f>_xlfn.CONCAT("ROI"," ", ,D61)</f>
        <v>ROI 4.68</v>
      </c>
      <c r="E56" s="112"/>
      <c r="F56" s="103"/>
      <c r="G56" s="104" t="str">
        <f>_xlfn.CONCAT("ROI"," ", ,G61)</f>
        <v>ROI 4.75</v>
      </c>
      <c r="H56" s="110"/>
      <c r="I56" s="113" t="s">
        <v>24</v>
      </c>
      <c r="J56" s="103"/>
      <c r="K56" s="104" t="str">
        <f>_xlfn.CONCAT("ROI"," ", ,K61)</f>
        <v>ROI 4.43</v>
      </c>
      <c r="L56" s="110"/>
      <c r="M56" s="113" t="s">
        <v>25</v>
      </c>
      <c r="N56" s="62"/>
      <c r="O56" s="104" t="str">
        <f>_xlfn.CONCAT("ROI"," ", ,O61)</f>
        <v>ROI 4.47</v>
      </c>
      <c r="P56" s="110"/>
      <c r="Q56" s="113" t="s">
        <v>26</v>
      </c>
      <c r="R56" s="114"/>
      <c r="S56" s="104" t="str">
        <f>_xlfn.CONCAT("ROI"," ", ,S61)</f>
        <v>ROI 4.53</v>
      </c>
      <c r="T56" s="110"/>
      <c r="U56" s="113" t="s">
        <v>27</v>
      </c>
    </row>
    <row r="57" spans="2:24" ht="25.5" x14ac:dyDescent="0.25">
      <c r="B57" s="61"/>
      <c r="C57" s="100" t="s">
        <v>28</v>
      </c>
      <c r="D57" s="104" t="str">
        <f>_xlfn.CONCAT("ROI"," ", ,D63)</f>
        <v>ROI 7.36</v>
      </c>
      <c r="E57" s="112"/>
      <c r="F57" s="103"/>
      <c r="G57" s="104" t="str">
        <f>_xlfn.CONCAT("ROI"," ", ,G63)</f>
        <v>ROI 7.39</v>
      </c>
      <c r="H57" s="110"/>
      <c r="I57" s="113" t="s">
        <v>29</v>
      </c>
      <c r="J57" s="103"/>
      <c r="K57" s="104" t="str">
        <f>_xlfn.CONCAT("ROI"," ", ,K63)</f>
        <v>ROI 6.65</v>
      </c>
      <c r="L57" s="110"/>
      <c r="M57" s="113" t="s">
        <v>30</v>
      </c>
      <c r="N57" s="62"/>
      <c r="O57" s="104" t="str">
        <f>_xlfn.CONCAT("ROI"," ", ,O63)</f>
        <v>ROI 6.55</v>
      </c>
      <c r="P57" s="110"/>
      <c r="Q57" s="113" t="s">
        <v>31</v>
      </c>
      <c r="R57" s="114"/>
      <c r="S57" s="104" t="str">
        <f>_xlfn.CONCAT("ROI"," ", ,S63)</f>
        <v>ROI 6.48</v>
      </c>
      <c r="T57" s="110"/>
      <c r="U57" s="113" t="s">
        <v>32</v>
      </c>
    </row>
    <row r="58" spans="2:24" ht="25.5" x14ac:dyDescent="0.25">
      <c r="B58" s="61"/>
      <c r="C58" s="100" t="s">
        <v>33</v>
      </c>
      <c r="D58" s="104" t="str">
        <f>_xlfn.CONCAT("ROI"," ", ,D65)</f>
        <v>ROI 3.14</v>
      </c>
      <c r="E58" s="112"/>
      <c r="F58" s="103"/>
      <c r="G58" s="104" t="str">
        <f>_xlfn.CONCAT("ROI"," ", ,G65)</f>
        <v>ROI 3.23</v>
      </c>
      <c r="H58" s="110"/>
      <c r="I58" s="113" t="s">
        <v>34</v>
      </c>
      <c r="J58" s="103"/>
      <c r="K58" s="104" t="str">
        <f>_xlfn.CONCAT("ROI"," ", ,K65)</f>
        <v>ROI 3.03</v>
      </c>
      <c r="L58" s="110"/>
      <c r="M58" s="113" t="s">
        <v>35</v>
      </c>
      <c r="N58" s="62"/>
      <c r="O58" s="104" t="str">
        <f>_xlfn.CONCAT("ROI"," ", ,O65)</f>
        <v>ROI 3.07</v>
      </c>
      <c r="P58" s="110"/>
      <c r="Q58" s="113" t="s">
        <v>36</v>
      </c>
      <c r="R58" s="114"/>
      <c r="S58" s="104" t="str">
        <f>_xlfn.CONCAT("ROI"," ", ,S65)</f>
        <v>ROI 3.18</v>
      </c>
      <c r="T58" s="110"/>
      <c r="U58" s="113" t="s">
        <v>37</v>
      </c>
    </row>
    <row r="59" spans="2:24" ht="25.5" x14ac:dyDescent="0.25">
      <c r="B59" s="61"/>
      <c r="C59" s="100" t="s">
        <v>38</v>
      </c>
      <c r="D59" s="104" t="str">
        <f>_xlfn.CONCAT("ROI"," ", ,D67)</f>
        <v>ROI 3.93</v>
      </c>
      <c r="E59" s="112"/>
      <c r="F59" s="103"/>
      <c r="G59" s="104" t="str">
        <f>_xlfn.CONCAT("ROI"," ", ,G67)</f>
        <v>ROI 4.03</v>
      </c>
      <c r="H59" s="110"/>
      <c r="I59" s="113" t="s">
        <v>39</v>
      </c>
      <c r="J59" s="103"/>
      <c r="K59" s="104" t="str">
        <f>_xlfn.CONCAT("ROI"," ", ,K67)</f>
        <v>ROI 3.79</v>
      </c>
      <c r="L59" s="110"/>
      <c r="M59" s="113" t="s">
        <v>40</v>
      </c>
      <c r="N59" s="62"/>
      <c r="O59" s="104" t="str">
        <f>_xlfn.CONCAT("ROI"," ", ,O67)</f>
        <v>ROI 3.84</v>
      </c>
      <c r="P59" s="110"/>
      <c r="Q59" s="113" t="s">
        <v>41</v>
      </c>
      <c r="R59" s="114"/>
      <c r="S59" s="104" t="str">
        <f>_xlfn.CONCAT("ROI"," ", ,S67)</f>
        <v>ROI 3.98</v>
      </c>
      <c r="T59" s="110"/>
      <c r="U59" s="113" t="s">
        <v>42</v>
      </c>
    </row>
    <row r="60" spans="2:24" ht="25.5" x14ac:dyDescent="0.25">
      <c r="B60" s="61"/>
      <c r="C60" s="100" t="s">
        <v>43</v>
      </c>
      <c r="D60" s="104" t="str">
        <f>_xlfn.CONCAT("ROI"," ", ,D69)</f>
        <v>ROI 2.52</v>
      </c>
      <c r="E60" s="112"/>
      <c r="F60" s="103"/>
      <c r="G60" s="104" t="str">
        <f>_xlfn.CONCAT("ROI"," ", ,G69)</f>
        <v>ROI 2.58</v>
      </c>
      <c r="H60" s="110"/>
      <c r="I60" s="113" t="s">
        <v>44</v>
      </c>
      <c r="J60" s="103"/>
      <c r="K60" s="104" t="str">
        <f>_xlfn.CONCAT("ROI"," ", ,K69)</f>
        <v>ROI 2.42</v>
      </c>
      <c r="L60" s="110"/>
      <c r="M60" s="113" t="s">
        <v>45</v>
      </c>
      <c r="N60" s="62"/>
      <c r="O60" s="104" t="str">
        <f>_xlfn.CONCAT("ROI"," ", ,O69)</f>
        <v>ROI 2.46</v>
      </c>
      <c r="P60" s="110"/>
      <c r="Q60" s="113" t="s">
        <v>46</v>
      </c>
      <c r="R60" s="114"/>
      <c r="S60" s="104" t="str">
        <f>_xlfn.CONCAT("ROI"," ", ,S69)</f>
        <v>ROI 2.55</v>
      </c>
      <c r="T60" s="110"/>
      <c r="U60" s="113" t="s">
        <v>47</v>
      </c>
    </row>
    <row r="61" spans="2:24" x14ac:dyDescent="0.25">
      <c r="D61">
        <f>ROUND(E55/D55,2)</f>
        <v>4.68</v>
      </c>
      <c r="G61">
        <f>ROUND(I55/G55,2)</f>
        <v>4.75</v>
      </c>
      <c r="I61" s="115">
        <f>(I55-$E$55)</f>
        <v>7.1011468871956822</v>
      </c>
      <c r="K61">
        <f>ROUND(M55/K55,2)</f>
        <v>4.43</v>
      </c>
      <c r="M61" s="115">
        <f>(M55-$E$55)</f>
        <v>60.900564147929344</v>
      </c>
      <c r="O61">
        <f>ROUND(Q55/O55,2)</f>
        <v>4.47</v>
      </c>
      <c r="Q61" s="115">
        <f>(Q55-$E$55)</f>
        <v>66.007741612254335</v>
      </c>
      <c r="R61" s="116"/>
      <c r="S61">
        <f>ROUND(U55/S55,2)</f>
        <v>4.53</v>
      </c>
      <c r="U61" s="115">
        <f>(U55-$E$55)</f>
        <v>73.884630541438924</v>
      </c>
    </row>
    <row r="62" spans="2:24" x14ac:dyDescent="0.25">
      <c r="I62" s="117">
        <f>I61/$E$55</f>
        <v>1.3957113882652278E-2</v>
      </c>
      <c r="K62" s="118"/>
      <c r="L62" s="118"/>
      <c r="M62" s="32">
        <f>M61/$E$55</f>
        <v>0.11969842658276467</v>
      </c>
      <c r="N62" s="118"/>
      <c r="O62" s="118"/>
      <c r="P62" s="118"/>
      <c r="Q62" s="32">
        <f>Q61/$E$55</f>
        <v>0.12973644700690617</v>
      </c>
      <c r="R62" s="32"/>
      <c r="S62" s="118"/>
      <c r="T62" s="118"/>
      <c r="U62" s="32">
        <f>U61/$E$55</f>
        <v>0.14521826108173772</v>
      </c>
    </row>
    <row r="63" spans="2:24" x14ac:dyDescent="0.25">
      <c r="D63">
        <f>ROUND(E53/D53,2)</f>
        <v>7.36</v>
      </c>
      <c r="G63">
        <f>ROUND(I53/G53,2)</f>
        <v>7.39</v>
      </c>
      <c r="I63" s="115">
        <f>I53-$E$53</f>
        <v>1.3624509439193275</v>
      </c>
      <c r="K63">
        <f>ROUND(M53/K53,2)</f>
        <v>6.65</v>
      </c>
      <c r="M63" s="115">
        <f>M53-$E$53</f>
        <v>38.412690081184678</v>
      </c>
      <c r="O63">
        <f>ROUND(Q53/O53,2)</f>
        <v>6.55</v>
      </c>
      <c r="Q63" s="115">
        <f>Q53-$E$53</f>
        <v>46.05338140296152</v>
      </c>
      <c r="S63">
        <f>ROUND(U53/S53,2)</f>
        <v>6.48</v>
      </c>
      <c r="U63" s="115">
        <f>U53-$E$53</f>
        <v>68.0301521819041</v>
      </c>
    </row>
    <row r="64" spans="2:24" x14ac:dyDescent="0.25">
      <c r="I64" s="117">
        <f>I63/$E$53</f>
        <v>4.6641754942060906E-3</v>
      </c>
      <c r="M64" s="32">
        <f>M63/$E$53</f>
        <v>0.13150090177030507</v>
      </c>
      <c r="N64" s="118"/>
      <c r="Q64" s="32">
        <f>Q63/$E$53</f>
        <v>0.1576578253504724</v>
      </c>
      <c r="U64" s="32">
        <f>U63/$E$53</f>
        <v>0.23289247226851795</v>
      </c>
    </row>
    <row r="65" spans="1:21" x14ac:dyDescent="0.25">
      <c r="D65">
        <f>ROUND(E54/D54,2)</f>
        <v>3.14</v>
      </c>
      <c r="G65">
        <f>ROUND(I54/G54,2)</f>
        <v>3.23</v>
      </c>
      <c r="I65" s="115">
        <f>I54-$E$54</f>
        <v>5.7386959432763263</v>
      </c>
      <c r="K65">
        <f>ROUND(M54/K54,2)</f>
        <v>3.03</v>
      </c>
      <c r="M65" s="115">
        <f>M54-$E$54</f>
        <v>22.487874066744581</v>
      </c>
      <c r="O65">
        <f>ROUND(Q54/O54,2)</f>
        <v>3.07</v>
      </c>
      <c r="Q65" s="115">
        <f>Q54-$E$54</f>
        <v>19.954360209292844</v>
      </c>
      <c r="S65">
        <f>ROUND(U54/S54,2)</f>
        <v>3.18</v>
      </c>
      <c r="U65" s="115">
        <f>U54-$E$54</f>
        <v>15.749804448405115</v>
      </c>
    </row>
    <row r="66" spans="1:21" x14ac:dyDescent="0.25">
      <c r="I66" s="117">
        <f>I65/$E$54</f>
        <v>2.6485438727511617E-2</v>
      </c>
      <c r="M66" s="32">
        <f>M65/$E$54</f>
        <v>0.10378685621157366</v>
      </c>
      <c r="N66" s="118"/>
      <c r="Q66" s="32">
        <f>Q65/$E$54</f>
        <v>9.2094090694791408E-2</v>
      </c>
      <c r="U66" s="32">
        <f>U65/$E$54</f>
        <v>7.268907166570851E-2</v>
      </c>
    </row>
    <row r="67" spans="1:21" x14ac:dyDescent="0.25">
      <c r="D67">
        <f>ROUND(E54*1.25/D54,2)</f>
        <v>3.93</v>
      </c>
      <c r="G67">
        <f>ROUND(I54*1.25/G54,2)</f>
        <v>4.03</v>
      </c>
      <c r="I67" s="115">
        <f>I65*1.25</f>
        <v>7.1733699290954078</v>
      </c>
      <c r="K67">
        <f>ROUND(M54*1.25/K54,2)</f>
        <v>3.79</v>
      </c>
      <c r="M67" s="115">
        <f>M65*1.25</f>
        <v>28.109842583430726</v>
      </c>
      <c r="O67">
        <f>ROUND(Q54*1.25/O54,2)</f>
        <v>3.84</v>
      </c>
      <c r="Q67" s="115">
        <f>Q65*1.25</f>
        <v>24.942950261616055</v>
      </c>
      <c r="S67">
        <f>ROUND(U54*1.25/S54,2)</f>
        <v>3.98</v>
      </c>
      <c r="U67" s="115">
        <f>U65*1.25</f>
        <v>19.687255560506394</v>
      </c>
    </row>
    <row r="68" spans="1:21" x14ac:dyDescent="0.25">
      <c r="I68" s="117">
        <f>I67/($E$54*1.25)</f>
        <v>2.648543872751162E-2</v>
      </c>
      <c r="M68" s="32">
        <f>M67/($E$54*1.25)</f>
        <v>0.10378685621157366</v>
      </c>
      <c r="N68" s="118"/>
      <c r="Q68" s="32">
        <f>Q67/($E$54*1.25)</f>
        <v>9.2094090694791422E-2</v>
      </c>
      <c r="U68" s="32">
        <f>U67/($E$54*1.25)</f>
        <v>7.2689071665708524E-2</v>
      </c>
    </row>
    <row r="69" spans="1:21" x14ac:dyDescent="0.25">
      <c r="D69">
        <f>ROUND(E54*0.8/D54,2)</f>
        <v>2.52</v>
      </c>
      <c r="G69">
        <f>ROUND(I54*0.8/G54,2)</f>
        <v>2.58</v>
      </c>
      <c r="I69" s="115">
        <f>I65*0.8</f>
        <v>4.590956754621061</v>
      </c>
      <c r="K69">
        <f>ROUND(M54*0.8/K54,2)</f>
        <v>2.42</v>
      </c>
      <c r="M69" s="115">
        <f>M65*0.8</f>
        <v>17.990299253395666</v>
      </c>
      <c r="O69">
        <f>ROUND(Q54*0.8/O54,2)</f>
        <v>2.46</v>
      </c>
      <c r="Q69" s="115">
        <f>Q65*0.8</f>
        <v>15.963488167434276</v>
      </c>
      <c r="S69">
        <f>ROUND(U54*0.8/S54,2)</f>
        <v>2.5499999999999998</v>
      </c>
      <c r="U69" s="115">
        <f>U65*0.8</f>
        <v>12.599843558724093</v>
      </c>
    </row>
    <row r="70" spans="1:21" x14ac:dyDescent="0.25">
      <c r="I70" s="117">
        <f>I69/($E$54*0.8)</f>
        <v>2.6485438727511617E-2</v>
      </c>
      <c r="M70" s="32">
        <f>M69/($E$54*0.8)</f>
        <v>0.10378685621157364</v>
      </c>
      <c r="N70" s="118"/>
      <c r="Q70" s="32">
        <f>Q69/($E$54*0.8)</f>
        <v>9.2094090694791408E-2</v>
      </c>
      <c r="U70" s="32">
        <f>U69/($E$54*0.8)</f>
        <v>7.268907166570851E-2</v>
      </c>
    </row>
    <row r="71" spans="1:21" x14ac:dyDescent="0.25">
      <c r="C71" s="100" t="s">
        <v>15</v>
      </c>
      <c r="D71" s="101">
        <v>39.702376999999998</v>
      </c>
      <c r="E71" s="102">
        <v>292.10970848154938</v>
      </c>
      <c r="F71" s="103"/>
      <c r="G71" s="104">
        <v>39.702377000000006</v>
      </c>
      <c r="H71" s="105">
        <v>1.8766081932383616E-16</v>
      </c>
      <c r="I71" s="106">
        <v>293.4721594254687</v>
      </c>
      <c r="J71" s="103"/>
      <c r="K71" s="104">
        <v>49.702377502066547</v>
      </c>
      <c r="L71" s="105">
        <v>0.25187410068839317</v>
      </c>
      <c r="M71" s="106">
        <v>339.1172514900764</v>
      </c>
      <c r="N71" s="62"/>
      <c r="O71" s="104">
        <v>51.613090101004381</v>
      </c>
      <c r="P71" s="105">
        <v>0.30000000002529786</v>
      </c>
      <c r="Q71" s="106">
        <v>346.23896279694759</v>
      </c>
      <c r="R71" s="107"/>
      <c r="S71" s="104">
        <v>55.583327800000006</v>
      </c>
      <c r="T71" s="105">
        <v>0.40000000000000013</v>
      </c>
      <c r="U71" s="106">
        <v>360.13986066345348</v>
      </c>
    </row>
    <row r="72" spans="1:21" x14ac:dyDescent="0.25">
      <c r="C72" s="100" t="s">
        <v>16</v>
      </c>
      <c r="D72" s="101">
        <v>68.905663000000004</v>
      </c>
      <c r="E72" s="102">
        <v>216.67362214828196</v>
      </c>
      <c r="F72" s="103"/>
      <c r="G72" s="104">
        <v>68.905663000000004</v>
      </c>
      <c r="H72" s="105">
        <v>0</v>
      </c>
      <c r="I72" s="106">
        <v>222.41231809155829</v>
      </c>
      <c r="J72" s="103"/>
      <c r="K72" s="104">
        <v>78.90566256458807</v>
      </c>
      <c r="L72" s="105">
        <v>0.1451259465363256</v>
      </c>
      <c r="M72" s="106">
        <v>240.52169082253056</v>
      </c>
      <c r="N72" s="62"/>
      <c r="O72" s="104">
        <v>76.994949909322685</v>
      </c>
      <c r="P72" s="105">
        <v>0.11739654706352189</v>
      </c>
      <c r="Q72" s="106">
        <v>238.07641350059049</v>
      </c>
      <c r="R72" s="107"/>
      <c r="S72" s="104">
        <v>73.024712199999996</v>
      </c>
      <c r="T72" s="105">
        <v>5.9778094000779047E-2</v>
      </c>
      <c r="U72" s="106">
        <v>232.42342659668708</v>
      </c>
    </row>
    <row r="75" spans="1:21" ht="15" customHeight="1" x14ac:dyDescent="0.25">
      <c r="A75" s="90"/>
      <c r="B75" s="119"/>
      <c r="C75" s="120"/>
      <c r="D75" s="120"/>
      <c r="E75" s="120"/>
      <c r="F75" s="120"/>
      <c r="H75" s="121"/>
      <c r="I75" s="121"/>
      <c r="J75" s="121"/>
      <c r="K75" s="122" t="str">
        <f>$G$4</f>
        <v>Optimal channel spend allowed to vary based on custom constraints of the 2024 channel spend</v>
      </c>
      <c r="L75" s="123"/>
      <c r="M75" s="123"/>
      <c r="N75" s="123"/>
      <c r="O75" s="123"/>
      <c r="P75" s="123"/>
      <c r="Q75" s="123"/>
      <c r="R75" s="123"/>
      <c r="S75" s="123"/>
      <c r="T75" s="123"/>
      <c r="U75" s="124"/>
    </row>
    <row r="76" spans="1:21" ht="42.75" customHeight="1" x14ac:dyDescent="0.25">
      <c r="A76" s="90"/>
      <c r="B76" s="125"/>
      <c r="C76" s="90"/>
      <c r="D76" s="126" t="s">
        <v>18</v>
      </c>
      <c r="E76" s="127"/>
      <c r="F76" s="128"/>
      <c r="G76" s="129" t="str">
        <f>$G$5</f>
        <v>Current Optimal ($92MM)</v>
      </c>
      <c r="H76" s="130"/>
      <c r="I76" s="131"/>
      <c r="J76" s="132"/>
      <c r="K76" s="133" t="str">
        <f>$K$5</f>
        <v>20M increase in total budget (10M increase in adult and adolescent in each)</v>
      </c>
      <c r="L76" s="134"/>
      <c r="M76" s="135"/>
      <c r="N76" s="90"/>
      <c r="O76" s="133" t="str">
        <f>$O$5</f>
        <v>20M increase in total budget ( Global Max 130%)</v>
      </c>
      <c r="P76" s="134"/>
      <c r="Q76" s="135"/>
      <c r="R76" s="136"/>
      <c r="S76" s="137" t="str">
        <f>$S$5</f>
        <v>20M increase in total budget ( Global Max 140%)</v>
      </c>
      <c r="T76" s="137"/>
      <c r="U76" s="138"/>
    </row>
    <row r="77" spans="1:21" ht="24" x14ac:dyDescent="0.25">
      <c r="A77" s="90"/>
      <c r="B77" s="139" t="s">
        <v>19</v>
      </c>
      <c r="C77" s="140" t="s">
        <v>20</v>
      </c>
      <c r="D77" s="141" t="s">
        <v>21</v>
      </c>
      <c r="E77" s="142" t="s">
        <v>22</v>
      </c>
      <c r="F77" s="143"/>
      <c r="G77" s="144" t="s">
        <v>9</v>
      </c>
      <c r="H77" s="142" t="s">
        <v>10</v>
      </c>
      <c r="I77" s="145" t="s">
        <v>11</v>
      </c>
      <c r="J77" s="143"/>
      <c r="K77" s="144" t="s">
        <v>9</v>
      </c>
      <c r="L77" s="142" t="s">
        <v>10</v>
      </c>
      <c r="M77" s="145" t="s">
        <v>11</v>
      </c>
      <c r="N77" s="90"/>
      <c r="O77" s="144" t="s">
        <v>9</v>
      </c>
      <c r="P77" s="142" t="s">
        <v>10</v>
      </c>
      <c r="Q77" s="145" t="s">
        <v>11</v>
      </c>
      <c r="R77" s="143"/>
      <c r="S77" s="144" t="s">
        <v>9</v>
      </c>
      <c r="T77" s="142" t="s">
        <v>10</v>
      </c>
      <c r="U77" s="146" t="s">
        <v>11</v>
      </c>
    </row>
    <row r="78" spans="1:21" ht="15" customHeight="1" x14ac:dyDescent="0.25">
      <c r="A78" s="147" t="s">
        <v>48</v>
      </c>
      <c r="B78" s="148" t="str">
        <f>$B$7</f>
        <v>Gardasil Adolescents</v>
      </c>
      <c r="C78" s="149" t="str">
        <f>$C$36</f>
        <v>HCC Social</v>
      </c>
      <c r="D78" s="150">
        <v>1.84</v>
      </c>
      <c r="E78" s="151">
        <v>15.925915704314221</v>
      </c>
      <c r="F78" s="152"/>
      <c r="G78" s="153">
        <v>1.5994999999999999</v>
      </c>
      <c r="H78" s="154">
        <v>-0.13070652173913053</v>
      </c>
      <c r="I78" s="155">
        <v>14.642130239828273</v>
      </c>
      <c r="J78" s="152"/>
      <c r="K78" s="153">
        <v>2.9817109863617199</v>
      </c>
      <c r="L78" s="154">
        <v>0.62049510128354335</v>
      </c>
      <c r="M78" s="155">
        <v>21.276150131606528</v>
      </c>
      <c r="N78" s="156"/>
      <c r="O78" s="153">
        <v>3.4550475305201798</v>
      </c>
      <c r="P78" s="154">
        <v>0.87774322310879327</v>
      </c>
      <c r="Q78" s="157">
        <v>23.242676342221319</v>
      </c>
      <c r="R78" s="158"/>
      <c r="S78" s="153">
        <v>4.4337194069541601</v>
      </c>
      <c r="T78" s="154">
        <v>1.409630112475087</v>
      </c>
      <c r="U78" s="159">
        <v>26.994459847444503</v>
      </c>
    </row>
    <row r="79" spans="1:21" x14ac:dyDescent="0.25">
      <c r="A79" s="160"/>
      <c r="B79" s="161" t="str">
        <f>$B$7</f>
        <v>Gardasil Adolescents</v>
      </c>
      <c r="C79" s="162" t="str">
        <f>$C$37</f>
        <v>HCC Online Video</v>
      </c>
      <c r="D79" s="163">
        <v>1.22</v>
      </c>
      <c r="E79" s="164">
        <v>3.3942467935979272</v>
      </c>
      <c r="F79" s="165"/>
      <c r="G79" s="166">
        <v>1</v>
      </c>
      <c r="H79" s="167">
        <v>-0.18032786885245899</v>
      </c>
      <c r="I79" s="168">
        <v>3.3578328692201262</v>
      </c>
      <c r="J79" s="165"/>
      <c r="K79" s="166">
        <v>2</v>
      </c>
      <c r="L79" s="169">
        <v>0.63934426229508201</v>
      </c>
      <c r="M79" s="168">
        <v>3.4188340147602108</v>
      </c>
      <c r="N79" s="170"/>
      <c r="O79" s="166">
        <v>2</v>
      </c>
      <c r="P79" s="169">
        <v>0.63934426229508201</v>
      </c>
      <c r="Q79" s="171">
        <v>3.4188340147602108</v>
      </c>
      <c r="R79" s="172"/>
      <c r="S79" s="166">
        <v>2</v>
      </c>
      <c r="T79" s="169">
        <v>0.63934426229508201</v>
      </c>
      <c r="U79" s="173">
        <v>3.4188340147602108</v>
      </c>
    </row>
    <row r="80" spans="1:21" x14ac:dyDescent="0.25">
      <c r="A80" s="160"/>
      <c r="B80" s="174" t="str">
        <f>$B$7</f>
        <v>Gardasil Adolescents</v>
      </c>
      <c r="C80" s="175" t="s">
        <v>49</v>
      </c>
      <c r="D80" s="176">
        <v>36.642376999999996</v>
      </c>
      <c r="E80" s="177">
        <v>272.78954598363725</v>
      </c>
      <c r="F80" s="178"/>
      <c r="G80" s="179">
        <v>37.102877000000007</v>
      </c>
      <c r="H80" s="180">
        <v>1.2567416136786387E-2</v>
      </c>
      <c r="I80" s="181">
        <v>275.47219631642031</v>
      </c>
      <c r="J80" s="178"/>
      <c r="K80" s="179">
        <v>44.720666515704821</v>
      </c>
      <c r="L80" s="182">
        <v>0.22046303152507887</v>
      </c>
      <c r="M80" s="181">
        <v>310.45155071823081</v>
      </c>
      <c r="N80" s="183"/>
      <c r="O80" s="179">
        <v>46.158042570484199</v>
      </c>
      <c r="P80" s="182">
        <v>0.25969018250328585</v>
      </c>
      <c r="Q80" s="184">
        <v>315.8088317983669</v>
      </c>
      <c r="R80" s="185"/>
      <c r="S80" s="179">
        <v>49.149608393045838</v>
      </c>
      <c r="T80" s="182">
        <v>0.3413324248327515</v>
      </c>
      <c r="U80" s="186">
        <v>326.2839797883766</v>
      </c>
    </row>
    <row r="81" spans="1:22" ht="15" customHeight="1" x14ac:dyDescent="0.25">
      <c r="A81" s="160"/>
      <c r="B81" s="148" t="str">
        <f>$B$16</f>
        <v>Gardasil Adults</v>
      </c>
      <c r="C81" s="149" t="str">
        <f>$C$36</f>
        <v>HCC Social</v>
      </c>
      <c r="D81" s="150">
        <v>2.2000000000000002</v>
      </c>
      <c r="E81" s="151">
        <v>6.171975030653198</v>
      </c>
      <c r="F81" s="152"/>
      <c r="G81" s="153">
        <v>1.8</v>
      </c>
      <c r="H81" s="154">
        <v>-0.18181818181818185</v>
      </c>
      <c r="I81" s="155">
        <v>5.4718483801533537</v>
      </c>
      <c r="J81" s="152"/>
      <c r="K81" s="153">
        <v>3.5841614183054302</v>
      </c>
      <c r="L81" s="154">
        <v>0.62916428104792266</v>
      </c>
      <c r="M81" s="155">
        <v>8.2718583393798539</v>
      </c>
      <c r="N81" s="156"/>
      <c r="O81" s="153">
        <v>3.1545709220185199</v>
      </c>
      <c r="P81" s="154">
        <v>0.43389587364478166</v>
      </c>
      <c r="Q81" s="157">
        <v>7.6618691252840483</v>
      </c>
      <c r="R81" s="158"/>
      <c r="S81" s="153">
        <v>1.2823684526044201</v>
      </c>
      <c r="T81" s="154">
        <v>-0.41710524881617272</v>
      </c>
      <c r="U81" s="159">
        <v>4.4645557162123231</v>
      </c>
    </row>
    <row r="82" spans="1:22" x14ac:dyDescent="0.25">
      <c r="A82" s="160"/>
      <c r="B82" s="161" t="str">
        <f t="shared" ref="B82:B83" si="31">$B$16</f>
        <v>Gardasil Adults</v>
      </c>
      <c r="C82" s="162" t="str">
        <f>$C$37</f>
        <v>HCC Online Video</v>
      </c>
      <c r="D82" s="163">
        <v>1.5</v>
      </c>
      <c r="E82" s="164">
        <v>5.944544957049497</v>
      </c>
      <c r="F82" s="165"/>
      <c r="G82" s="166">
        <v>1.1068179535387797</v>
      </c>
      <c r="H82" s="167">
        <v>-0.26212136430748023</v>
      </c>
      <c r="I82" s="168">
        <v>4.875568571233055</v>
      </c>
      <c r="J82" s="165"/>
      <c r="K82" s="166">
        <v>3.5399127789936897</v>
      </c>
      <c r="L82" s="169">
        <v>1.3599418526624598</v>
      </c>
      <c r="M82" s="168">
        <v>8.7122649776674699</v>
      </c>
      <c r="N82" s="170"/>
      <c r="O82" s="166">
        <v>3.4693387975853098</v>
      </c>
      <c r="P82" s="169">
        <v>1.3128925317235398</v>
      </c>
      <c r="Q82" s="171">
        <v>8.6638885043453726</v>
      </c>
      <c r="R82" s="172"/>
      <c r="S82" s="166">
        <v>3.0918807528473802</v>
      </c>
      <c r="T82" s="169">
        <v>1.0612538352315868</v>
      </c>
      <c r="U82" s="173">
        <v>8.3655158071837796</v>
      </c>
    </row>
    <row r="83" spans="1:22" x14ac:dyDescent="0.25">
      <c r="A83" s="187"/>
      <c r="B83" s="174" t="str">
        <f t="shared" si="31"/>
        <v>Gardasil Adults</v>
      </c>
      <c r="C83" s="175" t="s">
        <v>49</v>
      </c>
      <c r="D83" s="176">
        <v>65.205663000000001</v>
      </c>
      <c r="E83" s="177">
        <v>204.55710216057929</v>
      </c>
      <c r="F83" s="178"/>
      <c r="G83" s="179">
        <v>65.998845046461213</v>
      </c>
      <c r="H83" s="180">
        <v>1.2164312269337889E-2</v>
      </c>
      <c r="I83" s="181">
        <v>212.0649011401718</v>
      </c>
      <c r="J83" s="178"/>
      <c r="K83" s="179">
        <v>71.781588367288961</v>
      </c>
      <c r="L83" s="182">
        <v>0.10084899170933911</v>
      </c>
      <c r="M83" s="181">
        <v>223.15336215736525</v>
      </c>
      <c r="N83" s="183"/>
      <c r="O83" s="179">
        <v>70.371040189718855</v>
      </c>
      <c r="P83" s="182">
        <v>7.9216696097681782E-2</v>
      </c>
      <c r="Q83" s="184">
        <v>221.34821704963147</v>
      </c>
      <c r="R83" s="185"/>
      <c r="S83" s="179">
        <v>68.650462994548207</v>
      </c>
      <c r="T83" s="182">
        <v>5.2829767171421987E-2</v>
      </c>
      <c r="U83" s="186">
        <v>218.98166345293231</v>
      </c>
    </row>
    <row r="84" spans="1:22" x14ac:dyDescent="0.25">
      <c r="A84" s="90"/>
      <c r="B84" s="90"/>
      <c r="C84" s="188" t="s">
        <v>15</v>
      </c>
      <c r="D84" s="189">
        <f>SUM(D78:D80)</f>
        <v>39.702376999999998</v>
      </c>
      <c r="E84" s="190">
        <f>SUM(E78:E80)</f>
        <v>292.10970848154938</v>
      </c>
      <c r="F84" s="191"/>
      <c r="G84" s="192">
        <f>SUM(G78:G80)</f>
        <v>39.702377000000006</v>
      </c>
      <c r="H84" s="96">
        <f t="shared" ref="H84:H100" si="32">(G84-$D84)/$D84</f>
        <v>1.7896730358489624E-16</v>
      </c>
      <c r="I84" s="193">
        <f>SUM(I78:I80)</f>
        <v>293.4721594254687</v>
      </c>
      <c r="J84" s="191"/>
      <c r="K84" s="192">
        <f>SUM(K78:K80)</f>
        <v>49.70237750206654</v>
      </c>
      <c r="L84" s="96">
        <f t="shared" ref="L84:L86" si="33">(K84-$D84)/$D84</f>
        <v>0.25187410068839305</v>
      </c>
      <c r="M84" s="193">
        <f>SUM(M78:M80)</f>
        <v>335.14653486459753</v>
      </c>
      <c r="N84" s="90"/>
      <c r="O84" s="192">
        <f>SUM(O78:O80)</f>
        <v>51.613090101004374</v>
      </c>
      <c r="P84" s="96">
        <f t="shared" ref="P84:P86" si="34">(O84-$D84)/$D84</f>
        <v>0.30000000002529764</v>
      </c>
      <c r="Q84" s="193">
        <f>SUM(Q78:Q80)</f>
        <v>342.47034215534842</v>
      </c>
      <c r="R84" s="194"/>
      <c r="S84" s="192">
        <f>SUM(S78:S80)</f>
        <v>55.583327799999999</v>
      </c>
      <c r="T84" s="96">
        <f t="shared" ref="T84:T86" si="35">(S84-$D84)/$D84</f>
        <v>0.4</v>
      </c>
      <c r="U84" s="193">
        <f>SUM(U78:U80)</f>
        <v>356.69727365058134</v>
      </c>
    </row>
    <row r="85" spans="1:22" x14ac:dyDescent="0.25">
      <c r="A85" s="90"/>
      <c r="B85" s="90"/>
      <c r="C85" s="188" t="s">
        <v>16</v>
      </c>
      <c r="D85" s="189">
        <f>SUM(D81:D83)</f>
        <v>68.905663000000004</v>
      </c>
      <c r="E85" s="190">
        <f>SUM(E81:E83)</f>
        <v>216.67362214828199</v>
      </c>
      <c r="F85" s="191"/>
      <c r="G85" s="192">
        <f>SUM(G81:G83)</f>
        <v>68.90566299999999</v>
      </c>
      <c r="H85" s="96">
        <f t="shared" si="32"/>
        <v>-2.0623638314316782E-16</v>
      </c>
      <c r="I85" s="193">
        <f>SUM(I81:I83)</f>
        <v>222.41231809155821</v>
      </c>
      <c r="J85" s="191"/>
      <c r="K85" s="192">
        <f>SUM(K81:K83)</f>
        <v>78.905662564588084</v>
      </c>
      <c r="L85" s="96">
        <f t="shared" si="33"/>
        <v>0.14512594653632574</v>
      </c>
      <c r="M85" s="193">
        <f>SUM(M81:M83)</f>
        <v>240.13748547441259</v>
      </c>
      <c r="N85" s="90"/>
      <c r="O85" s="192">
        <f>SUM(O81:O83)</f>
        <v>76.994949909322685</v>
      </c>
      <c r="P85" s="96">
        <f t="shared" si="34"/>
        <v>0.11739654706352191</v>
      </c>
      <c r="Q85" s="193">
        <f>SUM(Q81:Q83)</f>
        <v>237.67397467926088</v>
      </c>
      <c r="R85" s="194"/>
      <c r="S85" s="192">
        <f>SUM(S81:S83)</f>
        <v>73.02471220000001</v>
      </c>
      <c r="T85" s="96">
        <f t="shared" si="35"/>
        <v>5.9778094000779096E-2</v>
      </c>
      <c r="U85" s="193">
        <f>SUM(U81:U83)</f>
        <v>231.81173497632841</v>
      </c>
    </row>
    <row r="86" spans="1:22" ht="24.75" customHeight="1" x14ac:dyDescent="0.25">
      <c r="A86" s="90"/>
      <c r="B86" s="90"/>
      <c r="C86" s="188" t="s">
        <v>17</v>
      </c>
      <c r="D86" s="195">
        <f>SUM(D84:D85)</f>
        <v>108.60804</v>
      </c>
      <c r="E86" s="190">
        <f>SUM(E84:E85)</f>
        <v>508.78333062983137</v>
      </c>
      <c r="F86" s="191"/>
      <c r="G86" s="196">
        <f>SUM(G84:G85)</f>
        <v>108.60803999999999</v>
      </c>
      <c r="H86" s="197">
        <f t="shared" si="32"/>
        <v>-1.3084532890200398E-16</v>
      </c>
      <c r="I86" s="193">
        <f>SUM(I84:I85)</f>
        <v>515.88447751702688</v>
      </c>
      <c r="J86" s="191"/>
      <c r="K86" s="196">
        <f>SUM(K84:K85)</f>
        <v>128.60804006665461</v>
      </c>
      <c r="L86" s="197">
        <f t="shared" si="33"/>
        <v>0.18414843014066551</v>
      </c>
      <c r="M86" s="193">
        <f>SUM(M84:M85)</f>
        <v>575.28402033901011</v>
      </c>
      <c r="N86" s="90"/>
      <c r="O86" s="196">
        <f>SUM(O84:O85)</f>
        <v>128.60804001032704</v>
      </c>
      <c r="P86" s="197">
        <f t="shared" si="34"/>
        <v>0.1841484296220339</v>
      </c>
      <c r="Q86" s="193">
        <f>SUM(Q84:Q85)</f>
        <v>580.1443168346093</v>
      </c>
      <c r="R86" s="194"/>
      <c r="S86" s="196">
        <f>SUM(S84:S85)</f>
        <v>128.60804000000002</v>
      </c>
      <c r="T86" s="197">
        <f t="shared" si="35"/>
        <v>0.1841484295269486</v>
      </c>
      <c r="U86" s="193">
        <f>SUM(U84:U85)</f>
        <v>588.50900862690969</v>
      </c>
      <c r="V86" s="1"/>
    </row>
    <row r="87" spans="1:22" ht="24.75" customHeight="1" x14ac:dyDescent="0.25">
      <c r="A87" s="90"/>
      <c r="B87" s="90"/>
      <c r="C87" s="188" t="s">
        <v>23</v>
      </c>
      <c r="D87" s="192" t="str">
        <f>_xlfn.CONCAT("ROI"," ", ,ROUND(E86/D86,2))</f>
        <v>ROI 4.68</v>
      </c>
      <c r="E87" s="198"/>
      <c r="F87" s="191"/>
      <c r="G87" s="192" t="str">
        <f>_xlfn.CONCAT("ROI"," ", ,ROUND(I86/G86,2))</f>
        <v>ROI 4.75</v>
      </c>
      <c r="H87" s="197"/>
      <c r="I87" s="198" t="str">
        <f>_xlfn.CONCAT("$",ROUND(I86-$E$86,0)," ","(",ROUND(((I86-$E$86)/$E$86)*100,1),"%",")")</f>
        <v>$7 (1.4%)</v>
      </c>
      <c r="J87" s="191"/>
      <c r="K87" s="192" t="str">
        <f>_xlfn.CONCAT("ROI"," ", ,ROUND(M86/K86,2))</f>
        <v>ROI 4.47</v>
      </c>
      <c r="L87" s="197"/>
      <c r="M87" s="198" t="str">
        <f>_xlfn.CONCAT("$",ROUND(M86-$E$86,0)," ","(",ROUND(((M86-$E$86)/$E$86)*100,1),"%",")")</f>
        <v>$67 (13.1%)</v>
      </c>
      <c r="N87" s="90"/>
      <c r="O87" s="192" t="str">
        <f>_xlfn.CONCAT("ROI"," ", ,ROUND(Q86/O86,2))</f>
        <v>ROI 4.51</v>
      </c>
      <c r="P87" s="197"/>
      <c r="Q87" s="198" t="str">
        <f>_xlfn.CONCAT("$",ROUND(Q86-$E$86,0)," ","(",ROUND(((Q86-$E$86)/$E$86)*100,1),"%",")")</f>
        <v>$71 (14%)</v>
      </c>
      <c r="R87" s="199"/>
      <c r="S87" s="192" t="str">
        <f>_xlfn.CONCAT("ROI"," ", ,ROUND(U86/S86,2))</f>
        <v>ROI 4.58</v>
      </c>
      <c r="T87" s="197"/>
      <c r="U87" s="198" t="str">
        <f>_xlfn.CONCAT("$",ROUND(U86-$E$86,0)," ","(",ROUND(((U86-$E$86)/$E$86)*100,1),"%",")")</f>
        <v>$80 (15.7%)</v>
      </c>
    </row>
    <row r="88" spans="1:22" ht="24.75" customHeight="1" x14ac:dyDescent="0.25">
      <c r="A88" s="90"/>
      <c r="B88" s="90"/>
      <c r="C88" s="188" t="s">
        <v>28</v>
      </c>
      <c r="D88" s="192" t="str">
        <f>_xlfn.CONCAT("ROI"," ", ,ROUND(E84/D84,2))</f>
        <v>ROI 7.36</v>
      </c>
      <c r="E88" s="198"/>
      <c r="F88" s="191"/>
      <c r="G88" s="192" t="str">
        <f>_xlfn.CONCAT("ROI"," ", ,ROUND(I84/G84,2))</f>
        <v>ROI 7.39</v>
      </c>
      <c r="H88" s="197"/>
      <c r="I88" s="198" t="str">
        <f>_xlfn.CONCAT("$",ROUND(I84-$E$84,0)," ","(",ROUND(((I84-$E$84)/$E$84)*100,1),"%",")")</f>
        <v>$1 (0.5%)</v>
      </c>
      <c r="J88" s="191"/>
      <c r="K88" s="192" t="str">
        <f>_xlfn.CONCAT("ROI"," ", ,ROUND(M84/K84,2))</f>
        <v>ROI 6.74</v>
      </c>
      <c r="L88" s="197"/>
      <c r="M88" s="198" t="str">
        <f>_xlfn.CONCAT("$",ROUND(M84-$E$84,0)," ","(",ROUND(((M84-$E$84)/$E$84)*100,1),"%",")")</f>
        <v>$43 (14.7%)</v>
      </c>
      <c r="N88" s="90"/>
      <c r="O88" s="192" t="str">
        <f>_xlfn.CONCAT("ROI"," ", ,ROUND(Q84/O84,2))</f>
        <v>ROI 6.64</v>
      </c>
      <c r="P88" s="197"/>
      <c r="Q88" s="198" t="str">
        <f>_xlfn.CONCAT("$",ROUND(Q84-$E$84,0)," ","(",ROUND(((Q84-$E$84)/$E$84)*100,1),"%",")")</f>
        <v>$50 (17.2%)</v>
      </c>
      <c r="R88" s="199"/>
      <c r="S88" s="192" t="str">
        <f>_xlfn.CONCAT("ROI"," ", ,ROUND(U84/S84,2))</f>
        <v>ROI 6.42</v>
      </c>
      <c r="T88" s="197"/>
      <c r="U88" s="198" t="str">
        <f>_xlfn.CONCAT("$",ROUND(U84-$E$84,0)," ","(",ROUND(((U84-$E$84)/$E$84)*100,1),"%",")")</f>
        <v>$65 (22.1%)</v>
      </c>
    </row>
    <row r="89" spans="1:22" ht="24.75" customHeight="1" x14ac:dyDescent="0.25">
      <c r="A89" s="90"/>
      <c r="B89" s="90"/>
      <c r="C89" s="188" t="s">
        <v>33</v>
      </c>
      <c r="D89" s="192" t="str">
        <f>_xlfn.CONCAT("ROI"," ", ,ROUND(E$85/D$85,2))</f>
        <v>ROI 3.14</v>
      </c>
      <c r="E89" s="198"/>
      <c r="F89" s="191"/>
      <c r="G89" s="192" t="str">
        <f>_xlfn.CONCAT("ROI"," ", ,ROUND(I$85/G$85,2))</f>
        <v>ROI 3.23</v>
      </c>
      <c r="H89" s="197"/>
      <c r="I89" s="198" t="str">
        <f>_xlfn.CONCAT("$",ROUND(I85-$E$85,0)," ","(",ROUND(((I85-$E$85)/$E$85)*100,1),"%",")")</f>
        <v>$6 (2.6%)</v>
      </c>
      <c r="J89" s="191"/>
      <c r="K89" s="192" t="str">
        <f>_xlfn.CONCAT("ROI"," ", ,ROUND(M$85/K$85,2))</f>
        <v>ROI 3.04</v>
      </c>
      <c r="L89" s="197"/>
      <c r="M89" s="198" t="str">
        <f>_xlfn.CONCAT("$",ROUND(M85-$E$85,0)," ","(",ROUND(((M85-$E$85)/$E$85)*100,1),"%",")")</f>
        <v>$23 (10.8%)</v>
      </c>
      <c r="N89" s="90"/>
      <c r="O89" s="192" t="str">
        <f>_xlfn.CONCAT("ROI"," ", ,ROUND(Q$85/O$85,2))</f>
        <v>ROI 3.09</v>
      </c>
      <c r="P89" s="197"/>
      <c r="Q89" s="198" t="str">
        <f>_xlfn.CONCAT("$",ROUND(Q85-$E$85,0)," ","(",ROUND(((Q85-$E$85)/$E$85)*100,1),"%",")")</f>
        <v>$21 (9.7%)</v>
      </c>
      <c r="R89" s="199"/>
      <c r="S89" s="192" t="str">
        <f>_xlfn.CONCAT("ROI"," ", ,ROUND(U$85/S$85,2))</f>
        <v>ROI 3.17</v>
      </c>
      <c r="T89" s="197"/>
      <c r="U89" s="198" t="str">
        <f>_xlfn.CONCAT("$",ROUND(U85-$E$85,0)," ","(",ROUND(((U85-$E$85)/$E$85)*100,1),"%",")")</f>
        <v>$15 (7%)</v>
      </c>
    </row>
    <row r="90" spans="1:22" ht="24.75" customHeight="1" x14ac:dyDescent="0.25">
      <c r="A90" s="90"/>
      <c r="B90" s="90"/>
      <c r="C90" s="188" t="s">
        <v>38</v>
      </c>
      <c r="D90" s="192" t="str">
        <f>_xlfn.CONCAT("ROI"," ", ,ROUND(E$85*1.25/D$85,2))</f>
        <v>ROI 3.93</v>
      </c>
      <c r="E90" s="198"/>
      <c r="F90" s="191"/>
      <c r="G90" s="192" t="str">
        <f>_xlfn.CONCAT("ROI"," ", ,ROUND(I$85*1.25/G$85,2))</f>
        <v>ROI 4.03</v>
      </c>
      <c r="H90" s="197"/>
      <c r="I90" s="198" t="str">
        <f>_xlfn.CONCAT("$",ROUND((I85-$E$85)*1.25,0)," ","(",ROUND(((I85-$E$85)/$E$85)*100,1),"%",")")</f>
        <v>$7 (2.6%)</v>
      </c>
      <c r="J90" s="191"/>
      <c r="K90" s="192" t="str">
        <f>_xlfn.CONCAT("ROI"," ", ,ROUND(M$85*1.25/K$85,2))</f>
        <v>ROI 3.8</v>
      </c>
      <c r="L90" s="197"/>
      <c r="M90" s="198" t="str">
        <f>_xlfn.CONCAT("$",ROUND((M85-$E$85)*1.25,0)," ","(",ROUND(((M85-$E$85)/$E$85)*100,1),"%",")")</f>
        <v>$29 (10.8%)</v>
      </c>
      <c r="N90" s="90"/>
      <c r="O90" s="192" t="str">
        <f>_xlfn.CONCAT("ROI"," ", ,ROUND(Q$85*1.25/O$85,2))</f>
        <v>ROI 3.86</v>
      </c>
      <c r="P90" s="197"/>
      <c r="Q90" s="198" t="str">
        <f>_xlfn.CONCAT("$",ROUND((Q85-$E$85)*1.25,0)," ","(",ROUND(((Q85-$E$85)/$E$85)*100,1),"%",")")</f>
        <v>$26 (9.7%)</v>
      </c>
      <c r="R90" s="199"/>
      <c r="S90" s="192" t="str">
        <f>_xlfn.CONCAT("ROI"," ", ,ROUND(U$85*1.25/S$85,2))</f>
        <v>ROI 3.97</v>
      </c>
      <c r="T90" s="197"/>
      <c r="U90" s="198" t="str">
        <f>_xlfn.CONCAT("$",ROUND((U85-$E$85)*1.25,0)," ","(",ROUND(((U85-$E$85)/$E$85)*100,1),"%",")")</f>
        <v>$19 (7%)</v>
      </c>
    </row>
    <row r="91" spans="1:22" ht="24.75" customHeight="1" x14ac:dyDescent="0.25">
      <c r="A91" s="90"/>
      <c r="B91" s="90"/>
      <c r="C91" s="188" t="s">
        <v>43</v>
      </c>
      <c r="D91" s="192" t="str">
        <f>_xlfn.CONCAT("ROI"," ", ,ROUND(E$85*0.8/D$85,2))</f>
        <v>ROI 2.52</v>
      </c>
      <c r="E91" s="198"/>
      <c r="F91" s="191"/>
      <c r="G91" s="192" t="str">
        <f>_xlfn.CONCAT("ROI"," ", ,ROUND(I$85*0.8/G$85,2))</f>
        <v>ROI 2.58</v>
      </c>
      <c r="H91" s="197"/>
      <c r="I91" s="198" t="str">
        <f>_xlfn.CONCAT("$",ROUND((I85-$E$85)*0.8,0)," ","(",ROUND(((I85-$E$85)/$E$85)*100,1),"%",")")</f>
        <v>$5 (2.6%)</v>
      </c>
      <c r="J91" s="191"/>
      <c r="K91" s="192" t="str">
        <f>_xlfn.CONCAT("ROI"," ", ,ROUND(M$85*0.8/K$85,2))</f>
        <v>ROI 2.43</v>
      </c>
      <c r="L91" s="197"/>
      <c r="M91" s="198" t="str">
        <f>_xlfn.CONCAT("$",ROUND((M85-$E$85)*0.8,0)," ","(",ROUND(((M85-$E$85)/$E$85)*100,1),"%",")")</f>
        <v>$19 (10.8%)</v>
      </c>
      <c r="N91" s="90"/>
      <c r="O91" s="192" t="str">
        <f>_xlfn.CONCAT("ROI"," ", ,ROUND(Q$85*0.8/O$85,2))</f>
        <v>ROI 2.47</v>
      </c>
      <c r="P91" s="197"/>
      <c r="Q91" s="198" t="str">
        <f>_xlfn.CONCAT("$",ROUND((Q85-$E$85)*0.8,0)," ","(",ROUND(((Q85-$E$85)/$E$85)*100,1),"%",")")</f>
        <v>$17 (9.7%)</v>
      </c>
      <c r="R91" s="199"/>
      <c r="S91" s="192" t="str">
        <f>_xlfn.CONCAT("ROI"," ", ,ROUND(U$85*0.8/S$85,2))</f>
        <v>ROI 2.54</v>
      </c>
      <c r="T91" s="197"/>
      <c r="U91" s="198" t="str">
        <f>_xlfn.CONCAT("$",ROUND((U85-$E$85)*0.8,0)," ","(",ROUND(((U85-$E$85)/$E$85)*100,1),"%",")")</f>
        <v>$12 (7%)</v>
      </c>
    </row>
    <row r="92" spans="1:22" ht="15" customHeight="1" x14ac:dyDescent="0.25">
      <c r="A92" s="147" t="s">
        <v>50</v>
      </c>
      <c r="B92" s="148" t="str">
        <f>$B$7</f>
        <v>Gardasil Adolescents</v>
      </c>
      <c r="C92" s="149" t="str">
        <f>$C$36</f>
        <v>HCC Social</v>
      </c>
      <c r="D92" s="150">
        <v>1.84</v>
      </c>
      <c r="E92" s="151">
        <v>15.925915704314221</v>
      </c>
      <c r="F92" s="152"/>
      <c r="G92" s="153">
        <v>1.5994999999999999</v>
      </c>
      <c r="H92" s="154">
        <v>-0.13070652173913053</v>
      </c>
      <c r="I92" s="155">
        <v>14.642130239828273</v>
      </c>
      <c r="J92" s="152"/>
      <c r="K92" s="153">
        <v>2.4817109863617199</v>
      </c>
      <c r="L92" s="154">
        <v>0.34875597084876075</v>
      </c>
      <c r="M92" s="155">
        <v>19.05743472243557</v>
      </c>
      <c r="N92" s="156"/>
      <c r="O92" s="153">
        <v>2.9550475305201802</v>
      </c>
      <c r="P92" s="154">
        <v>0.6060040926740109</v>
      </c>
      <c r="Q92" s="157">
        <v>21.161790046717336</v>
      </c>
      <c r="R92" s="158"/>
      <c r="S92" s="153">
        <v>3.9337194069541601</v>
      </c>
      <c r="T92" s="154">
        <v>1.1378909820403045</v>
      </c>
      <c r="U92" s="159">
        <v>25.124402707645917</v>
      </c>
    </row>
    <row r="93" spans="1:22" x14ac:dyDescent="0.25">
      <c r="A93" s="160"/>
      <c r="B93" s="161" t="str">
        <f>$B$7</f>
        <v>Gardasil Adolescents</v>
      </c>
      <c r="C93" s="162" t="str">
        <f>$C$37</f>
        <v>HCC Online Video</v>
      </c>
      <c r="D93" s="163">
        <v>1.22</v>
      </c>
      <c r="E93" s="164">
        <v>3.3942467935979272</v>
      </c>
      <c r="F93" s="165"/>
      <c r="G93" s="166">
        <v>1</v>
      </c>
      <c r="H93" s="167">
        <v>-0.18032786885245899</v>
      </c>
      <c r="I93" s="168">
        <v>3.3578328692201262</v>
      </c>
      <c r="J93" s="165"/>
      <c r="K93" s="166">
        <v>2.5</v>
      </c>
      <c r="L93" s="169">
        <v>1.0491803278688525</v>
      </c>
      <c r="M93" s="168">
        <v>3.4198090103433865</v>
      </c>
      <c r="N93" s="170"/>
      <c r="O93" s="166">
        <v>2.5</v>
      </c>
      <c r="P93" s="169">
        <v>1.0491803278688525</v>
      </c>
      <c r="Q93" s="171">
        <v>3.4198090103433865</v>
      </c>
      <c r="R93" s="172"/>
      <c r="S93" s="166">
        <v>2.5</v>
      </c>
      <c r="T93" s="169">
        <v>1.0491803278688525</v>
      </c>
      <c r="U93" s="173">
        <v>3.4198090103433865</v>
      </c>
    </row>
    <row r="94" spans="1:22" x14ac:dyDescent="0.25">
      <c r="A94" s="160"/>
      <c r="B94" s="174" t="str">
        <f>$B$7</f>
        <v>Gardasil Adolescents</v>
      </c>
      <c r="C94" s="175" t="s">
        <v>49</v>
      </c>
      <c r="D94" s="176">
        <v>36.642376999999996</v>
      </c>
      <c r="E94" s="177">
        <v>272.78954598363725</v>
      </c>
      <c r="F94" s="178"/>
      <c r="G94" s="179">
        <v>37.102877000000007</v>
      </c>
      <c r="H94" s="180">
        <v>1.2567416136786387E-2</v>
      </c>
      <c r="I94" s="181">
        <v>275.47219631642031</v>
      </c>
      <c r="J94" s="178"/>
      <c r="K94" s="179">
        <v>44.720666515704821</v>
      </c>
      <c r="L94" s="182">
        <v>0.22046303152507887</v>
      </c>
      <c r="M94" s="181">
        <v>310.45155071823081</v>
      </c>
      <c r="N94" s="183"/>
      <c r="O94" s="179">
        <v>46.158042570484199</v>
      </c>
      <c r="P94" s="182">
        <v>0.25969018250328585</v>
      </c>
      <c r="Q94" s="184">
        <v>315.8088317983669</v>
      </c>
      <c r="R94" s="185"/>
      <c r="S94" s="179">
        <v>49.149608393045838</v>
      </c>
      <c r="T94" s="182">
        <v>0.3413324248327515</v>
      </c>
      <c r="U94" s="186">
        <v>326.2839797883766</v>
      </c>
    </row>
    <row r="95" spans="1:22" x14ac:dyDescent="0.25">
      <c r="A95" s="160"/>
      <c r="B95" s="148" t="str">
        <f>$B$16</f>
        <v>Gardasil Adults</v>
      </c>
      <c r="C95" s="149" t="str">
        <f>$C$36</f>
        <v>HCC Social</v>
      </c>
      <c r="D95" s="150">
        <v>2.2000000000000002</v>
      </c>
      <c r="E95" s="151">
        <v>6.171975030653198</v>
      </c>
      <c r="F95" s="152"/>
      <c r="G95" s="153">
        <v>1.8</v>
      </c>
      <c r="H95" s="154">
        <v>-0.18181818181818185</v>
      </c>
      <c r="I95" s="155">
        <v>5.4718483801533537</v>
      </c>
      <c r="J95" s="152"/>
      <c r="K95" s="153">
        <v>3.0841614183054298</v>
      </c>
      <c r="L95" s="154">
        <v>0.40189155377519525</v>
      </c>
      <c r="M95" s="155">
        <v>7.5587992607073442</v>
      </c>
      <c r="N95" s="156"/>
      <c r="O95" s="153">
        <v>2.6545709220185199</v>
      </c>
      <c r="P95" s="154">
        <v>0.20662314637205437</v>
      </c>
      <c r="Q95" s="157">
        <v>6.9082357782768886</v>
      </c>
      <c r="R95" s="158"/>
      <c r="S95" s="153">
        <v>0.78236845260442001</v>
      </c>
      <c r="T95" s="154">
        <v>-0.64437797608890002</v>
      </c>
      <c r="U95" s="159">
        <v>3.3190771693705186</v>
      </c>
    </row>
    <row r="96" spans="1:22" x14ac:dyDescent="0.25">
      <c r="A96" s="160"/>
      <c r="B96" s="161" t="str">
        <f t="shared" ref="B96:B97" si="36">$B$16</f>
        <v>Gardasil Adults</v>
      </c>
      <c r="C96" s="162" t="str">
        <f>$C$37</f>
        <v>HCC Online Video</v>
      </c>
      <c r="D96" s="163">
        <v>1.5</v>
      </c>
      <c r="E96" s="164">
        <v>5.944544957049497</v>
      </c>
      <c r="F96" s="165"/>
      <c r="G96" s="166">
        <v>1.1068179535387797</v>
      </c>
      <c r="H96" s="167">
        <v>-0.26212136430748023</v>
      </c>
      <c r="I96" s="168">
        <v>4.875568571233055</v>
      </c>
      <c r="J96" s="165"/>
      <c r="K96" s="166">
        <v>4.0399127789936902</v>
      </c>
      <c r="L96" s="169">
        <v>1.6932751859957935</v>
      </c>
      <c r="M96" s="168">
        <v>9.0000562344256156</v>
      </c>
      <c r="N96" s="170"/>
      <c r="O96" s="166">
        <v>3.9693387975853098</v>
      </c>
      <c r="P96" s="169">
        <v>1.6462258650568733</v>
      </c>
      <c r="Q96" s="171">
        <v>8.9646904869895412</v>
      </c>
      <c r="R96" s="172"/>
      <c r="S96" s="166">
        <v>3.5918807528473802</v>
      </c>
      <c r="T96" s="169">
        <v>1.39458716856492</v>
      </c>
      <c r="U96" s="173">
        <v>8.746545028688363</v>
      </c>
    </row>
    <row r="97" spans="1:21" x14ac:dyDescent="0.25">
      <c r="A97" s="187"/>
      <c r="B97" s="174" t="str">
        <f t="shared" si="36"/>
        <v>Gardasil Adults</v>
      </c>
      <c r="C97" s="175" t="s">
        <v>49</v>
      </c>
      <c r="D97" s="176">
        <v>65.205663000000001</v>
      </c>
      <c r="E97" s="177">
        <v>204.55710216057929</v>
      </c>
      <c r="F97" s="178"/>
      <c r="G97" s="179">
        <v>65.998845046461213</v>
      </c>
      <c r="H97" s="180">
        <v>1.2164312269337889E-2</v>
      </c>
      <c r="I97" s="181">
        <v>212.0649011401718</v>
      </c>
      <c r="J97" s="178"/>
      <c r="K97" s="179">
        <v>71.781588367288961</v>
      </c>
      <c r="L97" s="182">
        <v>0.10084899170933911</v>
      </c>
      <c r="M97" s="181">
        <v>223.15336215736525</v>
      </c>
      <c r="N97" s="183"/>
      <c r="O97" s="179">
        <v>70.371040189718855</v>
      </c>
      <c r="P97" s="182">
        <v>7.9216696097681782E-2</v>
      </c>
      <c r="Q97" s="184">
        <v>221.34821704963147</v>
      </c>
      <c r="R97" s="185"/>
      <c r="S97" s="179">
        <v>68.650462994548207</v>
      </c>
      <c r="T97" s="182">
        <v>5.2829767171421987E-2</v>
      </c>
      <c r="U97" s="186">
        <v>218.98166345293231</v>
      </c>
    </row>
    <row r="98" spans="1:21" x14ac:dyDescent="0.25">
      <c r="A98" s="90"/>
      <c r="B98" s="90"/>
      <c r="C98" s="188" t="s">
        <v>15</v>
      </c>
      <c r="D98" s="189">
        <f>SUM(D92:D94)</f>
        <v>39.702376999999998</v>
      </c>
      <c r="E98" s="190">
        <f>SUM(E92:E94)</f>
        <v>292.10970848154938</v>
      </c>
      <c r="F98" s="191"/>
      <c r="G98" s="192">
        <f>SUM(G92:G94)</f>
        <v>39.702377000000006</v>
      </c>
      <c r="H98" s="96">
        <f t="shared" si="32"/>
        <v>1.7896730358489624E-16</v>
      </c>
      <c r="I98" s="193">
        <f>SUM(I92:I94)</f>
        <v>293.4721594254687</v>
      </c>
      <c r="J98" s="191"/>
      <c r="K98" s="192">
        <f>SUM(K92:K94)</f>
        <v>49.70237750206654</v>
      </c>
      <c r="L98" s="96">
        <f t="shared" ref="L98:L100" si="37">(K98-$D98)/$D98</f>
        <v>0.25187410068839305</v>
      </c>
      <c r="M98" s="193">
        <f>SUM(M92:M94)</f>
        <v>332.92879445100976</v>
      </c>
      <c r="N98" s="90"/>
      <c r="O98" s="192">
        <f>SUM(O92:O94)</f>
        <v>51.613090101004381</v>
      </c>
      <c r="P98" s="96">
        <f t="shared" ref="P98:P100" si="38">(O98-$D98)/$D98</f>
        <v>0.30000000002529781</v>
      </c>
      <c r="Q98" s="193">
        <f>SUM(Q92:Q94)</f>
        <v>340.39043085542761</v>
      </c>
      <c r="R98" s="194"/>
      <c r="S98" s="192">
        <f>SUM(S92:S94)</f>
        <v>55.583327799999999</v>
      </c>
      <c r="T98" s="96">
        <f t="shared" ref="T98:T100" si="39">(S98-$D98)/$D98</f>
        <v>0.4</v>
      </c>
      <c r="U98" s="193">
        <f>SUM(U92:U94)</f>
        <v>354.8281915063659</v>
      </c>
    </row>
    <row r="99" spans="1:21" x14ac:dyDescent="0.25">
      <c r="A99" s="90"/>
      <c r="B99" s="90"/>
      <c r="C99" s="188" t="s">
        <v>16</v>
      </c>
      <c r="D99" s="189">
        <f>SUM(D95:D97)</f>
        <v>68.905663000000004</v>
      </c>
      <c r="E99" s="190">
        <f>SUM(E95:E97)</f>
        <v>216.67362214828199</v>
      </c>
      <c r="F99" s="191"/>
      <c r="G99" s="192">
        <f>SUM(G95:G97)</f>
        <v>68.90566299999999</v>
      </c>
      <c r="H99" s="96">
        <f t="shared" si="32"/>
        <v>-2.0623638314316782E-16</v>
      </c>
      <c r="I99" s="193">
        <f>SUM(I95:I97)</f>
        <v>222.41231809155821</v>
      </c>
      <c r="J99" s="191"/>
      <c r="K99" s="192">
        <f>SUM(K95:K97)</f>
        <v>78.905662564588084</v>
      </c>
      <c r="L99" s="96">
        <f t="shared" si="37"/>
        <v>0.14512594653632574</v>
      </c>
      <c r="M99" s="193">
        <f>SUM(M95:M97)</f>
        <v>239.71221765249823</v>
      </c>
      <c r="N99" s="90"/>
      <c r="O99" s="192">
        <f>SUM(O95:O97)</f>
        <v>76.994949909322685</v>
      </c>
      <c r="P99" s="96">
        <f t="shared" si="38"/>
        <v>0.11739654706352191</v>
      </c>
      <c r="Q99" s="193">
        <f>SUM(Q95:Q97)</f>
        <v>237.22114331489792</v>
      </c>
      <c r="R99" s="194"/>
      <c r="S99" s="192">
        <f>SUM(S95:S97)</f>
        <v>73.02471220000001</v>
      </c>
      <c r="T99" s="96">
        <f t="shared" si="39"/>
        <v>5.9778094000779096E-2</v>
      </c>
      <c r="U99" s="193">
        <f>SUM(U95:U97)</f>
        <v>231.0472856509912</v>
      </c>
    </row>
    <row r="100" spans="1:21" x14ac:dyDescent="0.25">
      <c r="A100" s="90"/>
      <c r="B100" s="90"/>
      <c r="C100" s="188" t="s">
        <v>17</v>
      </c>
      <c r="D100" s="195">
        <f>SUM(D98:D99)</f>
        <v>108.60804</v>
      </c>
      <c r="E100" s="190">
        <f>SUM(E98:E99)</f>
        <v>508.78333062983137</v>
      </c>
      <c r="F100" s="191"/>
      <c r="G100" s="196">
        <f>SUM(G98:G99)</f>
        <v>108.60803999999999</v>
      </c>
      <c r="H100" s="197">
        <f t="shared" si="32"/>
        <v>-1.3084532890200398E-16</v>
      </c>
      <c r="I100" s="193">
        <f>SUM(I98:I99)</f>
        <v>515.88447751702688</v>
      </c>
      <c r="J100" s="191"/>
      <c r="K100" s="196">
        <f>SUM(K98:K99)</f>
        <v>128.60804006665461</v>
      </c>
      <c r="L100" s="197">
        <f t="shared" si="37"/>
        <v>0.18414843014066551</v>
      </c>
      <c r="M100" s="193">
        <f>SUM(M98:M99)</f>
        <v>572.64101210350805</v>
      </c>
      <c r="N100" s="90"/>
      <c r="O100" s="196">
        <f>SUM(O98:O99)</f>
        <v>128.60804001032707</v>
      </c>
      <c r="P100" s="197">
        <f t="shared" si="38"/>
        <v>0.18414842962203415</v>
      </c>
      <c r="Q100" s="193">
        <f>SUM(Q98:Q99)</f>
        <v>577.61157417032553</v>
      </c>
      <c r="R100" s="194"/>
      <c r="S100" s="196">
        <f>SUM(S98:S99)</f>
        <v>128.60804000000002</v>
      </c>
      <c r="T100" s="197">
        <f t="shared" si="39"/>
        <v>0.1841484295269486</v>
      </c>
      <c r="U100" s="193">
        <f>SUM(U98:U99)</f>
        <v>585.87547715735707</v>
      </c>
    </row>
    <row r="101" spans="1:21" x14ac:dyDescent="0.25">
      <c r="A101" s="90"/>
      <c r="B101" s="90"/>
      <c r="C101" s="188" t="s">
        <v>23</v>
      </c>
      <c r="D101" s="192" t="str">
        <f>_xlfn.CONCAT("ROI"," ", ,ROUND(E100/D100,2))</f>
        <v>ROI 4.68</v>
      </c>
      <c r="E101" s="198"/>
      <c r="F101" s="191"/>
      <c r="G101" s="192" t="str">
        <f>_xlfn.CONCAT("ROI"," ", ,ROUND(I100/G100,2))</f>
        <v>ROI 4.75</v>
      </c>
      <c r="H101" s="197"/>
      <c r="I101" s="198" t="str">
        <f>_xlfn.CONCAT("$",ROUND(I100-$E$86,0)," ","(",ROUND(((I100-$E$86)/$E$86)*100,1),"%",")")</f>
        <v>$7 (1.4%)</v>
      </c>
      <c r="J101" s="191"/>
      <c r="K101" s="192" t="str">
        <f>_xlfn.CONCAT("ROI"," ", ,ROUND(M100/K100,2))</f>
        <v>ROI 4.45</v>
      </c>
      <c r="L101" s="197"/>
      <c r="M101" s="198" t="str">
        <f>_xlfn.CONCAT("$",ROUND(M100-$E$86,0)," ","(",ROUND(((M100-$E$86)/$E$86)*100,1),"%",")")</f>
        <v>$64 (12.6%)</v>
      </c>
      <c r="N101" s="90"/>
      <c r="O101" s="192" t="str">
        <f>_xlfn.CONCAT("ROI"," ", ,ROUND(Q100/O100,2))</f>
        <v>ROI 4.49</v>
      </c>
      <c r="P101" s="197"/>
      <c r="Q101" s="198" t="str">
        <f>_xlfn.CONCAT("$",ROUND(Q100-$E$86,0)," ","(",ROUND(((Q100-$E$86)/$E$86)*100,1),"%",")")</f>
        <v>$69 (13.5%)</v>
      </c>
      <c r="R101" s="199"/>
      <c r="S101" s="192" t="str">
        <f>_xlfn.CONCAT("ROI"," ", ,ROUND(U100/S100,2))</f>
        <v>ROI 4.56</v>
      </c>
      <c r="T101" s="197"/>
      <c r="U101" s="198" t="str">
        <f>_xlfn.CONCAT("$",ROUND(U100-$E$86,0)," ","(",ROUND(((U100-$E$86)/$E$86)*100,1),"%",")")</f>
        <v>$77 (15.2%)</v>
      </c>
    </row>
    <row r="102" spans="1:21" ht="24" x14ac:dyDescent="0.25">
      <c r="A102" s="90"/>
      <c r="B102" s="90"/>
      <c r="C102" s="188" t="s">
        <v>28</v>
      </c>
      <c r="D102" s="192" t="str">
        <f>_xlfn.CONCAT("ROI"," ", ,ROUND(E98/D98,2))</f>
        <v>ROI 7.36</v>
      </c>
      <c r="E102" s="198"/>
      <c r="F102" s="191"/>
      <c r="G102" s="192" t="str">
        <f>_xlfn.CONCAT("ROI"," ", ,ROUND(I98/G98,2))</f>
        <v>ROI 7.39</v>
      </c>
      <c r="H102" s="197"/>
      <c r="I102" s="198" t="str">
        <f>_xlfn.CONCAT("$",ROUND(I98-$E$84,0)," ","(",ROUND(((I98-$E$84)/$E$84)*100,1),"%",")")</f>
        <v>$1 (0.5%)</v>
      </c>
      <c r="J102" s="191"/>
      <c r="K102" s="192" t="str">
        <f>_xlfn.CONCAT("ROI"," ", ,ROUND(M98/K98,2))</f>
        <v>ROI 6.7</v>
      </c>
      <c r="L102" s="197"/>
      <c r="M102" s="198" t="str">
        <f>_xlfn.CONCAT("$",ROUND(M98-$E$84,0)," ","(",ROUND(((M98-$E$84)/$E$84)*100,1),"%",")")</f>
        <v>$41 (14%)</v>
      </c>
      <c r="N102" s="90"/>
      <c r="O102" s="192" t="str">
        <f>_xlfn.CONCAT("ROI"," ", ,ROUND(Q98/O98,2))</f>
        <v>ROI 6.6</v>
      </c>
      <c r="P102" s="197"/>
      <c r="Q102" s="198" t="str">
        <f>_xlfn.CONCAT("$",ROUND(Q98-$E$84,0)," ","(",ROUND(((Q98-$E$84)/$E$84)*100,1),"%",")")</f>
        <v>$48 (16.5%)</v>
      </c>
      <c r="R102" s="199"/>
      <c r="S102" s="192" t="str">
        <f>_xlfn.CONCAT("ROI"," ", ,ROUND(U98/S98,2))</f>
        <v>ROI 6.38</v>
      </c>
      <c r="T102" s="197"/>
      <c r="U102" s="198" t="str">
        <f>_xlfn.CONCAT("$",ROUND(U98-$E$84,0)," ","(",ROUND(((U98-$E$84)/$E$84)*100,1),"%",")")</f>
        <v>$63 (21.5%)</v>
      </c>
    </row>
    <row r="103" spans="1:21" ht="24" x14ac:dyDescent="0.25">
      <c r="A103" s="90"/>
      <c r="B103" s="90"/>
      <c r="C103" s="188" t="s">
        <v>33</v>
      </c>
      <c r="D103" s="192" t="str">
        <f>_xlfn.CONCAT("ROI"," ", ,ROUND(E$85/D$85,2))</f>
        <v>ROI 3.14</v>
      </c>
      <c r="E103" s="198"/>
      <c r="F103" s="191"/>
      <c r="G103" s="192" t="str">
        <f>_xlfn.CONCAT("ROI"," ", ,ROUND(I$85/G$85,2))</f>
        <v>ROI 3.23</v>
      </c>
      <c r="H103" s="197"/>
      <c r="I103" s="198" t="str">
        <f>_xlfn.CONCAT("$",ROUND(I99-$E$85,0)," ","(",ROUND(((I99-$E$85)/$E$85)*100,1),"%",")")</f>
        <v>$6 (2.6%)</v>
      </c>
      <c r="J103" s="191"/>
      <c r="K103" s="192" t="str">
        <f>_xlfn.CONCAT("ROI"," ", ,ROUND(M$85/K$85,2))</f>
        <v>ROI 3.04</v>
      </c>
      <c r="L103" s="197"/>
      <c r="M103" s="198" t="str">
        <f>_xlfn.CONCAT("$",ROUND(M99-$E$85,0)," ","(",ROUND(((M99-$E$85)/$E$85)*100,1),"%",")")</f>
        <v>$23 (10.6%)</v>
      </c>
      <c r="N103" s="90"/>
      <c r="O103" s="192" t="str">
        <f>_xlfn.CONCAT("ROI"," ", ,ROUND(Q$85/O$85,2))</f>
        <v>ROI 3.09</v>
      </c>
      <c r="P103" s="197"/>
      <c r="Q103" s="198" t="str">
        <f>_xlfn.CONCAT("$",ROUND(Q99-$E$85,0)," ","(",ROUND(((Q99-$E$85)/$E$85)*100,1),"%",")")</f>
        <v>$21 (9.5%)</v>
      </c>
      <c r="R103" s="199"/>
      <c r="S103" s="192" t="str">
        <f>_xlfn.CONCAT("ROI"," ", ,ROUND(U$85/S$85,2))</f>
        <v>ROI 3.17</v>
      </c>
      <c r="T103" s="197"/>
      <c r="U103" s="198" t="str">
        <f>_xlfn.CONCAT("$",ROUND(U99-$E$85,0)," ","(",ROUND(((U99-$E$85)/$E$85)*100,1),"%",")")</f>
        <v>$14 (6.6%)</v>
      </c>
    </row>
    <row r="104" spans="1:21" ht="24" x14ac:dyDescent="0.25">
      <c r="A104" s="90"/>
      <c r="B104" s="90"/>
      <c r="C104" s="188" t="s">
        <v>38</v>
      </c>
      <c r="D104" s="192" t="str">
        <f>_xlfn.CONCAT("ROI"," ", ,ROUND(E$85*1.25/D$85,2))</f>
        <v>ROI 3.93</v>
      </c>
      <c r="E104" s="198"/>
      <c r="F104" s="191"/>
      <c r="G104" s="192" t="str">
        <f>_xlfn.CONCAT("ROI"," ", ,ROUND(I$85*1.25/G$85,2))</f>
        <v>ROI 4.03</v>
      </c>
      <c r="H104" s="197"/>
      <c r="I104" s="198" t="str">
        <f>_xlfn.CONCAT("$",ROUND((I99-$E$85)*1.25,0)," ","(",ROUND(((I99-$E$85)/$E$85)*100,1),"%",")")</f>
        <v>$7 (2.6%)</v>
      </c>
      <c r="J104" s="191"/>
      <c r="K104" s="192" t="str">
        <f>_xlfn.CONCAT("ROI"," ", ,ROUND(M$85*1.25/K$85,2))</f>
        <v>ROI 3.8</v>
      </c>
      <c r="L104" s="197"/>
      <c r="M104" s="198" t="str">
        <f>_xlfn.CONCAT("$",ROUND((M99-$E$85)*1.25,0)," ","(",ROUND(((M99-$E$85)/$E$85)*100,1),"%",")")</f>
        <v>$29 (10.6%)</v>
      </c>
      <c r="N104" s="90"/>
      <c r="O104" s="192" t="str">
        <f>_xlfn.CONCAT("ROI"," ", ,ROUND(Q$85*1.25/O$85,2))</f>
        <v>ROI 3.86</v>
      </c>
      <c r="P104" s="197"/>
      <c r="Q104" s="198" t="str">
        <f>_xlfn.CONCAT("$",ROUND((Q99-$E$85)*1.25,0)," ","(",ROUND(((Q99-$E$85)/$E$85)*100,1),"%",")")</f>
        <v>$26 (9.5%)</v>
      </c>
      <c r="R104" s="199"/>
      <c r="S104" s="192" t="str">
        <f>_xlfn.CONCAT("ROI"," ", ,ROUND(U$85*1.25/S$85,2))</f>
        <v>ROI 3.97</v>
      </c>
      <c r="T104" s="197"/>
      <c r="U104" s="198" t="str">
        <f>_xlfn.CONCAT("$",ROUND((U99-$E$85)*1.25,0)," ","(",ROUND(((U99-$E$85)/$E$85)*100,1),"%",")")</f>
        <v>$18 (6.6%)</v>
      </c>
    </row>
    <row r="105" spans="1:21" ht="24" x14ac:dyDescent="0.25">
      <c r="A105" s="90"/>
      <c r="B105" s="90"/>
      <c r="C105" s="188" t="s">
        <v>43</v>
      </c>
      <c r="D105" s="192" t="str">
        <f>_xlfn.CONCAT("ROI"," ", ,ROUND(E$85*0.8/D$85,2))</f>
        <v>ROI 2.52</v>
      </c>
      <c r="E105" s="198"/>
      <c r="F105" s="191"/>
      <c r="G105" s="192" t="str">
        <f>_xlfn.CONCAT("ROI"," ", ,ROUND(I$85*0.8/G$85,2))</f>
        <v>ROI 2.58</v>
      </c>
      <c r="H105" s="197"/>
      <c r="I105" s="198" t="str">
        <f>_xlfn.CONCAT("$",ROUND((I99-$E$85)*0.8,0)," ","(",ROUND(((I99-$E$85)/$E$85)*100,1),"%",")")</f>
        <v>$5 (2.6%)</v>
      </c>
      <c r="J105" s="191"/>
      <c r="K105" s="192" t="str">
        <f>_xlfn.CONCAT("ROI"," ", ,ROUND(M$85*0.8/K$85,2))</f>
        <v>ROI 2.43</v>
      </c>
      <c r="L105" s="197"/>
      <c r="M105" s="198" t="str">
        <f>_xlfn.CONCAT("$",ROUND((M99-$E$85)*0.8,0)," ","(",ROUND(((M99-$E$85)/$E$85)*100,1),"%",")")</f>
        <v>$18 (10.6%)</v>
      </c>
      <c r="N105" s="90"/>
      <c r="O105" s="192" t="str">
        <f>_xlfn.CONCAT("ROI"," ", ,ROUND(Q$85*0.8/O$85,2))</f>
        <v>ROI 2.47</v>
      </c>
      <c r="P105" s="197"/>
      <c r="Q105" s="198" t="str">
        <f>_xlfn.CONCAT("$",ROUND((Q99-$E$85)*0.8,0)," ","(",ROUND(((Q99-$E$85)/$E$85)*100,1),"%",")")</f>
        <v>$16 (9.5%)</v>
      </c>
      <c r="R105" s="199"/>
      <c r="S105" s="192" t="str">
        <f>_xlfn.CONCAT("ROI"," ", ,ROUND(U$85*0.8/S$85,2))</f>
        <v>ROI 2.54</v>
      </c>
      <c r="T105" s="197"/>
      <c r="U105" s="198" t="str">
        <f>_xlfn.CONCAT("$",ROUND((U99-$E$85)*0.8,0)," ","(",ROUND(((U99-$E$85)/$E$85)*100,1),"%",")")</f>
        <v>$11 (6.6%)</v>
      </c>
    </row>
    <row r="106" spans="1:21" x14ac:dyDescent="0.25">
      <c r="A106" s="147" t="s">
        <v>51</v>
      </c>
      <c r="B106" s="148" t="str">
        <f>$B$7</f>
        <v>Gardasil Adolescents</v>
      </c>
      <c r="C106" s="149" t="str">
        <f>$C$36</f>
        <v>HCC Social</v>
      </c>
      <c r="D106" s="150">
        <f>D$36</f>
        <v>1.84</v>
      </c>
      <c r="E106" s="151">
        <f>E$36</f>
        <v>15.925915704314221</v>
      </c>
      <c r="F106" s="152"/>
      <c r="G106" s="153">
        <f>G$36</f>
        <v>1.5994999999999999</v>
      </c>
      <c r="H106" s="154">
        <f>(G106-$D106)/$D106</f>
        <v>-0.13070652173913053</v>
      </c>
      <c r="I106" s="155">
        <f>I$36</f>
        <v>14.642130239828273</v>
      </c>
      <c r="J106" s="152"/>
      <c r="K106" s="153">
        <f>K$36</f>
        <v>1.9817109863617202</v>
      </c>
      <c r="L106" s="154">
        <f>(K106-$D106)/$D106</f>
        <v>7.7016840413978299E-2</v>
      </c>
      <c r="M106" s="155">
        <f>M$36</f>
        <v>16.650907534845885</v>
      </c>
      <c r="N106" s="156"/>
      <c r="O106" s="153">
        <f>O$36</f>
        <v>2.4550475305201802</v>
      </c>
      <c r="P106" s="154">
        <f>(O106-$D106)/$D106</f>
        <v>0.3342649622392283</v>
      </c>
      <c r="Q106" s="157">
        <f>Q$36</f>
        <v>18.93431777648658</v>
      </c>
      <c r="R106" s="158"/>
      <c r="S106" s="153">
        <f>S$36</f>
        <v>3.4337194069541601</v>
      </c>
      <c r="T106" s="154">
        <f>(S106-$D106)/$D106</f>
        <v>0.86615185160552177</v>
      </c>
      <c r="U106" s="159">
        <f>U$36</f>
        <v>23.156483062249613</v>
      </c>
    </row>
    <row r="107" spans="1:21" x14ac:dyDescent="0.25">
      <c r="A107" s="160"/>
      <c r="B107" s="161" t="str">
        <f>$B$7</f>
        <v>Gardasil Adolescents</v>
      </c>
      <c r="C107" s="162" t="str">
        <f>$C$37</f>
        <v>HCC Online Video</v>
      </c>
      <c r="D107" s="163">
        <f>D$37</f>
        <v>1.22</v>
      </c>
      <c r="E107" s="164">
        <f>E$37</f>
        <v>3.3942467935979272</v>
      </c>
      <c r="F107" s="165"/>
      <c r="G107" s="166">
        <f>G$37</f>
        <v>1</v>
      </c>
      <c r="H107" s="167">
        <f t="shared" ref="H107:H108" si="40">(G107-$D107)/$D107</f>
        <v>-0.18032786885245899</v>
      </c>
      <c r="I107" s="168">
        <f>I$37</f>
        <v>3.3578328692201262</v>
      </c>
      <c r="J107" s="165"/>
      <c r="K107" s="166">
        <f>K$37</f>
        <v>3</v>
      </c>
      <c r="L107" s="169">
        <f t="shared" ref="L107:L108" si="41">(K107-$D107)/$D107</f>
        <v>1.459016393442623</v>
      </c>
      <c r="M107" s="168">
        <f>M$37</f>
        <v>3.4199403096573997</v>
      </c>
      <c r="N107" s="170"/>
      <c r="O107" s="166">
        <f>O$37</f>
        <v>3</v>
      </c>
      <c r="P107" s="169">
        <f t="shared" ref="P107:P108" si="42">(O107-$D107)/$D107</f>
        <v>1.459016393442623</v>
      </c>
      <c r="Q107" s="171">
        <f>Q$37</f>
        <v>3.4199403096573997</v>
      </c>
      <c r="R107" s="172"/>
      <c r="S107" s="166">
        <f>S$37</f>
        <v>3</v>
      </c>
      <c r="T107" s="169">
        <f t="shared" ref="T107:T108" si="43">(S107-$D107)/$D107</f>
        <v>1.459016393442623</v>
      </c>
      <c r="U107" s="173">
        <f>U$37</f>
        <v>3.4199403096573997</v>
      </c>
    </row>
    <row r="108" spans="1:21" x14ac:dyDescent="0.25">
      <c r="A108" s="160"/>
      <c r="B108" s="174" t="str">
        <f>$B$7</f>
        <v>Gardasil Adolescents</v>
      </c>
      <c r="C108" s="175" t="s">
        <v>49</v>
      </c>
      <c r="D108" s="176">
        <f>SUM(D$34:D$35,D$38:D$42)</f>
        <v>36.642376999999996</v>
      </c>
      <c r="E108" s="177">
        <f>SUM(E$34:E$35,E$38:E$42)</f>
        <v>272.78954598363725</v>
      </c>
      <c r="F108" s="178"/>
      <c r="G108" s="179">
        <f>SUM(G$34:G$35,G$38:G$42)</f>
        <v>37.102877000000007</v>
      </c>
      <c r="H108" s="180">
        <f t="shared" si="40"/>
        <v>1.2567416136786387E-2</v>
      </c>
      <c r="I108" s="181">
        <f>SUM(I$34:I$35,I$38:I$42)</f>
        <v>275.47219631642031</v>
      </c>
      <c r="J108" s="178"/>
      <c r="K108" s="179">
        <f>SUM(K$34:K$35,K$38:K$42)</f>
        <v>44.720666515704821</v>
      </c>
      <c r="L108" s="182">
        <f t="shared" si="41"/>
        <v>0.22046303152507887</v>
      </c>
      <c r="M108" s="181">
        <f>SUM(M$34:M$35,M$38:M$42)</f>
        <v>310.45155071823081</v>
      </c>
      <c r="N108" s="183"/>
      <c r="O108" s="179">
        <f>SUM(O$34:O$35,O$38:O$42)</f>
        <v>46.158042570484199</v>
      </c>
      <c r="P108" s="182">
        <f t="shared" si="42"/>
        <v>0.25969018250328585</v>
      </c>
      <c r="Q108" s="184">
        <f>SUM(Q$34:Q$35,Q$38:Q$42)</f>
        <v>315.8088317983669</v>
      </c>
      <c r="R108" s="185"/>
      <c r="S108" s="179">
        <f>SUM(S$34:S$35,S$38:S$42)</f>
        <v>49.149608393045838</v>
      </c>
      <c r="T108" s="182">
        <f t="shared" si="43"/>
        <v>0.3413324248327515</v>
      </c>
      <c r="U108" s="186">
        <f>SUM(U$34:U$35,U$38:U$42)</f>
        <v>326.2839797883766</v>
      </c>
    </row>
    <row r="109" spans="1:21" x14ac:dyDescent="0.25">
      <c r="A109" s="160"/>
      <c r="B109" s="148" t="str">
        <f>$B$16</f>
        <v>Gardasil Adults</v>
      </c>
      <c r="C109" s="149" t="str">
        <f>$C$36</f>
        <v>HCC Social</v>
      </c>
      <c r="D109" s="150">
        <f>D$45</f>
        <v>2.2000000000000002</v>
      </c>
      <c r="E109" s="151">
        <f>E$45</f>
        <v>6.171975030653198</v>
      </c>
      <c r="F109" s="152"/>
      <c r="G109" s="153">
        <f>G$45</f>
        <v>1.8</v>
      </c>
      <c r="H109" s="154">
        <f>(G109-$D109)/$D109</f>
        <v>-0.18181818181818185</v>
      </c>
      <c r="I109" s="155">
        <f>I$45</f>
        <v>5.4718483801533537</v>
      </c>
      <c r="J109" s="152"/>
      <c r="K109" s="153">
        <f>K$45</f>
        <v>2.5841614183054298</v>
      </c>
      <c r="L109" s="154">
        <f>(K109-$D109)/$D109</f>
        <v>0.17461882650246799</v>
      </c>
      <c r="M109" s="155">
        <f>M$45</f>
        <v>6.7977053323120309</v>
      </c>
      <c r="N109" s="156"/>
      <c r="O109" s="153">
        <f>O$45</f>
        <v>2.1545709220185199</v>
      </c>
      <c r="P109" s="154">
        <f>(O109-$D109)/$D109</f>
        <v>-2.0649580900672874E-2</v>
      </c>
      <c r="Q109" s="157">
        <f>Q$45</f>
        <v>6.0951869190110051</v>
      </c>
      <c r="R109" s="158"/>
      <c r="S109" s="153">
        <f>S$45</f>
        <v>0.28236845260442001</v>
      </c>
      <c r="T109" s="154">
        <f>(S109-$D109)/$D109</f>
        <v>-0.8716507033616272</v>
      </c>
      <c r="U109" s="159">
        <f>U$45</f>
        <v>1.8007783315955945</v>
      </c>
    </row>
    <row r="110" spans="1:21" x14ac:dyDescent="0.25">
      <c r="A110" s="160"/>
      <c r="B110" s="161" t="str">
        <f t="shared" ref="B110:B111" si="44">$B$16</f>
        <v>Gardasil Adults</v>
      </c>
      <c r="C110" s="162" t="str">
        <f>$C$37</f>
        <v>HCC Online Video</v>
      </c>
      <c r="D110" s="163">
        <f>D$46</f>
        <v>1.5</v>
      </c>
      <c r="E110" s="164">
        <f>E$46</f>
        <v>5.944544957049497</v>
      </c>
      <c r="F110" s="165"/>
      <c r="G110" s="166">
        <f>G$46</f>
        <v>1.1068179535387797</v>
      </c>
      <c r="H110" s="167">
        <f t="shared" ref="H110:H114" si="45">(G110-$D110)/$D110</f>
        <v>-0.26212136430748023</v>
      </c>
      <c r="I110" s="168">
        <f>I$46</f>
        <v>4.875568571233055</v>
      </c>
      <c r="J110" s="165"/>
      <c r="K110" s="166">
        <f>K$46</f>
        <v>4.5399127789936902</v>
      </c>
      <c r="L110" s="169">
        <f t="shared" ref="L110:L114" si="46">(K110-$D110)/$D110</f>
        <v>2.0266085193291268</v>
      </c>
      <c r="M110" s="168">
        <f>M$46</f>
        <v>9.2104287253492743</v>
      </c>
      <c r="N110" s="170"/>
      <c r="O110" s="166">
        <f>O$46</f>
        <v>4.4693387975853103</v>
      </c>
      <c r="P110" s="169">
        <f t="shared" ref="P110:P114" si="47">(O110-$D110)/$D110</f>
        <v>1.9795591983902068</v>
      </c>
      <c r="Q110" s="171">
        <f>Q$46</f>
        <v>9.1845783889322909</v>
      </c>
      <c r="R110" s="172"/>
      <c r="S110" s="166">
        <f>S$46</f>
        <v>4.0918807528473797</v>
      </c>
      <c r="T110" s="169">
        <f t="shared" ref="T110:T114" si="48">(S110-$D110)/$D110</f>
        <v>1.7279205018982531</v>
      </c>
      <c r="U110" s="173">
        <f>U$46</f>
        <v>9.0251162264585911</v>
      </c>
    </row>
    <row r="111" spans="1:21" x14ac:dyDescent="0.25">
      <c r="A111" s="187"/>
      <c r="B111" s="174" t="str">
        <f t="shared" si="44"/>
        <v>Gardasil Adults</v>
      </c>
      <c r="C111" s="175" t="s">
        <v>49</v>
      </c>
      <c r="D111" s="176">
        <f>SUM(D$43:D$44,D$47:D$52)</f>
        <v>65.205663000000001</v>
      </c>
      <c r="E111" s="177">
        <f>SUM(E$43:E$44,E$47:E$52)</f>
        <v>204.55710216057929</v>
      </c>
      <c r="F111" s="178"/>
      <c r="G111" s="179">
        <f>SUM(G$43:G$44,G$47:G$52)</f>
        <v>65.998845046461213</v>
      </c>
      <c r="H111" s="180">
        <f t="shared" si="45"/>
        <v>1.2164312269337889E-2</v>
      </c>
      <c r="I111" s="181">
        <f>SUM(I$43:I$44,I$47:I$52)</f>
        <v>212.0649011401718</v>
      </c>
      <c r="J111" s="178"/>
      <c r="K111" s="179">
        <f>SUM(K$43:K$44,K$47:K$52)</f>
        <v>71.781588367288961</v>
      </c>
      <c r="L111" s="182">
        <f t="shared" si="46"/>
        <v>0.10084899170933911</v>
      </c>
      <c r="M111" s="181">
        <f>SUM(M$43:M$44,M$47:M$52)</f>
        <v>223.15336215736525</v>
      </c>
      <c r="N111" s="183"/>
      <c r="O111" s="179">
        <f>SUM(O$43:O$44,O$47:O$52)</f>
        <v>70.371040189718855</v>
      </c>
      <c r="P111" s="182">
        <f t="shared" si="47"/>
        <v>7.9216696097681782E-2</v>
      </c>
      <c r="Q111" s="184">
        <f>SUM(Q$43:Q$44,Q$47:Q$52)</f>
        <v>221.34821704963147</v>
      </c>
      <c r="R111" s="185"/>
      <c r="S111" s="179">
        <f>SUM(S$43:S$44,S$47:S$52)</f>
        <v>68.650462994548207</v>
      </c>
      <c r="T111" s="182">
        <f t="shared" si="48"/>
        <v>5.2829767171421987E-2</v>
      </c>
      <c r="U111" s="186">
        <f>SUM(U$43:U$44,U$47:U$52)</f>
        <v>218.98166345293231</v>
      </c>
    </row>
    <row r="112" spans="1:21" x14ac:dyDescent="0.25">
      <c r="A112" s="90"/>
      <c r="B112" s="90"/>
      <c r="C112" s="188" t="s">
        <v>15</v>
      </c>
      <c r="D112" s="189">
        <f>SUM(D106:D108)</f>
        <v>39.702376999999998</v>
      </c>
      <c r="E112" s="190">
        <f>SUM(E106:E108)</f>
        <v>292.10970848154938</v>
      </c>
      <c r="F112" s="191"/>
      <c r="G112" s="192">
        <f>SUM(G106:G108)</f>
        <v>39.702377000000006</v>
      </c>
      <c r="H112" s="96">
        <f t="shared" si="45"/>
        <v>1.7896730358489624E-16</v>
      </c>
      <c r="I112" s="193">
        <f>SUM(I106:I108)</f>
        <v>293.4721594254687</v>
      </c>
      <c r="J112" s="191"/>
      <c r="K112" s="192">
        <f>SUM(K106:K108)</f>
        <v>49.70237750206654</v>
      </c>
      <c r="L112" s="96">
        <f t="shared" si="46"/>
        <v>0.25187410068839305</v>
      </c>
      <c r="M112" s="193">
        <f>SUM(M106:M108)</f>
        <v>330.52239856273411</v>
      </c>
      <c r="N112" s="90"/>
      <c r="O112" s="192">
        <f>SUM(O106:O108)</f>
        <v>51.613090101004381</v>
      </c>
      <c r="P112" s="96">
        <f t="shared" si="47"/>
        <v>0.30000000002529781</v>
      </c>
      <c r="Q112" s="193">
        <f>SUM(Q106:Q108)</f>
        <v>338.1630898845109</v>
      </c>
      <c r="R112" s="194"/>
      <c r="S112" s="192">
        <f>SUM(S106:S108)</f>
        <v>55.583327799999999</v>
      </c>
      <c r="T112" s="96">
        <f t="shared" si="48"/>
        <v>0.4</v>
      </c>
      <c r="U112" s="193">
        <f>SUM(U106:U108)</f>
        <v>352.86040316028362</v>
      </c>
    </row>
    <row r="113" spans="1:21" x14ac:dyDescent="0.25">
      <c r="A113" s="90"/>
      <c r="B113" s="90"/>
      <c r="C113" s="188" t="s">
        <v>16</v>
      </c>
      <c r="D113" s="189">
        <f>SUM(D109:D111)</f>
        <v>68.905663000000004</v>
      </c>
      <c r="E113" s="190">
        <f>SUM(E109:E111)</f>
        <v>216.67362214828199</v>
      </c>
      <c r="F113" s="191"/>
      <c r="G113" s="192">
        <f>SUM(G109:G111)</f>
        <v>68.90566299999999</v>
      </c>
      <c r="H113" s="96">
        <f t="shared" si="45"/>
        <v>-2.0623638314316782E-16</v>
      </c>
      <c r="I113" s="193">
        <f>SUM(I109:I111)</f>
        <v>222.41231809155821</v>
      </c>
      <c r="J113" s="191"/>
      <c r="K113" s="192">
        <f>SUM(K109:K111)</f>
        <v>78.905662564588084</v>
      </c>
      <c r="L113" s="96">
        <f t="shared" si="46"/>
        <v>0.14512594653632574</v>
      </c>
      <c r="M113" s="193">
        <f>SUM(M109:M111)</f>
        <v>239.16149621502655</v>
      </c>
      <c r="N113" s="90"/>
      <c r="O113" s="192">
        <f>SUM(O109:O111)</f>
        <v>76.994949909322685</v>
      </c>
      <c r="P113" s="96">
        <f t="shared" si="47"/>
        <v>0.11739654706352191</v>
      </c>
      <c r="Q113" s="193">
        <f>SUM(Q109:Q111)</f>
        <v>236.62798235757478</v>
      </c>
      <c r="R113" s="194"/>
      <c r="S113" s="192">
        <f>SUM(S109:S111)</f>
        <v>73.02471220000001</v>
      </c>
      <c r="T113" s="96">
        <f t="shared" si="48"/>
        <v>5.9778094000779096E-2</v>
      </c>
      <c r="U113" s="193">
        <f>SUM(U109:U111)</f>
        <v>229.8075580109865</v>
      </c>
    </row>
    <row r="114" spans="1:21" x14ac:dyDescent="0.25">
      <c r="A114" s="90"/>
      <c r="B114" s="90"/>
      <c r="C114" s="188" t="s">
        <v>17</v>
      </c>
      <c r="D114" s="195">
        <f>SUM(D112:D113)</f>
        <v>108.60804</v>
      </c>
      <c r="E114" s="190">
        <f>SUM(E112:E113)</f>
        <v>508.78333062983137</v>
      </c>
      <c r="F114" s="191"/>
      <c r="G114" s="196">
        <f>SUM(G112:G113)</f>
        <v>108.60803999999999</v>
      </c>
      <c r="H114" s="197">
        <f t="shared" si="45"/>
        <v>-1.3084532890200398E-16</v>
      </c>
      <c r="I114" s="193">
        <f>SUM(I112:I113)</f>
        <v>515.88447751702688</v>
      </c>
      <c r="J114" s="191"/>
      <c r="K114" s="196">
        <f>SUM(K112:K113)</f>
        <v>128.60804006665461</v>
      </c>
      <c r="L114" s="197">
        <f t="shared" si="46"/>
        <v>0.18414843014066551</v>
      </c>
      <c r="M114" s="193">
        <f>SUM(M112:M113)</f>
        <v>569.68389477776066</v>
      </c>
      <c r="N114" s="90"/>
      <c r="O114" s="196">
        <f>SUM(O112:O113)</f>
        <v>128.60804001032707</v>
      </c>
      <c r="P114" s="197">
        <f t="shared" si="47"/>
        <v>0.18414842962203415</v>
      </c>
      <c r="Q114" s="193">
        <f>SUM(Q112:Q113)</f>
        <v>574.79107224208565</v>
      </c>
      <c r="R114" s="194"/>
      <c r="S114" s="196">
        <f>SUM(S112:S113)</f>
        <v>128.60804000000002</v>
      </c>
      <c r="T114" s="197">
        <f t="shared" si="48"/>
        <v>0.1841484295269486</v>
      </c>
      <c r="U114" s="193">
        <f>SUM(U112:U113)</f>
        <v>582.66796117127012</v>
      </c>
    </row>
    <row r="115" spans="1:21" x14ac:dyDescent="0.25">
      <c r="A115" s="90"/>
      <c r="B115" s="90"/>
      <c r="C115" s="188" t="s">
        <v>23</v>
      </c>
      <c r="D115" s="192" t="str">
        <f>_xlfn.CONCAT("ROI"," ", ,ROUND(E114/D114,2))</f>
        <v>ROI 4.68</v>
      </c>
      <c r="E115" s="198"/>
      <c r="F115" s="191"/>
      <c r="G115" s="192" t="str">
        <f>_xlfn.CONCAT("ROI"," ", ,ROUND(I114/G114,2))</f>
        <v>ROI 4.75</v>
      </c>
      <c r="H115" s="197"/>
      <c r="I115" s="198" t="str">
        <f>_xlfn.CONCAT("$",ROUND(I114-$E$86,0)," ","(",ROUND(((I114-$E$86)/$E$86)*100,1),"%",")")</f>
        <v>$7 (1.4%)</v>
      </c>
      <c r="J115" s="191"/>
      <c r="K115" s="192" t="str">
        <f>_xlfn.CONCAT("ROI"," ", ,ROUND(M114/K114,2))</f>
        <v>ROI 4.43</v>
      </c>
      <c r="L115" s="197"/>
      <c r="M115" s="198" t="str">
        <f>_xlfn.CONCAT("$",ROUND(M114-$E$86,0)," ","(",ROUND(((M114-$E$86)/$E$86)*100,1),"%",")")</f>
        <v>$61 (12%)</v>
      </c>
      <c r="N115" s="90"/>
      <c r="O115" s="192" t="str">
        <f>_xlfn.CONCAT("ROI"," ", ,ROUND(Q114/O114,2))</f>
        <v>ROI 4.47</v>
      </c>
      <c r="P115" s="197"/>
      <c r="Q115" s="198" t="str">
        <f>_xlfn.CONCAT("$",ROUND(Q114-$E$86,0)," ","(",ROUND(((Q114-$E$86)/$E$86)*100,1),"%",")")</f>
        <v>$66 (13%)</v>
      </c>
      <c r="R115" s="199"/>
      <c r="S115" s="192" t="str">
        <f>_xlfn.CONCAT("ROI"," ", ,ROUND(U114/S114,2))</f>
        <v>ROI 4.53</v>
      </c>
      <c r="T115" s="197"/>
      <c r="U115" s="198" t="str">
        <f>_xlfn.CONCAT("$",ROUND(U114-$E$86,0)," ","(",ROUND(((U114-$E$86)/$E$86)*100,1),"%",")")</f>
        <v>$74 (14.5%)</v>
      </c>
    </row>
    <row r="116" spans="1:21" ht="24" x14ac:dyDescent="0.25">
      <c r="A116" s="90"/>
      <c r="B116" s="90"/>
      <c r="C116" s="188" t="s">
        <v>28</v>
      </c>
      <c r="D116" s="192" t="str">
        <f>_xlfn.CONCAT("ROI"," ", ,ROUND(E112/D112,2))</f>
        <v>ROI 7.36</v>
      </c>
      <c r="E116" s="198"/>
      <c r="F116" s="191"/>
      <c r="G116" s="192" t="str">
        <f>_xlfn.CONCAT("ROI"," ", ,ROUND(I112/G112,2))</f>
        <v>ROI 7.39</v>
      </c>
      <c r="H116" s="197"/>
      <c r="I116" s="198" t="str">
        <f>_xlfn.CONCAT("$",ROUND(I112-$E$84,0)," ","(",ROUND(((I112-$E$84)/$E$84)*100,1),"%",")")</f>
        <v>$1 (0.5%)</v>
      </c>
      <c r="J116" s="191"/>
      <c r="K116" s="192" t="str">
        <f>_xlfn.CONCAT("ROI"," ", ,ROUND(M112/K112,2))</f>
        <v>ROI 6.65</v>
      </c>
      <c r="L116" s="197"/>
      <c r="M116" s="198" t="str">
        <f>_xlfn.CONCAT("$",ROUND(M112-$E$84,0)," ","(",ROUND(((M112-$E$84)/$E$84)*100,1),"%",")")</f>
        <v>$38 (13.2%)</v>
      </c>
      <c r="N116" s="90"/>
      <c r="O116" s="192" t="str">
        <f>_xlfn.CONCAT("ROI"," ", ,ROUND(Q112/O112,2))</f>
        <v>ROI 6.55</v>
      </c>
      <c r="P116" s="197"/>
      <c r="Q116" s="198" t="str">
        <f>_xlfn.CONCAT("$",ROUND(Q112-$E$84,0)," ","(",ROUND(((Q112-$E$84)/$E$84)*100,1),"%",")")</f>
        <v>$46 (15.8%)</v>
      </c>
      <c r="R116" s="199"/>
      <c r="S116" s="192" t="str">
        <f>_xlfn.CONCAT("ROI"," ", ,ROUND(U112/S112,2))</f>
        <v>ROI 6.35</v>
      </c>
      <c r="T116" s="197"/>
      <c r="U116" s="198" t="str">
        <f>_xlfn.CONCAT("$",ROUND(U112-$E$84,0)," ","(",ROUND(((U112-$E$84)/$E$84)*100,1),"%",")")</f>
        <v>$61 (20.8%)</v>
      </c>
    </row>
    <row r="117" spans="1:21" ht="24" x14ac:dyDescent="0.25">
      <c r="A117" s="90"/>
      <c r="B117" s="90"/>
      <c r="C117" s="188" t="s">
        <v>33</v>
      </c>
      <c r="D117" s="192" t="str">
        <f>_xlfn.CONCAT("ROI"," ", ,ROUND(E$85/D$85,2))</f>
        <v>ROI 3.14</v>
      </c>
      <c r="E117" s="198"/>
      <c r="F117" s="191"/>
      <c r="G117" s="192" t="str">
        <f>_xlfn.CONCAT("ROI"," ", ,ROUND(I$85/G$85,2))</f>
        <v>ROI 3.23</v>
      </c>
      <c r="H117" s="197"/>
      <c r="I117" s="198" t="str">
        <f>_xlfn.CONCAT("$",ROUND(I113-$E$85,0)," ","(",ROUND(((I113-$E$85)/$E$85)*100,1),"%",")")</f>
        <v>$6 (2.6%)</v>
      </c>
      <c r="J117" s="191"/>
      <c r="K117" s="192" t="str">
        <f>_xlfn.CONCAT("ROI"," ", ,ROUND(M$85/K$85,2))</f>
        <v>ROI 3.04</v>
      </c>
      <c r="L117" s="197"/>
      <c r="M117" s="198" t="str">
        <f>_xlfn.CONCAT("$",ROUND(M113-$E$85,0)," ","(",ROUND(((M113-$E$85)/$E$85)*100,1),"%",")")</f>
        <v>$22 (10.4%)</v>
      </c>
      <c r="N117" s="90"/>
      <c r="O117" s="192" t="str">
        <f>_xlfn.CONCAT("ROI"," ", ,ROUND(Q$85/O$85,2))</f>
        <v>ROI 3.09</v>
      </c>
      <c r="P117" s="197"/>
      <c r="Q117" s="198" t="str">
        <f>_xlfn.CONCAT("$",ROUND(Q113-$E$85,0)," ","(",ROUND(((Q113-$E$85)/$E$85)*100,1),"%",")")</f>
        <v>$20 (9.2%)</v>
      </c>
      <c r="R117" s="199"/>
      <c r="S117" s="192" t="str">
        <f>_xlfn.CONCAT("ROI"," ", ,ROUND(U$85/S$85,2))</f>
        <v>ROI 3.17</v>
      </c>
      <c r="T117" s="197"/>
      <c r="U117" s="198" t="str">
        <f>_xlfn.CONCAT("$",ROUND(U113-$E$85,0)," ","(",ROUND(((U113-$E$85)/$E$85)*100,1),"%",")")</f>
        <v>$13 (6.1%)</v>
      </c>
    </row>
    <row r="118" spans="1:21" ht="24" x14ac:dyDescent="0.25">
      <c r="A118" s="90"/>
      <c r="B118" s="90"/>
      <c r="C118" s="188" t="s">
        <v>38</v>
      </c>
      <c r="D118" s="192" t="str">
        <f>_xlfn.CONCAT("ROI"," ", ,ROUND(E$85*1.25/D$85,2))</f>
        <v>ROI 3.93</v>
      </c>
      <c r="E118" s="198"/>
      <c r="F118" s="191"/>
      <c r="G118" s="192" t="str">
        <f>_xlfn.CONCAT("ROI"," ", ,ROUND(I$85*1.25/G$85,2))</f>
        <v>ROI 4.03</v>
      </c>
      <c r="H118" s="197"/>
      <c r="I118" s="198" t="str">
        <f>_xlfn.CONCAT("$",ROUND((I113-$E$85)*1.25,0)," ","(",ROUND(((I113-$E$85)/$E$85)*100,1),"%",")")</f>
        <v>$7 (2.6%)</v>
      </c>
      <c r="J118" s="191"/>
      <c r="K118" s="192" t="str">
        <f>_xlfn.CONCAT("ROI"," ", ,ROUND(M$85*1.25/K$85,2))</f>
        <v>ROI 3.8</v>
      </c>
      <c r="L118" s="197"/>
      <c r="M118" s="198" t="str">
        <f>_xlfn.CONCAT("$",ROUND((M113-$E$85)*1.25,0)," ","(",ROUND(((M113-$E$85)/$E$85)*100,1),"%",")")</f>
        <v>$28 (10.4%)</v>
      </c>
      <c r="N118" s="90"/>
      <c r="O118" s="192" t="str">
        <f>_xlfn.CONCAT("ROI"," ", ,ROUND(Q$85*1.25/O$85,2))</f>
        <v>ROI 3.86</v>
      </c>
      <c r="P118" s="197"/>
      <c r="Q118" s="198" t="str">
        <f>_xlfn.CONCAT("$",ROUND((Q113-$E$85)*1.25,0)," ","(",ROUND(((Q113-$E$85)/$E$85)*100,1),"%",")")</f>
        <v>$25 (9.2%)</v>
      </c>
      <c r="R118" s="199"/>
      <c r="S118" s="192" t="str">
        <f>_xlfn.CONCAT("ROI"," ", ,ROUND(U$85*1.25/S$85,2))</f>
        <v>ROI 3.97</v>
      </c>
      <c r="T118" s="197"/>
      <c r="U118" s="198" t="str">
        <f>_xlfn.CONCAT("$",ROUND((U113-$E$85)*1.25,0)," ","(",ROUND(((U113-$E$85)/$E$85)*100,1),"%",")")</f>
        <v>$16 (6.1%)</v>
      </c>
    </row>
    <row r="119" spans="1:21" ht="24" x14ac:dyDescent="0.25">
      <c r="A119" s="90"/>
      <c r="B119" s="90"/>
      <c r="C119" s="188" t="s">
        <v>43</v>
      </c>
      <c r="D119" s="192" t="str">
        <f>_xlfn.CONCAT("ROI"," ", ,ROUND(E$85*0.8/D$85,2))</f>
        <v>ROI 2.52</v>
      </c>
      <c r="E119" s="198"/>
      <c r="F119" s="191"/>
      <c r="G119" s="192" t="str">
        <f>_xlfn.CONCAT("ROI"," ", ,ROUND(I$85*0.8/G$85,2))</f>
        <v>ROI 2.58</v>
      </c>
      <c r="H119" s="197"/>
      <c r="I119" s="198" t="str">
        <f>_xlfn.CONCAT("$",ROUND((I113-$E$85)*0.8,0)," ","(",ROUND(((I113-$E$85)/$E$85)*100,1),"%",")")</f>
        <v>$5 (2.6%)</v>
      </c>
      <c r="J119" s="191"/>
      <c r="K119" s="192" t="str">
        <f>_xlfn.CONCAT("ROI"," ", ,ROUND(M$85*0.8/K$85,2))</f>
        <v>ROI 2.43</v>
      </c>
      <c r="L119" s="197"/>
      <c r="M119" s="198" t="str">
        <f>_xlfn.CONCAT("$",ROUND((M113-$E$85)*0.8,0)," ","(",ROUND(((M113-$E$85)/$E$85)*100,1),"%",")")</f>
        <v>$18 (10.4%)</v>
      </c>
      <c r="N119" s="90"/>
      <c r="O119" s="192" t="str">
        <f>_xlfn.CONCAT("ROI"," ", ,ROUND(Q$85*0.8/O$85,2))</f>
        <v>ROI 2.47</v>
      </c>
      <c r="P119" s="197"/>
      <c r="Q119" s="198" t="str">
        <f>_xlfn.CONCAT("$",ROUND((Q113-$E$85)*0.8,0)," ","(",ROUND(((Q113-$E$85)/$E$85)*100,1),"%",")")</f>
        <v>$16 (9.2%)</v>
      </c>
      <c r="R119" s="199"/>
      <c r="S119" s="192" t="str">
        <f>_xlfn.CONCAT("ROI"," ", ,ROUND(U$85*0.8/S$85,2))</f>
        <v>ROI 2.54</v>
      </c>
      <c r="T119" s="197"/>
      <c r="U119" s="198" t="str">
        <f>_xlfn.CONCAT("$",ROUND((U113-$E$85)*0.8,0)," ","(",ROUND(((U113-$E$85)/$E$85)*100,1),"%",")")</f>
        <v>$11 (6.1%)</v>
      </c>
    </row>
  </sheetData>
  <mergeCells count="20">
    <mergeCell ref="A92:A97"/>
    <mergeCell ref="A106:A111"/>
    <mergeCell ref="D76:E76"/>
    <mergeCell ref="G76:I76"/>
    <mergeCell ref="K76:M76"/>
    <mergeCell ref="O76:Q76"/>
    <mergeCell ref="S76:U76"/>
    <mergeCell ref="A78:A83"/>
    <mergeCell ref="D32:E32"/>
    <mergeCell ref="G32:I32"/>
    <mergeCell ref="K32:M32"/>
    <mergeCell ref="O32:Q32"/>
    <mergeCell ref="S32:U32"/>
    <mergeCell ref="K75:U75"/>
    <mergeCell ref="G4:Q4"/>
    <mergeCell ref="G5:I5"/>
    <mergeCell ref="K5:M5"/>
    <mergeCell ref="O5:Q5"/>
    <mergeCell ref="S5:U5"/>
    <mergeCell ref="G31:U31"/>
  </mergeCells>
  <conditionalFormatting sqref="H34:H52">
    <cfRule type="cellIs" dxfId="71" priority="71" operator="lessThan">
      <formula>0</formula>
    </cfRule>
    <cfRule type="cellIs" dxfId="70" priority="72" operator="greaterThan">
      <formula>0</formula>
    </cfRule>
  </conditionalFormatting>
  <conditionalFormatting sqref="P34:P52">
    <cfRule type="cellIs" dxfId="69" priority="69" operator="lessThan">
      <formula>0</formula>
    </cfRule>
    <cfRule type="cellIs" dxfId="68" priority="70" operator="greaterThan">
      <formula>0</formula>
    </cfRule>
  </conditionalFormatting>
  <conditionalFormatting sqref="L34:L52">
    <cfRule type="cellIs" dxfId="67" priority="67" operator="lessThan">
      <formula>0</formula>
    </cfRule>
    <cfRule type="cellIs" dxfId="66" priority="68" operator="greaterThan">
      <formula>0</formula>
    </cfRule>
  </conditionalFormatting>
  <conditionalFormatting sqref="H53:H54">
    <cfRule type="cellIs" dxfId="65" priority="65" operator="lessThan">
      <formula>0</formula>
    </cfRule>
    <cfRule type="cellIs" dxfId="64" priority="66" operator="greaterThan">
      <formula>0</formula>
    </cfRule>
  </conditionalFormatting>
  <conditionalFormatting sqref="L53:L54">
    <cfRule type="cellIs" dxfId="63" priority="63" operator="lessThan">
      <formula>0</formula>
    </cfRule>
    <cfRule type="cellIs" dxfId="62" priority="64" operator="greaterThan">
      <formula>0</formula>
    </cfRule>
  </conditionalFormatting>
  <conditionalFormatting sqref="P53:P54">
    <cfRule type="cellIs" dxfId="61" priority="61" operator="lessThan">
      <formula>0</formula>
    </cfRule>
    <cfRule type="cellIs" dxfId="60" priority="62" operator="greaterThan">
      <formula>0</formula>
    </cfRule>
  </conditionalFormatting>
  <conditionalFormatting sqref="T34:T52">
    <cfRule type="cellIs" dxfId="59" priority="59" operator="lessThan">
      <formula>0</formula>
    </cfRule>
    <cfRule type="cellIs" dxfId="58" priority="60" operator="greaterThan">
      <formula>0</formula>
    </cfRule>
  </conditionalFormatting>
  <conditionalFormatting sqref="T53:T54">
    <cfRule type="cellIs" dxfId="57" priority="57" operator="lessThan">
      <formula>0</formula>
    </cfRule>
    <cfRule type="cellIs" dxfId="56" priority="58" operator="greaterThan">
      <formula>0</formula>
    </cfRule>
  </conditionalFormatting>
  <conditionalFormatting sqref="H78:H83">
    <cfRule type="cellIs" dxfId="55" priority="55" operator="lessThan">
      <formula>0</formula>
    </cfRule>
    <cfRule type="cellIs" dxfId="54" priority="56" operator="greaterThan">
      <formula>0</formula>
    </cfRule>
  </conditionalFormatting>
  <conditionalFormatting sqref="P78:P83">
    <cfRule type="cellIs" dxfId="53" priority="53" operator="lessThan">
      <formula>0</formula>
    </cfRule>
    <cfRule type="cellIs" dxfId="52" priority="54" operator="greaterThan">
      <formula>0</formula>
    </cfRule>
  </conditionalFormatting>
  <conditionalFormatting sqref="L78:L83">
    <cfRule type="cellIs" dxfId="51" priority="51" operator="lessThan">
      <formula>0</formula>
    </cfRule>
    <cfRule type="cellIs" dxfId="50" priority="52" operator="greaterThan">
      <formula>0</formula>
    </cfRule>
  </conditionalFormatting>
  <conditionalFormatting sqref="T78:T83">
    <cfRule type="cellIs" dxfId="49" priority="49" operator="lessThan">
      <formula>0</formula>
    </cfRule>
    <cfRule type="cellIs" dxfId="48" priority="50" operator="greaterThan">
      <formula>0</formula>
    </cfRule>
  </conditionalFormatting>
  <conditionalFormatting sqref="H84:H85">
    <cfRule type="cellIs" dxfId="47" priority="47" operator="lessThan">
      <formula>0</formula>
    </cfRule>
    <cfRule type="cellIs" dxfId="46" priority="48" operator="greaterThan">
      <formula>0</formula>
    </cfRule>
  </conditionalFormatting>
  <conditionalFormatting sqref="L84:L85">
    <cfRule type="cellIs" dxfId="45" priority="45" operator="lessThan">
      <formula>0</formula>
    </cfRule>
    <cfRule type="cellIs" dxfId="44" priority="46" operator="greaterThan">
      <formula>0</formula>
    </cfRule>
  </conditionalFormatting>
  <conditionalFormatting sqref="P84:P85">
    <cfRule type="cellIs" dxfId="43" priority="43" operator="lessThan">
      <formula>0</formula>
    </cfRule>
    <cfRule type="cellIs" dxfId="42" priority="44" operator="greaterThan">
      <formula>0</formula>
    </cfRule>
  </conditionalFormatting>
  <conditionalFormatting sqref="T84:T85">
    <cfRule type="cellIs" dxfId="41" priority="41" operator="lessThan">
      <formula>0</formula>
    </cfRule>
    <cfRule type="cellIs" dxfId="40" priority="42" operator="greaterThan">
      <formula>0</formula>
    </cfRule>
  </conditionalFormatting>
  <conditionalFormatting sqref="H92:H97">
    <cfRule type="cellIs" dxfId="39" priority="39" operator="lessThan">
      <formula>0</formula>
    </cfRule>
    <cfRule type="cellIs" dxfId="38" priority="40" operator="greaterThan">
      <formula>0</formula>
    </cfRule>
  </conditionalFormatting>
  <conditionalFormatting sqref="P92:P97">
    <cfRule type="cellIs" dxfId="37" priority="37" operator="lessThan">
      <formula>0</formula>
    </cfRule>
    <cfRule type="cellIs" dxfId="36" priority="38" operator="greaterThan">
      <formula>0</formula>
    </cfRule>
  </conditionalFormatting>
  <conditionalFormatting sqref="L92:L97">
    <cfRule type="cellIs" dxfId="35" priority="35" operator="lessThan">
      <formula>0</formula>
    </cfRule>
    <cfRule type="cellIs" dxfId="34" priority="36" operator="greaterThan">
      <formula>0</formula>
    </cfRule>
  </conditionalFormatting>
  <conditionalFormatting sqref="T92:T97">
    <cfRule type="cellIs" dxfId="33" priority="33" operator="lessThan">
      <formula>0</formula>
    </cfRule>
    <cfRule type="cellIs" dxfId="32" priority="34" operator="greaterThan">
      <formula>0</formula>
    </cfRule>
  </conditionalFormatting>
  <conditionalFormatting sqref="H98:H99">
    <cfRule type="cellIs" dxfId="31" priority="31" operator="lessThan">
      <formula>0</formula>
    </cfRule>
    <cfRule type="cellIs" dxfId="30" priority="32" operator="greaterThan">
      <formula>0</formula>
    </cfRule>
  </conditionalFormatting>
  <conditionalFormatting sqref="L98:L99">
    <cfRule type="cellIs" dxfId="29" priority="29" operator="lessThan">
      <formula>0</formula>
    </cfRule>
    <cfRule type="cellIs" dxfId="28" priority="30" operator="greaterThan">
      <formula>0</formula>
    </cfRule>
  </conditionalFormatting>
  <conditionalFormatting sqref="P98:P99">
    <cfRule type="cellIs" dxfId="27" priority="27" operator="lessThan">
      <formula>0</formula>
    </cfRule>
    <cfRule type="cellIs" dxfId="26" priority="28" operator="greaterThan">
      <formula>0</formula>
    </cfRule>
  </conditionalFormatting>
  <conditionalFormatting sqref="T98:T99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H71:H72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L71:L72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P71:P72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T71:T72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H106:H111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P106:P111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L106:L111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T106:T111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H112:H11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L112:L113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P112:P11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T112:T11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headerFooter>
    <oddHeader>&amp;L&amp;"Calibri"&amp;12&amp;K8E6A00Confidential&amp;1#</oddHeader>
    <oddFooter>&amp;L&amp;"Times New Roman,Regular"&amp;12&amp;K00C0C0Proprietary</oddFooter>
    <evenFooter>&amp;L&amp;"Times New Roman,Regular"&amp;12&amp;K00C0C0Proprietary</evenFooter>
    <firstFooter>&amp;L&amp;"Times New Roman,Regular"&amp;12&amp;K00C0C0Proprietary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Additional Social and OLV SC</vt:lpstr>
      <vt:lpstr>_1.0_MM_From_Socail_to_OLV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Sarath</dc:creator>
  <cp:lastModifiedBy>A, Sarath</cp:lastModifiedBy>
  <dcterms:created xsi:type="dcterms:W3CDTF">2023-10-19T16:28:15Z</dcterms:created>
  <dcterms:modified xsi:type="dcterms:W3CDTF">2023-10-19T16:32:38Z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56a699-e9bd-437a-8412-901342082749_Enabled">
    <vt:lpwstr>true</vt:lpwstr>
  </property>
  <property fmtid="{D5CDD505-2E9C-101B-9397-08002B2CF9AE}" pid="3" name="MSIP_Label_2c56a699-e9bd-437a-8412-901342082749_SetDate">
    <vt:lpwstr>2023-10-19T16:31:53Z</vt:lpwstr>
  </property>
  <property fmtid="{D5CDD505-2E9C-101B-9397-08002B2CF9AE}" pid="4" name="MSIP_Label_2c56a699-e9bd-437a-8412-901342082749_Method">
    <vt:lpwstr>Privileged</vt:lpwstr>
  </property>
  <property fmtid="{D5CDD505-2E9C-101B-9397-08002B2CF9AE}" pid="5" name="MSIP_Label_2c56a699-e9bd-437a-8412-901342082749_Name">
    <vt:lpwstr>2c56a699-e9bd-437a-8412-901342082749</vt:lpwstr>
  </property>
  <property fmtid="{D5CDD505-2E9C-101B-9397-08002B2CF9AE}" pid="6" name="MSIP_Label_2c56a699-e9bd-437a-8412-901342082749_SiteId">
    <vt:lpwstr>a00de4ec-48a8-43a6-be74-e31274e2060d</vt:lpwstr>
  </property>
  <property fmtid="{D5CDD505-2E9C-101B-9397-08002B2CF9AE}" pid="7" name="MSIP_Label_2c56a699-e9bd-437a-8412-901342082749_ActionId">
    <vt:lpwstr>048c28ba-7df7-40c4-9151-b7d9e1aa5490</vt:lpwstr>
  </property>
  <property fmtid="{D5CDD505-2E9C-101B-9397-08002B2CF9AE}" pid="8" name="MSIP_Label_2c56a699-e9bd-437a-8412-901342082749_ContentBits">
    <vt:lpwstr>1</vt:lpwstr>
  </property>
  <property fmtid="{D5CDD505-2E9C-101B-9397-08002B2CF9AE}" pid="9" name="MerckAIPLabel">
    <vt:lpwstr>Confidential</vt:lpwstr>
  </property>
  <property fmtid="{D5CDD505-2E9C-101B-9397-08002B2CF9AE}" pid="10" name="MerckAIPDataExchange">
    <vt:lpwstr>!MRKMIP@Confidential</vt:lpwstr>
  </property>
</Properties>
</file>