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Optimize\"/>
    </mc:Choice>
  </mc:AlternateContent>
  <xr:revisionPtr revIDLastSave="0" documentId="13_ncr:1_{65DDFDC9-5ED7-4E1E-9827-3DB9C5BF7B25}" xr6:coauthVersionLast="47" xr6:coauthVersionMax="47" xr10:uidLastSave="{00000000-0000-0000-0000-000000000000}"/>
  <bookViews>
    <workbookView xWindow="-108" yWindow="-108" windowWidth="23256" windowHeight="12576" tabRatio="604" firstSheet="1" activeTab="3" xr2:uid="{358496D9-7784-466F-AD93-3BB0290139D5}"/>
  </bookViews>
  <sheets>
    <sheet name="AddlPromo" sheetId="14" r:id="rId1"/>
    <sheet name="Contribution, Promo eff, ROI" sheetId="18" r:id="rId2"/>
    <sheet name="Summary" sheetId="17" r:id="rId3"/>
    <sheet name="Optimize" sheetId="11" r:id="rId4"/>
    <sheet name="Data" sheetId="15" r:id="rId5"/>
    <sheet name="Custom Scenario Chart" sheetId="19" r:id="rId6"/>
    <sheet name="Response Curves" sheetId="20" r:id="rId7"/>
    <sheet name="Samples Vouchers" sheetId="16" r:id="rId8"/>
    <sheet name="Working Tab" sheetId="5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" hidden="1">'Contribution, Promo eff, ROI'!$F$18:$G$18</definedName>
    <definedName name="solver_adj" localSheetId="3" hidden="1">Optimize!$O$12:$O$20,Optimize!$O$22:$O$27,Optimize!$O$29:$O$31,Optimize!$O$33:$O$34</definedName>
    <definedName name="solver_cvg" localSheetId="3" hidden="1">0.0001</definedName>
    <definedName name="solver_drv" localSheetId="3" hidden="1">2</definedName>
    <definedName name="solver_eng" localSheetId="4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Optimize!$I$3:$I$7</definedName>
    <definedName name="solver_lhs10" localSheetId="3" hidden="1">Optimize!$O$28</definedName>
    <definedName name="solver_lhs11" localSheetId="3" hidden="1">Optimize!$O$29:$O$31</definedName>
    <definedName name="solver_lhs12" localSheetId="3" hidden="1">Optimize!$O$29:$O$31</definedName>
    <definedName name="solver_lhs13" localSheetId="3" hidden="1">Optimize!$O$32</definedName>
    <definedName name="solver_lhs14" localSheetId="3" hidden="1">Optimize!$O$32</definedName>
    <definedName name="solver_lhs15" localSheetId="3" hidden="1">Optimize!$O$33:$O$34</definedName>
    <definedName name="solver_lhs16" localSheetId="3" hidden="1">Optimize!$O$33:$O$34</definedName>
    <definedName name="solver_lhs17" localSheetId="3" hidden="1">Optimize!$O$35</definedName>
    <definedName name="solver_lhs18" localSheetId="3" hidden="1">Optimize!$O$35</definedName>
    <definedName name="solver_lhs2" localSheetId="3" hidden="1">Optimize!$I$3:$I$7</definedName>
    <definedName name="solver_lhs3" localSheetId="3" hidden="1">Optimize!$O$12:$O$20</definedName>
    <definedName name="solver_lhs4" localSheetId="3" hidden="1">Optimize!$O$12:$O$20</definedName>
    <definedName name="solver_lhs5" localSheetId="3" hidden="1">Optimize!$O$21</definedName>
    <definedName name="solver_lhs6" localSheetId="3" hidden="1">Optimize!$O$21</definedName>
    <definedName name="solver_lhs7" localSheetId="3" hidden="1">Optimize!$O$22:$O$27</definedName>
    <definedName name="solver_lhs8" localSheetId="3" hidden="1">Optimize!$O$22:$O$27</definedName>
    <definedName name="solver_lhs9" localSheetId="3" hidden="1">Optimize!$O$28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3" hidden="1">2147483647</definedName>
    <definedName name="solver_num" localSheetId="4" hidden="1">0</definedName>
    <definedName name="solver_num" localSheetId="3" hidden="1">18</definedName>
    <definedName name="solver_nwt" localSheetId="3" hidden="1">1</definedName>
    <definedName name="solver_opt" localSheetId="4" hidden="1">Data!$C$32</definedName>
    <definedName name="solver_opt" localSheetId="3" hidden="1">Optimize!$J$7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10" localSheetId="3" hidden="1">3</definedName>
    <definedName name="solver_rel11" localSheetId="3" hidden="1">1</definedName>
    <definedName name="solver_rel12" localSheetId="3" hidden="1">3</definedName>
    <definedName name="solver_rel13" localSheetId="3" hidden="1">1</definedName>
    <definedName name="solver_rel14" localSheetId="3" hidden="1">3</definedName>
    <definedName name="solver_rel15" localSheetId="3" hidden="1">1</definedName>
    <definedName name="solver_rel16" localSheetId="3" hidden="1">3</definedName>
    <definedName name="solver_rel17" localSheetId="3" hidden="1">1</definedName>
    <definedName name="solver_rel18" localSheetId="3" hidden="1">3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el7" localSheetId="3" hidden="1">1</definedName>
    <definedName name="solver_rel8" localSheetId="3" hidden="1">3</definedName>
    <definedName name="solver_rel9" localSheetId="3" hidden="1">1</definedName>
    <definedName name="solver_rhs1" localSheetId="3" hidden="1">Optimize!$H$3:$H$7</definedName>
    <definedName name="solver_rhs10" localSheetId="3" hidden="1">Optimize!$M$28</definedName>
    <definedName name="solver_rhs11" localSheetId="3" hidden="1">Optimize!$N$29:$N$31</definedName>
    <definedName name="solver_rhs12" localSheetId="3" hidden="1">Optimize!$M$29:$M$31</definedName>
    <definedName name="solver_rhs13" localSheetId="3" hidden="1">Optimize!$N$32</definedName>
    <definedName name="solver_rhs14" localSheetId="3" hidden="1">Optimize!$M$32</definedName>
    <definedName name="solver_rhs15" localSheetId="3" hidden="1">Optimize!$N$33:$N$34</definedName>
    <definedName name="solver_rhs16" localSheetId="3" hidden="1">Optimize!$M$33:$M$34</definedName>
    <definedName name="solver_rhs17" localSheetId="3" hidden="1">Optimize!$N$35</definedName>
    <definedName name="solver_rhs18" localSheetId="3" hidden="1">Optimize!$M$35</definedName>
    <definedName name="solver_rhs2" localSheetId="3" hidden="1">Optimize!$G$3:$G$7</definedName>
    <definedName name="solver_rhs3" localSheetId="3" hidden="1">Optimize!$N$12:$N$20</definedName>
    <definedName name="solver_rhs4" localSheetId="3" hidden="1">Optimize!$M$12:$M$20</definedName>
    <definedName name="solver_rhs5" localSheetId="3" hidden="1">Optimize!$N$21</definedName>
    <definedName name="solver_rhs6" localSheetId="3" hidden="1">Optimize!$M$21</definedName>
    <definedName name="solver_rhs7" localSheetId="3" hidden="1">Optimize!$N$22:$N$27</definedName>
    <definedName name="solver_rhs8" localSheetId="3" hidden="1">Optimize!$M$22:$M$27</definedName>
    <definedName name="solver_rhs9" localSheetId="3" hidden="1">Optimize!$N$28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4" hidden="1">1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8" l="1"/>
  <c r="I14" i="18"/>
  <c r="Y25" i="20"/>
  <c r="Y24" i="20"/>
  <c r="Y23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AD61" i="17"/>
  <c r="Z61" i="17"/>
  <c r="V61" i="17"/>
  <c r="R61" i="17"/>
  <c r="J61" i="17"/>
  <c r="F61" i="17"/>
  <c r="F4" i="17"/>
  <c r="G10" i="19" l="1"/>
  <c r="G9" i="19"/>
  <c r="C8" i="19"/>
  <c r="D6" i="19" s="1"/>
  <c r="G8" i="19"/>
  <c r="G7" i="19"/>
  <c r="G6" i="19"/>
  <c r="C10" i="19"/>
  <c r="C9" i="19"/>
  <c r="C7" i="19"/>
  <c r="C6" i="19"/>
  <c r="P8" i="18"/>
  <c r="T59" i="17"/>
  <c r="S59" i="17"/>
  <c r="R59" i="17"/>
  <c r="T58" i="17"/>
  <c r="S58" i="17"/>
  <c r="R58" i="17"/>
  <c r="T57" i="17"/>
  <c r="S57" i="17"/>
  <c r="R57" i="17"/>
  <c r="T56" i="17"/>
  <c r="S56" i="17"/>
  <c r="R56" i="17"/>
  <c r="T55" i="17"/>
  <c r="S55" i="17"/>
  <c r="R55" i="17"/>
  <c r="T54" i="17"/>
  <c r="S54" i="17"/>
  <c r="R54" i="17"/>
  <c r="T53" i="17"/>
  <c r="S53" i="17"/>
  <c r="R53" i="17"/>
  <c r="T52" i="17"/>
  <c r="S52" i="17"/>
  <c r="R52" i="17"/>
  <c r="T51" i="17"/>
  <c r="S51" i="17"/>
  <c r="R51" i="17"/>
  <c r="T50" i="17"/>
  <c r="S50" i="17"/>
  <c r="R50" i="17"/>
  <c r="T49" i="17"/>
  <c r="S49" i="17"/>
  <c r="R49" i="17"/>
  <c r="T48" i="17"/>
  <c r="S48" i="17"/>
  <c r="R48" i="17"/>
  <c r="T47" i="17"/>
  <c r="S47" i="17"/>
  <c r="R47" i="17"/>
  <c r="T46" i="17"/>
  <c r="S46" i="17"/>
  <c r="R46" i="17"/>
  <c r="T45" i="17"/>
  <c r="S45" i="17"/>
  <c r="R45" i="17"/>
  <c r="T44" i="17"/>
  <c r="S44" i="17"/>
  <c r="R44" i="17"/>
  <c r="T43" i="17"/>
  <c r="S43" i="17"/>
  <c r="R43" i="17"/>
  <c r="T42" i="17"/>
  <c r="S42" i="17"/>
  <c r="R42" i="17"/>
  <c r="T41" i="17"/>
  <c r="S41" i="17"/>
  <c r="R41" i="17"/>
  <c r="T40" i="17"/>
  <c r="S40" i="17"/>
  <c r="R40" i="17"/>
  <c r="T39" i="17"/>
  <c r="S39" i="17"/>
  <c r="R39" i="17"/>
  <c r="T38" i="17"/>
  <c r="S38" i="17"/>
  <c r="R38" i="17"/>
  <c r="T37" i="17"/>
  <c r="S37" i="17"/>
  <c r="R37" i="17"/>
  <c r="T36" i="17"/>
  <c r="S36" i="17"/>
  <c r="R36" i="17"/>
  <c r="X60" i="17"/>
  <c r="V60" i="17"/>
  <c r="X59" i="17"/>
  <c r="W59" i="17"/>
  <c r="V59" i="17"/>
  <c r="X58" i="17"/>
  <c r="W58" i="17"/>
  <c r="V58" i="17"/>
  <c r="X57" i="17"/>
  <c r="W57" i="17"/>
  <c r="V57" i="17"/>
  <c r="X56" i="17"/>
  <c r="W56" i="17"/>
  <c r="V56" i="17"/>
  <c r="X55" i="17"/>
  <c r="W55" i="17"/>
  <c r="V55" i="17"/>
  <c r="X54" i="17"/>
  <c r="W54" i="17"/>
  <c r="V54" i="17"/>
  <c r="X53" i="17"/>
  <c r="W53" i="17"/>
  <c r="V53" i="17"/>
  <c r="X52" i="17"/>
  <c r="W52" i="17"/>
  <c r="V52" i="17"/>
  <c r="X51" i="17"/>
  <c r="W51" i="17"/>
  <c r="V51" i="17"/>
  <c r="X50" i="17"/>
  <c r="W50" i="17"/>
  <c r="V50" i="17"/>
  <c r="X49" i="17"/>
  <c r="W49" i="17"/>
  <c r="V49" i="17"/>
  <c r="X48" i="17"/>
  <c r="W48" i="17"/>
  <c r="V48" i="17"/>
  <c r="X47" i="17"/>
  <c r="W47" i="17"/>
  <c r="V47" i="17"/>
  <c r="X46" i="17"/>
  <c r="W46" i="17"/>
  <c r="V46" i="17"/>
  <c r="X45" i="17"/>
  <c r="W45" i="17"/>
  <c r="V45" i="17"/>
  <c r="X44" i="17"/>
  <c r="W44" i="17"/>
  <c r="V44" i="17"/>
  <c r="X43" i="17"/>
  <c r="W43" i="17"/>
  <c r="V43" i="17"/>
  <c r="X42" i="17"/>
  <c r="W42" i="17"/>
  <c r="V42" i="17"/>
  <c r="X41" i="17"/>
  <c r="W41" i="17"/>
  <c r="V41" i="17"/>
  <c r="X40" i="17"/>
  <c r="W40" i="17"/>
  <c r="V40" i="17"/>
  <c r="X39" i="17"/>
  <c r="W39" i="17"/>
  <c r="V39" i="17"/>
  <c r="X38" i="17"/>
  <c r="W38" i="17"/>
  <c r="V38" i="17"/>
  <c r="X37" i="17"/>
  <c r="W37" i="17"/>
  <c r="V37" i="17"/>
  <c r="X36" i="17"/>
  <c r="W36" i="17"/>
  <c r="V36" i="17"/>
  <c r="D8" i="19" l="1"/>
  <c r="D9" i="19"/>
  <c r="D10" i="19"/>
  <c r="D7" i="19"/>
  <c r="P59" i="17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L60" i="17"/>
  <c r="J60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48" i="17"/>
  <c r="K48" i="17"/>
  <c r="J48" i="17"/>
  <c r="L47" i="17"/>
  <c r="K47" i="17"/>
  <c r="J47" i="17"/>
  <c r="L46" i="17"/>
  <c r="K46" i="17"/>
  <c r="J46" i="17"/>
  <c r="L45" i="17"/>
  <c r="K45" i="17"/>
  <c r="J45" i="17"/>
  <c r="L44" i="17"/>
  <c r="K44" i="17"/>
  <c r="J44" i="17"/>
  <c r="L43" i="17"/>
  <c r="K43" i="17"/>
  <c r="J43" i="17"/>
  <c r="L42" i="17"/>
  <c r="K42" i="17"/>
  <c r="J42" i="17"/>
  <c r="L41" i="17"/>
  <c r="K41" i="17"/>
  <c r="J41" i="17"/>
  <c r="L40" i="17"/>
  <c r="K40" i="17"/>
  <c r="J40" i="17"/>
  <c r="L39" i="17"/>
  <c r="K39" i="17"/>
  <c r="J39" i="17"/>
  <c r="L38" i="17"/>
  <c r="K38" i="17"/>
  <c r="J38" i="17"/>
  <c r="L37" i="17"/>
  <c r="K37" i="17"/>
  <c r="J37" i="17"/>
  <c r="L36" i="17"/>
  <c r="K36" i="17"/>
  <c r="J36" i="17"/>
  <c r="AF31" i="17"/>
  <c r="AB31" i="17"/>
  <c r="H31" i="17"/>
  <c r="H60" i="17"/>
  <c r="F60" i="17"/>
  <c r="H59" i="17"/>
  <c r="G59" i="17"/>
  <c r="F59" i="17"/>
  <c r="H58" i="17"/>
  <c r="G58" i="17"/>
  <c r="F58" i="17"/>
  <c r="H57" i="17"/>
  <c r="G57" i="17"/>
  <c r="F57" i="17"/>
  <c r="H56" i="17"/>
  <c r="G56" i="17"/>
  <c r="F56" i="17"/>
  <c r="H55" i="17"/>
  <c r="G55" i="17"/>
  <c r="F55" i="17"/>
  <c r="H54" i="17"/>
  <c r="G54" i="17"/>
  <c r="F54" i="17"/>
  <c r="H53" i="17"/>
  <c r="G53" i="17"/>
  <c r="F53" i="17"/>
  <c r="H52" i="17"/>
  <c r="G52" i="17"/>
  <c r="F52" i="17"/>
  <c r="H51" i="17"/>
  <c r="G51" i="17"/>
  <c r="F51" i="17"/>
  <c r="H50" i="17"/>
  <c r="G50" i="17"/>
  <c r="F50" i="17"/>
  <c r="H49" i="17"/>
  <c r="G49" i="17"/>
  <c r="F49" i="17"/>
  <c r="H48" i="17"/>
  <c r="G48" i="17"/>
  <c r="F48" i="17"/>
  <c r="H47" i="17"/>
  <c r="G47" i="17"/>
  <c r="F47" i="17"/>
  <c r="H46" i="17"/>
  <c r="G46" i="17"/>
  <c r="F46" i="17"/>
  <c r="H45" i="17"/>
  <c r="G45" i="17"/>
  <c r="F45" i="17"/>
  <c r="H44" i="17"/>
  <c r="G44" i="17"/>
  <c r="F44" i="17"/>
  <c r="H43" i="17"/>
  <c r="G43" i="17"/>
  <c r="F43" i="17"/>
  <c r="H42" i="17"/>
  <c r="G42" i="17"/>
  <c r="F42" i="17"/>
  <c r="H41" i="17"/>
  <c r="G41" i="17"/>
  <c r="F41" i="17"/>
  <c r="H40" i="17"/>
  <c r="G40" i="17"/>
  <c r="F40" i="17"/>
  <c r="H39" i="17"/>
  <c r="G39" i="17"/>
  <c r="F39" i="17"/>
  <c r="H38" i="17"/>
  <c r="G38" i="17"/>
  <c r="F38" i="17"/>
  <c r="H37" i="17"/>
  <c r="G37" i="17"/>
  <c r="F37" i="17"/>
  <c r="O21" i="11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T5" i="20"/>
  <c r="S5" i="20"/>
  <c r="R5" i="20"/>
  <c r="G3" i="16" l="1"/>
  <c r="F3" i="16"/>
  <c r="F2" i="16"/>
  <c r="G2" i="16" l="1"/>
  <c r="D19" i="11" l="1"/>
  <c r="D18" i="11"/>
  <c r="D17" i="11"/>
  <c r="D16" i="11"/>
  <c r="D15" i="11"/>
  <c r="D14" i="11"/>
  <c r="D13" i="11"/>
  <c r="D12" i="11"/>
  <c r="K2" i="15" l="1"/>
  <c r="D21" i="15" s="1"/>
  <c r="K1" i="15"/>
  <c r="D20" i="15" l="1"/>
  <c r="E3" i="16"/>
  <c r="E2" i="16"/>
  <c r="D22" i="15"/>
  <c r="D9" i="15"/>
  <c r="D4" i="15"/>
  <c r="D12" i="15"/>
  <c r="D27" i="15"/>
  <c r="D11" i="15"/>
  <c r="D5" i="15"/>
  <c r="D16" i="15"/>
  <c r="D28" i="15"/>
  <c r="D6" i="15"/>
  <c r="D17" i="15"/>
  <c r="D29" i="15"/>
  <c r="D7" i="15"/>
  <c r="D18" i="15"/>
  <c r="D30" i="15"/>
  <c r="D10" i="15"/>
  <c r="D8" i="15"/>
  <c r="D19" i="15"/>
  <c r="D34" i="15"/>
  <c r="H9" i="11"/>
  <c r="C34" i="15" l="1"/>
  <c r="D20" i="11" s="1"/>
  <c r="D21" i="11" s="1"/>
  <c r="D3" i="11" s="1"/>
  <c r="C29" i="15"/>
  <c r="C28" i="15"/>
  <c r="C27" i="15"/>
  <c r="C20" i="15"/>
  <c r="C19" i="15"/>
  <c r="C18" i="15"/>
  <c r="C21" i="15"/>
  <c r="C17" i="15"/>
  <c r="C16" i="15"/>
  <c r="E4" i="15"/>
  <c r="C4" i="15"/>
  <c r="F4" i="15" l="1"/>
  <c r="C11" i="15" l="1"/>
  <c r="C10" i="15"/>
  <c r="C9" i="15"/>
  <c r="C8" i="15"/>
  <c r="C7" i="15"/>
  <c r="C6" i="15"/>
  <c r="C5" i="15"/>
  <c r="C12" i="15" s="1"/>
  <c r="E34" i="15" l="1"/>
  <c r="F34" i="15" l="1"/>
  <c r="G34" i="15" s="1"/>
  <c r="G20" i="11" s="1"/>
  <c r="I21" i="15" l="1"/>
  <c r="H21" i="15"/>
  <c r="E21" i="15"/>
  <c r="B21" i="15"/>
  <c r="I20" i="15"/>
  <c r="H20" i="15"/>
  <c r="E20" i="15"/>
  <c r="B20" i="15"/>
  <c r="I19" i="15"/>
  <c r="H19" i="15"/>
  <c r="E19" i="15"/>
  <c r="B19" i="15"/>
  <c r="I18" i="15"/>
  <c r="H18" i="15"/>
  <c r="E18" i="15"/>
  <c r="B18" i="15"/>
  <c r="I17" i="15"/>
  <c r="H17" i="15"/>
  <c r="E17" i="15"/>
  <c r="B17" i="15"/>
  <c r="H16" i="15"/>
  <c r="I16" i="15"/>
  <c r="E16" i="15"/>
  <c r="B16" i="15"/>
  <c r="I11" i="15"/>
  <c r="H11" i="15"/>
  <c r="E11" i="15"/>
  <c r="B11" i="15"/>
  <c r="I10" i="15"/>
  <c r="H10" i="15"/>
  <c r="E10" i="15"/>
  <c r="F10" i="15" s="1"/>
  <c r="B10" i="15"/>
  <c r="I9" i="15"/>
  <c r="H9" i="15"/>
  <c r="E9" i="15"/>
  <c r="B9" i="15"/>
  <c r="I8" i="15"/>
  <c r="H8" i="15"/>
  <c r="E8" i="15"/>
  <c r="B8" i="15"/>
  <c r="I7" i="15"/>
  <c r="H7" i="15"/>
  <c r="E7" i="15"/>
  <c r="B7" i="15"/>
  <c r="I6" i="15"/>
  <c r="H6" i="15"/>
  <c r="E6" i="15"/>
  <c r="B6" i="15"/>
  <c r="I5" i="15"/>
  <c r="H5" i="15"/>
  <c r="E5" i="15"/>
  <c r="G4" i="15"/>
  <c r="G12" i="11" s="1"/>
  <c r="B5" i="15"/>
  <c r="H20" i="11" l="1"/>
  <c r="G10" i="15"/>
  <c r="G18" i="11" s="1"/>
  <c r="C22" i="15"/>
  <c r="F20" i="15"/>
  <c r="G20" i="15" s="1"/>
  <c r="F9" i="15"/>
  <c r="G9" i="15" s="1"/>
  <c r="G17" i="11" s="1"/>
  <c r="F18" i="15"/>
  <c r="G18" i="15" s="1"/>
  <c r="F7" i="15"/>
  <c r="G7" i="15" s="1"/>
  <c r="F19" i="15"/>
  <c r="G19" i="15" s="1"/>
  <c r="F11" i="15"/>
  <c r="G11" i="15" s="1"/>
  <c r="G19" i="11" s="1"/>
  <c r="F21" i="15"/>
  <c r="G21" i="15" s="1"/>
  <c r="F6" i="15"/>
  <c r="G6" i="15" s="1"/>
  <c r="G14" i="11" s="1"/>
  <c r="F8" i="15"/>
  <c r="G8" i="15" s="1"/>
  <c r="F5" i="15"/>
  <c r="G15" i="11" l="1"/>
  <c r="H15" i="11" s="1"/>
  <c r="G16" i="11"/>
  <c r="H16" i="11" s="1"/>
  <c r="G5" i="15"/>
  <c r="F12" i="15"/>
  <c r="R15" i="11"/>
  <c r="U15" i="11" s="1"/>
  <c r="N15" i="11"/>
  <c r="M15" i="11"/>
  <c r="N16" i="11"/>
  <c r="R16" i="11"/>
  <c r="U16" i="11" s="1"/>
  <c r="M16" i="11"/>
  <c r="M20" i="11"/>
  <c r="R20" i="11"/>
  <c r="U20" i="11" s="1"/>
  <c r="N20" i="11"/>
  <c r="F20" i="11"/>
  <c r="J20" i="11"/>
  <c r="Q20" i="11" s="1"/>
  <c r="F16" i="11" l="1"/>
  <c r="J16" i="11"/>
  <c r="Q16" i="11" s="1"/>
  <c r="T16" i="11" s="1"/>
  <c r="W16" i="11" s="1"/>
  <c r="F15" i="11"/>
  <c r="J15" i="11"/>
  <c r="Q15" i="11" s="1"/>
  <c r="P15" i="11" s="1"/>
  <c r="S15" i="11" s="1"/>
  <c r="V15" i="11" s="1"/>
  <c r="G12" i="15"/>
  <c r="G13" i="11"/>
  <c r="G21" i="11" s="1"/>
  <c r="P20" i="11"/>
  <c r="S20" i="11" s="1"/>
  <c r="V20" i="11" s="1"/>
  <c r="T20" i="11"/>
  <c r="W20" i="11" s="1"/>
  <c r="P16" i="11" l="1"/>
  <c r="S16" i="11" s="1"/>
  <c r="V16" i="11" s="1"/>
  <c r="T15" i="11"/>
  <c r="W15" i="11" s="1"/>
  <c r="E29" i="15"/>
  <c r="E28" i="15"/>
  <c r="E27" i="15"/>
  <c r="N13" i="18" l="1"/>
  <c r="AF30" i="17" l="1"/>
  <c r="AB30" i="17"/>
  <c r="X30" i="17"/>
  <c r="T30" i="17"/>
  <c r="T60" i="17" s="1"/>
  <c r="P30" i="17"/>
  <c r="P60" i="17" s="1"/>
  <c r="L30" i="17"/>
  <c r="H30" i="17"/>
  <c r="AF59" i="17"/>
  <c r="AE59" i="17"/>
  <c r="AD59" i="17"/>
  <c r="AB59" i="17"/>
  <c r="AA59" i="17"/>
  <c r="Z59" i="17"/>
  <c r="AF58" i="17"/>
  <c r="AE58" i="17"/>
  <c r="AD58" i="17"/>
  <c r="AB58" i="17"/>
  <c r="AA58" i="17"/>
  <c r="Z58" i="17"/>
  <c r="AF57" i="17"/>
  <c r="AE57" i="17"/>
  <c r="AD57" i="17"/>
  <c r="AB57" i="17"/>
  <c r="AA57" i="17"/>
  <c r="Z57" i="17"/>
  <c r="AF56" i="17"/>
  <c r="AE56" i="17"/>
  <c r="AD56" i="17"/>
  <c r="AB56" i="17"/>
  <c r="AA56" i="17"/>
  <c r="Z56" i="17"/>
  <c r="AF55" i="17"/>
  <c r="AE55" i="17"/>
  <c r="AD55" i="17"/>
  <c r="AB55" i="17"/>
  <c r="AA55" i="17"/>
  <c r="Z55" i="17"/>
  <c r="AF54" i="17"/>
  <c r="AE54" i="17"/>
  <c r="AD54" i="17"/>
  <c r="AB54" i="17"/>
  <c r="AA54" i="17"/>
  <c r="Z54" i="17"/>
  <c r="AF53" i="17"/>
  <c r="AE53" i="17"/>
  <c r="AD53" i="17"/>
  <c r="AB53" i="17"/>
  <c r="AA53" i="17"/>
  <c r="Z53" i="17"/>
  <c r="AF52" i="17"/>
  <c r="AE52" i="17"/>
  <c r="AD52" i="17"/>
  <c r="AB52" i="17"/>
  <c r="AA52" i="17"/>
  <c r="Z52" i="17"/>
  <c r="AF51" i="17"/>
  <c r="AE51" i="17"/>
  <c r="AD51" i="17"/>
  <c r="AB51" i="17"/>
  <c r="AA51" i="17"/>
  <c r="Z51" i="17"/>
  <c r="AF50" i="17"/>
  <c r="AE50" i="17"/>
  <c r="AD50" i="17"/>
  <c r="AB50" i="17"/>
  <c r="AA50" i="17"/>
  <c r="Z50" i="17"/>
  <c r="AF49" i="17"/>
  <c r="AE49" i="17"/>
  <c r="AD49" i="17"/>
  <c r="AB49" i="17"/>
  <c r="AA49" i="17"/>
  <c r="Z49" i="17"/>
  <c r="AF48" i="17"/>
  <c r="AE48" i="17"/>
  <c r="AD48" i="17"/>
  <c r="AB48" i="17"/>
  <c r="AA48" i="17"/>
  <c r="Z48" i="17"/>
  <c r="AF47" i="17"/>
  <c r="AE47" i="17"/>
  <c r="AD47" i="17"/>
  <c r="AB47" i="17"/>
  <c r="AA47" i="17"/>
  <c r="Z47" i="17"/>
  <c r="AF46" i="17"/>
  <c r="AE46" i="17"/>
  <c r="AD46" i="17"/>
  <c r="AB46" i="17"/>
  <c r="AA46" i="17"/>
  <c r="Z46" i="17"/>
  <c r="AF45" i="17"/>
  <c r="AE45" i="17"/>
  <c r="AD45" i="17"/>
  <c r="AB45" i="17"/>
  <c r="AA45" i="17"/>
  <c r="Z45" i="17"/>
  <c r="AD30" i="17"/>
  <c r="Z30" i="17"/>
  <c r="V30" i="17"/>
  <c r="R30" i="17"/>
  <c r="N30" i="17"/>
  <c r="J30" i="17"/>
  <c r="L31" i="17" s="1"/>
  <c r="F30" i="17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U5" i="20"/>
  <c r="V5" i="20"/>
  <c r="W5" i="20"/>
  <c r="X5" i="20"/>
  <c r="D5" i="20"/>
  <c r="D6" i="20" s="1"/>
  <c r="R60" i="17" l="1"/>
  <c r="T31" i="17"/>
  <c r="X31" i="17"/>
  <c r="P31" i="17"/>
  <c r="N60" i="17"/>
  <c r="D7" i="20"/>
  <c r="V62" i="17"/>
  <c r="D8" i="20"/>
  <c r="D9" i="20" l="1"/>
  <c r="D10" i="20" l="1"/>
  <c r="D11" i="20" l="1"/>
  <c r="D12" i="20" l="1"/>
  <c r="D13" i="20" l="1"/>
  <c r="D14" i="20" l="1"/>
  <c r="D15" i="20" l="1"/>
  <c r="D16" i="20" l="1"/>
  <c r="D17" i="20" l="1"/>
  <c r="D18" i="20" l="1"/>
  <c r="D19" i="20" l="1"/>
  <c r="D20" i="20" l="1"/>
  <c r="D21" i="20" l="1"/>
  <c r="D22" i="20" l="1"/>
  <c r="D23" i="20" l="1"/>
  <c r="D24" i="20" l="1"/>
  <c r="D25" i="20" l="1"/>
  <c r="L35" i="11" l="1"/>
  <c r="K35" i="11"/>
  <c r="L32" i="11"/>
  <c r="K32" i="11"/>
  <c r="L28" i="11"/>
  <c r="K28" i="11"/>
  <c r="L21" i="11"/>
  <c r="K21" i="11"/>
  <c r="L16" i="18"/>
  <c r="K5" i="19" l="1"/>
  <c r="I5" i="19"/>
  <c r="B36" i="17" l="1"/>
  <c r="F36" i="17"/>
  <c r="G36" i="17"/>
  <c r="H36" i="17"/>
  <c r="Z36" i="17"/>
  <c r="AA36" i="17"/>
  <c r="AB36" i="17"/>
  <c r="AD36" i="17"/>
  <c r="AE36" i="17"/>
  <c r="AF36" i="17"/>
  <c r="AD41" i="17" l="1"/>
  <c r="AE41" i="17"/>
  <c r="AF41" i="17"/>
  <c r="AD42" i="17"/>
  <c r="AE42" i="17"/>
  <c r="AF42" i="17"/>
  <c r="AD43" i="17"/>
  <c r="AE43" i="17"/>
  <c r="AF43" i="17"/>
  <c r="AD44" i="17"/>
  <c r="AE44" i="17"/>
  <c r="AF44" i="17"/>
  <c r="AF40" i="17"/>
  <c r="AE40" i="17"/>
  <c r="AD40" i="17"/>
  <c r="Z41" i="17"/>
  <c r="AA41" i="17"/>
  <c r="AB41" i="17"/>
  <c r="Z42" i="17"/>
  <c r="AA42" i="17"/>
  <c r="AB42" i="17"/>
  <c r="Z43" i="17"/>
  <c r="AA43" i="17"/>
  <c r="AB43" i="17"/>
  <c r="Z44" i="17"/>
  <c r="AA44" i="17"/>
  <c r="AB44" i="17"/>
  <c r="AB40" i="17"/>
  <c r="AA40" i="17"/>
  <c r="Z40" i="17"/>
  <c r="F34" i="17"/>
  <c r="AF60" i="17"/>
  <c r="AD60" i="17"/>
  <c r="Z60" i="17"/>
  <c r="AM27" i="17"/>
  <c r="AP27" i="17" s="1"/>
  <c r="AM28" i="17"/>
  <c r="AP28" i="17" s="1"/>
  <c r="AD62" i="17" l="1"/>
  <c r="J62" i="17"/>
  <c r="K8" i="19"/>
  <c r="R62" i="17"/>
  <c r="N62" i="17"/>
  <c r="N61" i="17" s="1"/>
  <c r="AB60" i="17"/>
  <c r="Z62" i="17" s="1"/>
  <c r="O35" i="11"/>
  <c r="F62" i="17" l="1"/>
  <c r="L8" i="19"/>
  <c r="I6" i="11"/>
  <c r="AM29" i="17"/>
  <c r="E7" i="19"/>
  <c r="E6" i="19"/>
  <c r="E10" i="19"/>
  <c r="E8" i="19"/>
  <c r="L10" i="19"/>
  <c r="L9" i="19"/>
  <c r="E9" i="19"/>
  <c r="D34" i="11"/>
  <c r="D33" i="11"/>
  <c r="D35" i="11" s="1"/>
  <c r="D6" i="11" s="1"/>
  <c r="AP29" i="17" l="1"/>
  <c r="K9" i="19"/>
  <c r="K10" i="19"/>
  <c r="E14" i="18"/>
  <c r="K14" i="18" s="1"/>
  <c r="E15" i="18"/>
  <c r="K15" i="18" s="1"/>
  <c r="R33" i="11"/>
  <c r="N33" i="11"/>
  <c r="M33" i="11"/>
  <c r="J2" i="16"/>
  <c r="G33" i="11" s="1"/>
  <c r="R34" i="11"/>
  <c r="U34" i="11" s="1"/>
  <c r="AN28" i="17" s="1"/>
  <c r="N34" i="11"/>
  <c r="M34" i="11"/>
  <c r="J3" i="16"/>
  <c r="G34" i="11" s="1"/>
  <c r="X7" i="20" s="1"/>
  <c r="W6" i="20" l="1"/>
  <c r="AS6" i="20" s="1"/>
  <c r="G35" i="11"/>
  <c r="X24" i="20"/>
  <c r="X20" i="20"/>
  <c r="X16" i="20"/>
  <c r="X12" i="20"/>
  <c r="X8" i="20"/>
  <c r="AT8" i="20" s="1"/>
  <c r="X22" i="20"/>
  <c r="X18" i="20"/>
  <c r="X14" i="20"/>
  <c r="X10" i="20"/>
  <c r="X6" i="20"/>
  <c r="AT6" i="20" s="1"/>
  <c r="W24" i="20"/>
  <c r="W22" i="20"/>
  <c r="W20" i="20"/>
  <c r="W18" i="20"/>
  <c r="W16" i="20"/>
  <c r="W14" i="20"/>
  <c r="W12" i="20"/>
  <c r="W10" i="20"/>
  <c r="W8" i="20"/>
  <c r="W7" i="20"/>
  <c r="G6" i="11"/>
  <c r="W25" i="20"/>
  <c r="W23" i="20"/>
  <c r="W21" i="20"/>
  <c r="W19" i="20"/>
  <c r="W17" i="20"/>
  <c r="W15" i="20"/>
  <c r="W13" i="20"/>
  <c r="W11" i="20"/>
  <c r="W9" i="20"/>
  <c r="X25" i="20"/>
  <c r="X23" i="20"/>
  <c r="X21" i="20"/>
  <c r="X19" i="20"/>
  <c r="X17" i="20"/>
  <c r="X15" i="20"/>
  <c r="X13" i="20"/>
  <c r="X11" i="20"/>
  <c r="X9" i="20"/>
  <c r="H34" i="11"/>
  <c r="F15" i="18"/>
  <c r="J15" i="18" s="1"/>
  <c r="G19" i="18" s="1"/>
  <c r="H33" i="11"/>
  <c r="J33" i="11" s="1"/>
  <c r="Q33" i="11" s="1"/>
  <c r="AO27" i="17" s="1"/>
  <c r="F14" i="18"/>
  <c r="J14" i="18" s="1"/>
  <c r="G20" i="18" s="1"/>
  <c r="M35" i="11"/>
  <c r="N35" i="11"/>
  <c r="L6" i="11"/>
  <c r="R35" i="11"/>
  <c r="U35" i="11" s="1"/>
  <c r="AN29" i="17" s="1"/>
  <c r="U33" i="11"/>
  <c r="AN27" i="17" s="1"/>
  <c r="AS7" i="20" l="1"/>
  <c r="H6" i="11"/>
  <c r="AT9" i="20"/>
  <c r="AT21" i="20"/>
  <c r="AT25" i="20"/>
  <c r="AT13" i="20"/>
  <c r="AT19" i="20"/>
  <c r="AT23" i="20"/>
  <c r="AT15" i="20"/>
  <c r="AT17" i="20"/>
  <c r="AT11" i="20"/>
  <c r="J34" i="11"/>
  <c r="Q34" i="11" s="1"/>
  <c r="AO28" i="17" s="1"/>
  <c r="AT7" i="20"/>
  <c r="AS11" i="20"/>
  <c r="AS15" i="20"/>
  <c r="AS19" i="20"/>
  <c r="AS23" i="20"/>
  <c r="AS8" i="20"/>
  <c r="AT12" i="20"/>
  <c r="AT20" i="20"/>
  <c r="AT16" i="20"/>
  <c r="AT24" i="20"/>
  <c r="AS9" i="20"/>
  <c r="AS13" i="20"/>
  <c r="AS17" i="20"/>
  <c r="AS21" i="20"/>
  <c r="AS25" i="20"/>
  <c r="AT10" i="20"/>
  <c r="AT14" i="20"/>
  <c r="AT18" i="20"/>
  <c r="AT22" i="20"/>
  <c r="AS10" i="20"/>
  <c r="AS14" i="20"/>
  <c r="AS18" i="20"/>
  <c r="AS22" i="20"/>
  <c r="AS12" i="20"/>
  <c r="AS16" i="20"/>
  <c r="AS20" i="20"/>
  <c r="AS24" i="20"/>
  <c r="H35" i="11"/>
  <c r="T33" i="11"/>
  <c r="N6" i="11" s="1"/>
  <c r="P33" i="11"/>
  <c r="S33" i="11" s="1"/>
  <c r="O6" i="11"/>
  <c r="T34" i="11" l="1"/>
  <c r="W34" i="11" s="1"/>
  <c r="Q35" i="11"/>
  <c r="J6" i="11" s="1"/>
  <c r="P34" i="11"/>
  <c r="S34" i="11" s="1"/>
  <c r="V34" i="11" s="1"/>
  <c r="F35" i="11"/>
  <c r="K6" i="11"/>
  <c r="W33" i="11"/>
  <c r="M6" i="11"/>
  <c r="V33" i="11"/>
  <c r="F28" i="15"/>
  <c r="G28" i="15" s="1"/>
  <c r="F27" i="15"/>
  <c r="C30" i="15"/>
  <c r="F29" i="15"/>
  <c r="G29" i="15" s="1"/>
  <c r="AO29" i="17" l="1"/>
  <c r="G31" i="11"/>
  <c r="F13" i="18" s="1"/>
  <c r="I13" i="18" s="1"/>
  <c r="G30" i="11"/>
  <c r="F12" i="18" s="1"/>
  <c r="I12" i="18" s="1"/>
  <c r="T35" i="11"/>
  <c r="W35" i="11" s="1"/>
  <c r="P35" i="11"/>
  <c r="S35" i="11"/>
  <c r="V35" i="11" s="1"/>
  <c r="Q6" i="11"/>
  <c r="P6" i="11"/>
  <c r="F30" i="15"/>
  <c r="E30" i="15" s="1"/>
  <c r="G27" i="15"/>
  <c r="G29" i="11" s="1"/>
  <c r="G30" i="15" l="1"/>
  <c r="F11" i="18"/>
  <c r="I11" i="18" s="1"/>
  <c r="G25" i="11"/>
  <c r="H25" i="11" s="1"/>
  <c r="G27" i="11"/>
  <c r="H27" i="11" s="1"/>
  <c r="F17" i="15"/>
  <c r="G17" i="15" s="1"/>
  <c r="G24" i="11" s="1"/>
  <c r="H24" i="11" s="1"/>
  <c r="F16" i="15"/>
  <c r="G23" i="11" l="1"/>
  <c r="H23" i="11" s="1"/>
  <c r="G16" i="15"/>
  <c r="F22" i="15"/>
  <c r="E22" i="15"/>
  <c r="G26" i="11"/>
  <c r="H26" i="11" s="1"/>
  <c r="G22" i="15" l="1"/>
  <c r="G22" i="11"/>
  <c r="H22" i="11" s="1"/>
  <c r="H28" i="11" l="1"/>
  <c r="J28" i="11" s="1"/>
  <c r="G10" i="18" l="1"/>
  <c r="M10" i="18" s="1"/>
  <c r="D31" i="11" l="1"/>
  <c r="D29" i="11"/>
  <c r="D24" i="11"/>
  <c r="D26" i="11"/>
  <c r="D22" i="11"/>
  <c r="D30" i="11"/>
  <c r="D23" i="11"/>
  <c r="D25" i="11"/>
  <c r="D27" i="11"/>
  <c r="H18" i="11"/>
  <c r="H13" i="11"/>
  <c r="H14" i="11"/>
  <c r="Q7" i="20" l="1"/>
  <c r="Q6" i="20"/>
  <c r="AM6" i="20" s="1"/>
  <c r="Q8" i="20"/>
  <c r="R6" i="20"/>
  <c r="AN6" i="20" s="1"/>
  <c r="R8" i="20"/>
  <c r="R7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T6" i="20"/>
  <c r="T8" i="20"/>
  <c r="T7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S6" i="20"/>
  <c r="S8" i="20"/>
  <c r="S7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J6" i="20"/>
  <c r="AF6" i="20" s="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N6" i="20"/>
  <c r="AJ6" i="20" s="1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AM24" i="17"/>
  <c r="AP24" i="17" s="1"/>
  <c r="U7" i="20"/>
  <c r="U6" i="20"/>
  <c r="AQ6" i="20" s="1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O6" i="20"/>
  <c r="AK6" i="20" s="1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AM23" i="17"/>
  <c r="AP23" i="17" s="1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F6" i="20"/>
  <c r="AB6" i="20" s="1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P7" i="20"/>
  <c r="P6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L7" i="20"/>
  <c r="L6" i="20"/>
  <c r="AH6" i="20" s="1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I6" i="20"/>
  <c r="AE6" i="20" s="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M6" i="20"/>
  <c r="AI6" i="20" s="1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AM25" i="17"/>
  <c r="AP25" i="17" s="1"/>
  <c r="V6" i="20"/>
  <c r="AR6" i="20" s="1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AM18" i="17"/>
  <c r="AP18" i="17" s="1"/>
  <c r="F18" i="11"/>
  <c r="J18" i="11"/>
  <c r="M12" i="11"/>
  <c r="N12" i="11"/>
  <c r="M13" i="11"/>
  <c r="N13" i="11"/>
  <c r="N19" i="11"/>
  <c r="M19" i="11"/>
  <c r="M25" i="11"/>
  <c r="N25" i="11"/>
  <c r="F25" i="11"/>
  <c r="J25" i="11"/>
  <c r="E12" i="18"/>
  <c r="N30" i="11"/>
  <c r="M30" i="11"/>
  <c r="R30" i="11"/>
  <c r="U30" i="11" s="1"/>
  <c r="AN24" i="17" s="1"/>
  <c r="M14" i="11"/>
  <c r="N14" i="11"/>
  <c r="N26" i="11"/>
  <c r="M26" i="11"/>
  <c r="J26" i="11"/>
  <c r="F26" i="11"/>
  <c r="E11" i="18"/>
  <c r="M29" i="11"/>
  <c r="R29" i="11"/>
  <c r="U29" i="11" s="1"/>
  <c r="N29" i="11"/>
  <c r="M17" i="11"/>
  <c r="N17" i="11"/>
  <c r="M27" i="11"/>
  <c r="N27" i="11"/>
  <c r="F27" i="11"/>
  <c r="J27" i="11"/>
  <c r="N23" i="11"/>
  <c r="M23" i="11"/>
  <c r="F23" i="11"/>
  <c r="J23" i="11"/>
  <c r="N18" i="11"/>
  <c r="M18" i="11"/>
  <c r="D28" i="11"/>
  <c r="N22" i="11"/>
  <c r="M22" i="11"/>
  <c r="J22" i="11"/>
  <c r="F22" i="11"/>
  <c r="N24" i="11"/>
  <c r="M24" i="11"/>
  <c r="F24" i="11"/>
  <c r="J24" i="11"/>
  <c r="E13" i="18"/>
  <c r="N31" i="11"/>
  <c r="R31" i="11"/>
  <c r="U31" i="11" s="1"/>
  <c r="AN25" i="17" s="1"/>
  <c r="M31" i="11"/>
  <c r="F13" i="11"/>
  <c r="J14" i="11"/>
  <c r="F14" i="11"/>
  <c r="H19" i="11"/>
  <c r="O32" i="11"/>
  <c r="D32" i="11"/>
  <c r="AP6" i="20" l="1"/>
  <c r="AM9" i="20"/>
  <c r="AN24" i="20"/>
  <c r="AN10" i="20"/>
  <c r="M21" i="11"/>
  <c r="N21" i="11"/>
  <c r="AN16" i="20"/>
  <c r="AN9" i="20"/>
  <c r="AM8" i="20"/>
  <c r="AN20" i="20"/>
  <c r="AN12" i="20"/>
  <c r="AN22" i="20"/>
  <c r="AN14" i="20"/>
  <c r="AN7" i="20"/>
  <c r="AN23" i="20"/>
  <c r="AN15" i="20"/>
  <c r="AN19" i="20"/>
  <c r="AN11" i="20"/>
  <c r="D5" i="11"/>
  <c r="G5" i="11" s="1"/>
  <c r="AN18" i="20"/>
  <c r="AN25" i="20"/>
  <c r="AN17" i="20"/>
  <c r="D4" i="11"/>
  <c r="AN8" i="20"/>
  <c r="AN21" i="20"/>
  <c r="AN13" i="20"/>
  <c r="AM7" i="20"/>
  <c r="AM18" i="20"/>
  <c r="AM10" i="20"/>
  <c r="AL9" i="20"/>
  <c r="AM25" i="20"/>
  <c r="AM17" i="20"/>
  <c r="AL8" i="20"/>
  <c r="AL24" i="20"/>
  <c r="AL16" i="20"/>
  <c r="AM24" i="20"/>
  <c r="AL25" i="20"/>
  <c r="AL17" i="20"/>
  <c r="AM16" i="20"/>
  <c r="AL19" i="20"/>
  <c r="AM19" i="20"/>
  <c r="AM11" i="20"/>
  <c r="AL20" i="20"/>
  <c r="AL12" i="20"/>
  <c r="AM20" i="20"/>
  <c r="AM12" i="20"/>
  <c r="AL11" i="20"/>
  <c r="AL22" i="20"/>
  <c r="AL14" i="20"/>
  <c r="AL7" i="20"/>
  <c r="AL21" i="20"/>
  <c r="AL13" i="20"/>
  <c r="AM21" i="20"/>
  <c r="AM13" i="20"/>
  <c r="AL18" i="20"/>
  <c r="AL10" i="20"/>
  <c r="AL23" i="20"/>
  <c r="AL15" i="20"/>
  <c r="AO6" i="20"/>
  <c r="AL6" i="20"/>
  <c r="AM23" i="20"/>
  <c r="AM15" i="20"/>
  <c r="AM22" i="20"/>
  <c r="AM14" i="20"/>
  <c r="H23" i="20"/>
  <c r="H8" i="20"/>
  <c r="H16" i="20"/>
  <c r="H24" i="20"/>
  <c r="H22" i="20"/>
  <c r="H9" i="20"/>
  <c r="H17" i="20"/>
  <c r="H25" i="20"/>
  <c r="H7" i="20"/>
  <c r="H10" i="20"/>
  <c r="H18" i="20"/>
  <c r="H11" i="20"/>
  <c r="H19" i="20"/>
  <c r="H12" i="20"/>
  <c r="H20" i="20"/>
  <c r="H14" i="20"/>
  <c r="H13" i="20"/>
  <c r="H21" i="20"/>
  <c r="AQ18" i="20"/>
  <c r="AH9" i="20"/>
  <c r="AO17" i="20"/>
  <c r="AB21" i="20"/>
  <c r="AB9" i="20"/>
  <c r="AP17" i="20"/>
  <c r="AK14" i="20"/>
  <c r="AR22" i="20"/>
  <c r="AR10" i="20"/>
  <c r="AI19" i="20"/>
  <c r="AI7" i="20"/>
  <c r="AE23" i="20"/>
  <c r="AE11" i="20"/>
  <c r="AH19" i="20"/>
  <c r="AR16" i="20"/>
  <c r="AI25" i="20"/>
  <c r="AI13" i="20"/>
  <c r="AQ14" i="20"/>
  <c r="AJ23" i="20"/>
  <c r="AJ15" i="20"/>
  <c r="AJ11" i="20"/>
  <c r="AJ21" i="20"/>
  <c r="AJ9" i="20"/>
  <c r="AR14" i="20"/>
  <c r="AI23" i="20"/>
  <c r="AI11" i="20"/>
  <c r="AE15" i="20"/>
  <c r="AH23" i="20"/>
  <c r="AH11" i="20"/>
  <c r="AO19" i="20"/>
  <c r="AB23" i="20"/>
  <c r="AB11" i="20"/>
  <c r="AP19" i="20"/>
  <c r="AP7" i="20"/>
  <c r="AK16" i="20"/>
  <c r="AQ20" i="20"/>
  <c r="AE17" i="20"/>
  <c r="AF23" i="20"/>
  <c r="AO15" i="20"/>
  <c r="AB19" i="20"/>
  <c r="AB7" i="20"/>
  <c r="AP15" i="20"/>
  <c r="AQ8" i="20"/>
  <c r="AR18" i="20"/>
  <c r="AI15" i="20"/>
  <c r="AE19" i="20"/>
  <c r="AE7" i="20"/>
  <c r="AH15" i="20"/>
  <c r="AO23" i="20"/>
  <c r="AO11" i="20"/>
  <c r="AB15" i="20"/>
  <c r="AP23" i="20"/>
  <c r="AP11" i="20"/>
  <c r="AK20" i="20"/>
  <c r="AK8" i="20"/>
  <c r="AQ24" i="20"/>
  <c r="AQ12" i="20"/>
  <c r="AR20" i="20"/>
  <c r="AR8" i="20"/>
  <c r="AI17" i="20"/>
  <c r="AE21" i="20"/>
  <c r="AE9" i="20"/>
  <c r="AH17" i="20"/>
  <c r="AO25" i="20"/>
  <c r="AO13" i="20"/>
  <c r="AB17" i="20"/>
  <c r="AP25" i="20"/>
  <c r="AP13" i="20"/>
  <c r="AK22" i="20"/>
  <c r="AK10" i="20"/>
  <c r="AK24" i="20"/>
  <c r="AO8" i="20"/>
  <c r="AJ17" i="20"/>
  <c r="AK12" i="20"/>
  <c r="AQ16" i="20"/>
  <c r="AJ25" i="20"/>
  <c r="AJ13" i="20"/>
  <c r="AH25" i="20"/>
  <c r="AH13" i="20"/>
  <c r="AO21" i="20"/>
  <c r="AO9" i="20"/>
  <c r="AB25" i="20"/>
  <c r="AB13" i="20"/>
  <c r="AP21" i="20"/>
  <c r="AP9" i="20"/>
  <c r="AK18" i="20"/>
  <c r="AQ22" i="20"/>
  <c r="AQ10" i="20"/>
  <c r="AJ19" i="20"/>
  <c r="AJ7" i="20"/>
  <c r="AF25" i="20"/>
  <c r="AR24" i="20"/>
  <c r="AR12" i="20"/>
  <c r="AI21" i="20"/>
  <c r="AI9" i="20"/>
  <c r="AE25" i="20"/>
  <c r="AE13" i="20"/>
  <c r="AH21" i="20"/>
  <c r="AQ7" i="20"/>
  <c r="AH8" i="20"/>
  <c r="AF21" i="20"/>
  <c r="AF19" i="20"/>
  <c r="AF17" i="20"/>
  <c r="AF15" i="20"/>
  <c r="AF13" i="20"/>
  <c r="AF11" i="20"/>
  <c r="AF9" i="20"/>
  <c r="AF7" i="20"/>
  <c r="O13" i="18"/>
  <c r="C36" i="17"/>
  <c r="AR25" i="20"/>
  <c r="AR23" i="20"/>
  <c r="AR21" i="20"/>
  <c r="AR19" i="20"/>
  <c r="AR17" i="20"/>
  <c r="AR15" i="20"/>
  <c r="AR13" i="20"/>
  <c r="AR11" i="20"/>
  <c r="AR9" i="20"/>
  <c r="AR7" i="20"/>
  <c r="AI24" i="20"/>
  <c r="AI22" i="20"/>
  <c r="AI20" i="20"/>
  <c r="AI18" i="20"/>
  <c r="AI16" i="20"/>
  <c r="AI14" i="20"/>
  <c r="AI12" i="20"/>
  <c r="AI10" i="20"/>
  <c r="AI8" i="20"/>
  <c r="AE24" i="20"/>
  <c r="AE22" i="20"/>
  <c r="AE20" i="20"/>
  <c r="AE18" i="20"/>
  <c r="AE16" i="20"/>
  <c r="AE14" i="20"/>
  <c r="AE12" i="20"/>
  <c r="AE10" i="20"/>
  <c r="AE8" i="20"/>
  <c r="AH24" i="20"/>
  <c r="AH22" i="20"/>
  <c r="AH20" i="20"/>
  <c r="AH18" i="20"/>
  <c r="AH16" i="20"/>
  <c r="AH14" i="20"/>
  <c r="AH12" i="20"/>
  <c r="AH10" i="20"/>
  <c r="AH7" i="20"/>
  <c r="AO24" i="20"/>
  <c r="AO22" i="20"/>
  <c r="AO20" i="20"/>
  <c r="AO18" i="20"/>
  <c r="AO16" i="20"/>
  <c r="AO14" i="20"/>
  <c r="AO12" i="20"/>
  <c r="AO10" i="20"/>
  <c r="AO7" i="20"/>
  <c r="AB24" i="20"/>
  <c r="AB22" i="20"/>
  <c r="AB20" i="20"/>
  <c r="AB18" i="20"/>
  <c r="AB16" i="20"/>
  <c r="AB14" i="20"/>
  <c r="AB12" i="20"/>
  <c r="AB10" i="20"/>
  <c r="AB8" i="20"/>
  <c r="AP24" i="20"/>
  <c r="AP22" i="20"/>
  <c r="AP20" i="20"/>
  <c r="AP18" i="20"/>
  <c r="AP16" i="20"/>
  <c r="AP14" i="20"/>
  <c r="AP12" i="20"/>
  <c r="AP10" i="20"/>
  <c r="AP8" i="20"/>
  <c r="AK25" i="20"/>
  <c r="AK23" i="20"/>
  <c r="AK21" i="20"/>
  <c r="AK19" i="20"/>
  <c r="AK17" i="20"/>
  <c r="AK15" i="20"/>
  <c r="AK13" i="20"/>
  <c r="AK11" i="20"/>
  <c r="AK9" i="20"/>
  <c r="AK7" i="20"/>
  <c r="AQ25" i="20"/>
  <c r="AQ23" i="20"/>
  <c r="AQ21" i="20"/>
  <c r="AQ19" i="20"/>
  <c r="AQ17" i="20"/>
  <c r="AQ15" i="20"/>
  <c r="AQ13" i="20"/>
  <c r="AQ11" i="20"/>
  <c r="AQ9" i="20"/>
  <c r="AJ24" i="20"/>
  <c r="AJ22" i="20"/>
  <c r="AJ20" i="20"/>
  <c r="AJ18" i="20"/>
  <c r="AJ16" i="20"/>
  <c r="AJ14" i="20"/>
  <c r="AJ12" i="20"/>
  <c r="AJ10" i="20"/>
  <c r="AJ8" i="20"/>
  <c r="AF24" i="20"/>
  <c r="AF22" i="20"/>
  <c r="AF20" i="20"/>
  <c r="AF18" i="20"/>
  <c r="AF16" i="20"/>
  <c r="AF14" i="20"/>
  <c r="AF12" i="20"/>
  <c r="AF10" i="20"/>
  <c r="AF8" i="20"/>
  <c r="I5" i="11"/>
  <c r="AM26" i="17"/>
  <c r="AM21" i="17"/>
  <c r="AP21" i="17" s="1"/>
  <c r="AM17" i="17"/>
  <c r="AP17" i="17" s="1"/>
  <c r="R23" i="11"/>
  <c r="U23" i="11" s="1"/>
  <c r="AN17" i="17" s="1"/>
  <c r="AM9" i="17"/>
  <c r="AP9" i="17" s="1"/>
  <c r="R17" i="11"/>
  <c r="U17" i="11" s="1"/>
  <c r="AN9" i="17" s="1"/>
  <c r="R24" i="11"/>
  <c r="U24" i="11" s="1"/>
  <c r="AN18" i="17" s="1"/>
  <c r="R27" i="11"/>
  <c r="U27" i="11" s="1"/>
  <c r="AN21" i="17" s="1"/>
  <c r="J12" i="18"/>
  <c r="G23" i="18" s="1"/>
  <c r="K12" i="18"/>
  <c r="J13" i="18"/>
  <c r="G24" i="18" s="1"/>
  <c r="K13" i="18"/>
  <c r="J11" i="18"/>
  <c r="G22" i="18" s="1"/>
  <c r="K11" i="18"/>
  <c r="E10" i="18"/>
  <c r="F28" i="11"/>
  <c r="AN23" i="17"/>
  <c r="E9" i="18"/>
  <c r="J19" i="11"/>
  <c r="F19" i="11"/>
  <c r="D36" i="11"/>
  <c r="H17" i="11" l="1"/>
  <c r="G9" i="20"/>
  <c r="G17" i="20"/>
  <c r="G25" i="20"/>
  <c r="G8" i="20"/>
  <c r="G10" i="20"/>
  <c r="G18" i="20"/>
  <c r="G23" i="20"/>
  <c r="G16" i="20"/>
  <c r="G11" i="20"/>
  <c r="G19" i="20"/>
  <c r="G21" i="20"/>
  <c r="G12" i="20"/>
  <c r="G20" i="20"/>
  <c r="G7" i="20"/>
  <c r="G24" i="20"/>
  <c r="G13" i="20"/>
  <c r="G6" i="20"/>
  <c r="AC6" i="20" s="1"/>
  <c r="G14" i="20"/>
  <c r="G22" i="20"/>
  <c r="G15" i="20"/>
  <c r="K12" i="20"/>
  <c r="K20" i="20"/>
  <c r="K13" i="20"/>
  <c r="K21" i="20"/>
  <c r="K6" i="20"/>
  <c r="AG6" i="20" s="1"/>
  <c r="K14" i="20"/>
  <c r="K22" i="20"/>
  <c r="K11" i="20"/>
  <c r="K7" i="20"/>
  <c r="K15" i="20"/>
  <c r="K23" i="20"/>
  <c r="K8" i="20"/>
  <c r="K16" i="20"/>
  <c r="K24" i="20"/>
  <c r="K9" i="20"/>
  <c r="K17" i="20"/>
  <c r="K25" i="20"/>
  <c r="K19" i="20"/>
  <c r="K10" i="20"/>
  <c r="K18" i="20"/>
  <c r="H6" i="20"/>
  <c r="AD6" i="20" s="1"/>
  <c r="AD10" i="20"/>
  <c r="AD9" i="20"/>
  <c r="H15" i="20"/>
  <c r="AD16" i="20" s="1"/>
  <c r="AD18" i="20"/>
  <c r="AD23" i="20"/>
  <c r="AD12" i="20"/>
  <c r="AD13" i="20"/>
  <c r="AD21" i="20"/>
  <c r="AD14" i="20"/>
  <c r="AD19" i="20"/>
  <c r="AD8" i="20"/>
  <c r="AD17" i="20"/>
  <c r="AD24" i="20"/>
  <c r="AD25" i="20"/>
  <c r="AD11" i="20"/>
  <c r="AD20" i="20"/>
  <c r="AD22" i="20"/>
  <c r="F17" i="11"/>
  <c r="C30" i="17"/>
  <c r="E7" i="20"/>
  <c r="E8" i="20"/>
  <c r="E10" i="20"/>
  <c r="E12" i="20"/>
  <c r="E14" i="20"/>
  <c r="E16" i="20"/>
  <c r="E18" i="20"/>
  <c r="E20" i="20"/>
  <c r="E22" i="20"/>
  <c r="E24" i="20"/>
  <c r="E6" i="20"/>
  <c r="AA6" i="20" s="1"/>
  <c r="E9" i="20"/>
  <c r="E11" i="20"/>
  <c r="E13" i="20"/>
  <c r="E15" i="20"/>
  <c r="E17" i="20"/>
  <c r="E19" i="20"/>
  <c r="E21" i="20"/>
  <c r="E23" i="20"/>
  <c r="E25" i="20"/>
  <c r="AP26" i="17"/>
  <c r="AM7" i="17"/>
  <c r="AP7" i="17" s="1"/>
  <c r="R13" i="11"/>
  <c r="U13" i="11" s="1"/>
  <c r="AN7" i="17" s="1"/>
  <c r="AM20" i="17"/>
  <c r="AP20" i="17" s="1"/>
  <c r="R26" i="11"/>
  <c r="U26" i="11" s="1"/>
  <c r="AN20" i="17" s="1"/>
  <c r="Q26" i="11"/>
  <c r="AM10" i="17"/>
  <c r="AP10" i="17" s="1"/>
  <c r="R19" i="11"/>
  <c r="U19" i="11" s="1"/>
  <c r="AN10" i="17" s="1"/>
  <c r="AM15" i="17"/>
  <c r="AP15" i="17" s="1"/>
  <c r="AM6" i="17"/>
  <c r="AP6" i="17" s="1"/>
  <c r="R12" i="11"/>
  <c r="Q19" i="11"/>
  <c r="T19" i="11" s="1"/>
  <c r="W19" i="11" s="1"/>
  <c r="AM16" i="17"/>
  <c r="AP16" i="17" s="1"/>
  <c r="R22" i="11"/>
  <c r="U22" i="11" s="1"/>
  <c r="AN16" i="17" s="1"/>
  <c r="AM19" i="17"/>
  <c r="AP19" i="17" s="1"/>
  <c r="R25" i="11"/>
  <c r="U25" i="11" s="1"/>
  <c r="AN19" i="17" s="1"/>
  <c r="Q25" i="11"/>
  <c r="AM14" i="17"/>
  <c r="AP14" i="17" s="1"/>
  <c r="R18" i="11"/>
  <c r="U18" i="11" s="1"/>
  <c r="AN14" i="17" s="1"/>
  <c r="AM8" i="17"/>
  <c r="AP8" i="17" s="1"/>
  <c r="R14" i="11"/>
  <c r="U14" i="11" s="1"/>
  <c r="AN8" i="17" s="1"/>
  <c r="Q18" i="11"/>
  <c r="E16" i="18"/>
  <c r="K9" i="18"/>
  <c r="H10" i="18"/>
  <c r="K10" i="18"/>
  <c r="H12" i="11"/>
  <c r="H5" i="11"/>
  <c r="N32" i="11"/>
  <c r="M32" i="11"/>
  <c r="R32" i="11"/>
  <c r="U32" i="11" s="1"/>
  <c r="AN26" i="17" s="1"/>
  <c r="G30" i="17" l="1"/>
  <c r="G60" i="17" s="1"/>
  <c r="C4" i="17"/>
  <c r="C34" i="17" s="1"/>
  <c r="J12" i="11"/>
  <c r="H21" i="11"/>
  <c r="R21" i="11"/>
  <c r="U21" i="11" s="1"/>
  <c r="AN15" i="17" s="1"/>
  <c r="AC22" i="20"/>
  <c r="J17" i="11"/>
  <c r="AC17" i="20"/>
  <c r="AG9" i="20"/>
  <c r="AG22" i="20"/>
  <c r="AG13" i="20"/>
  <c r="AC24" i="20"/>
  <c r="AC10" i="20"/>
  <c r="AC12" i="20"/>
  <c r="AC14" i="20"/>
  <c r="AG17" i="20"/>
  <c r="AC19" i="20"/>
  <c r="AC7" i="20"/>
  <c r="AC21" i="20"/>
  <c r="AC25" i="20"/>
  <c r="AC13" i="20"/>
  <c r="AG10" i="20"/>
  <c r="AC23" i="20"/>
  <c r="AC20" i="20"/>
  <c r="AG23" i="20"/>
  <c r="AG15" i="20"/>
  <c r="AC18" i="20"/>
  <c r="AC15" i="20"/>
  <c r="AC8" i="20"/>
  <c r="AG16" i="20"/>
  <c r="AC11" i="20"/>
  <c r="AC9" i="20"/>
  <c r="AG24" i="20"/>
  <c r="AG14" i="20"/>
  <c r="AG8" i="20"/>
  <c r="AG21" i="20"/>
  <c r="AC16" i="20"/>
  <c r="AG11" i="20"/>
  <c r="AG18" i="20"/>
  <c r="AG19" i="20"/>
  <c r="AG20" i="20"/>
  <c r="AG25" i="20"/>
  <c r="AG7" i="20"/>
  <c r="AG12" i="20"/>
  <c r="AD15" i="20"/>
  <c r="AD7" i="20"/>
  <c r="K30" i="17"/>
  <c r="AE30" i="17"/>
  <c r="O30" i="17"/>
  <c r="W30" i="17"/>
  <c r="W60" i="17" s="1"/>
  <c r="C60" i="17"/>
  <c r="AA30" i="17"/>
  <c r="S30" i="17"/>
  <c r="AA11" i="20"/>
  <c r="AA13" i="20"/>
  <c r="AA17" i="20"/>
  <c r="AA21" i="20"/>
  <c r="AA19" i="20"/>
  <c r="AA23" i="20"/>
  <c r="AA15" i="20"/>
  <c r="AA25" i="20"/>
  <c r="AA9" i="20"/>
  <c r="AA8" i="20"/>
  <c r="AA24" i="20"/>
  <c r="AA20" i="20"/>
  <c r="AA16" i="20"/>
  <c r="AA12" i="20"/>
  <c r="AA22" i="20"/>
  <c r="AA18" i="20"/>
  <c r="AA14" i="20"/>
  <c r="AA10" i="20"/>
  <c r="AA7" i="20"/>
  <c r="P19" i="11"/>
  <c r="S19" i="11" s="1"/>
  <c r="V19" i="11" s="1"/>
  <c r="AO10" i="17"/>
  <c r="P25" i="11"/>
  <c r="S25" i="11" s="1"/>
  <c r="V25" i="11" s="1"/>
  <c r="T25" i="11"/>
  <c r="W25" i="11" s="1"/>
  <c r="AO19" i="17"/>
  <c r="U12" i="11"/>
  <c r="AN6" i="17" s="1"/>
  <c r="K16" i="18"/>
  <c r="M16" i="18" s="1"/>
  <c r="AO14" i="17"/>
  <c r="T18" i="11"/>
  <c r="W18" i="11" s="1"/>
  <c r="P18" i="11"/>
  <c r="S18" i="11" s="1"/>
  <c r="V18" i="11" s="1"/>
  <c r="T26" i="11"/>
  <c r="W26" i="11" s="1"/>
  <c r="P26" i="11"/>
  <c r="S26" i="11" s="1"/>
  <c r="V26" i="11" s="1"/>
  <c r="AO20" i="17"/>
  <c r="F12" i="11"/>
  <c r="Q12" i="11"/>
  <c r="O5" i="11"/>
  <c r="L5" i="11"/>
  <c r="O28" i="11"/>
  <c r="AM22" i="17" s="1"/>
  <c r="M28" i="11"/>
  <c r="G28" i="11"/>
  <c r="F10" i="18" s="1"/>
  <c r="AE60" i="17" l="1"/>
  <c r="AD4" i="17"/>
  <c r="AD34" i="17" s="1"/>
  <c r="K60" i="17"/>
  <c r="J4" i="17"/>
  <c r="J34" i="17" s="1"/>
  <c r="R4" i="17"/>
  <c r="R34" i="17" s="1"/>
  <c r="S60" i="17"/>
  <c r="AA60" i="17"/>
  <c r="Z4" i="17"/>
  <c r="Z34" i="17" s="1"/>
  <c r="V4" i="17"/>
  <c r="V34" i="17" s="1"/>
  <c r="O60" i="17"/>
  <c r="N4" i="17"/>
  <c r="N34" i="17" s="1"/>
  <c r="D36" i="17"/>
  <c r="F21" i="11"/>
  <c r="AP22" i="17"/>
  <c r="AM30" i="17"/>
  <c r="P12" i="11"/>
  <c r="T12" i="11"/>
  <c r="AO6" i="17"/>
  <c r="I10" i="18"/>
  <c r="J10" i="18"/>
  <c r="G21" i="18" s="1"/>
  <c r="I4" i="11"/>
  <c r="O36" i="11"/>
  <c r="H4" i="11"/>
  <c r="R28" i="11"/>
  <c r="U28" i="11" s="1"/>
  <c r="AN22" i="17" s="1"/>
  <c r="N28" i="11"/>
  <c r="N36" i="11" s="1"/>
  <c r="Q27" i="11"/>
  <c r="W12" i="11" l="1"/>
  <c r="S12" i="11"/>
  <c r="V12" i="11" s="1"/>
  <c r="T27" i="11"/>
  <c r="W27" i="11" s="1"/>
  <c r="AO21" i="17"/>
  <c r="G4" i="11"/>
  <c r="D7" i="11"/>
  <c r="O4" i="11"/>
  <c r="L4" i="11"/>
  <c r="P27" i="11"/>
  <c r="S27" i="11" s="1"/>
  <c r="V27" i="11" s="1"/>
  <c r="M36" i="11" l="1"/>
  <c r="Q17" i="11" l="1"/>
  <c r="AO9" i="17" s="1"/>
  <c r="P17" i="11" l="1"/>
  <c r="S17" i="11" s="1"/>
  <c r="V17" i="11" s="1"/>
  <c r="T17" i="11"/>
  <c r="W17" i="11" s="1"/>
  <c r="R36" i="11"/>
  <c r="U36" i="11" s="1"/>
  <c r="I3" i="11"/>
  <c r="I7" i="11" s="1"/>
  <c r="Q14" i="11"/>
  <c r="AO8" i="17" s="1"/>
  <c r="P14" i="11" l="1"/>
  <c r="S14" i="11" s="1"/>
  <c r="V14" i="11" s="1"/>
  <c r="T14" i="11"/>
  <c r="W14" i="11" s="1"/>
  <c r="H3" i="11"/>
  <c r="G3" i="11"/>
  <c r="O3" i="11"/>
  <c r="L3" i="11"/>
  <c r="L7" i="11" s="1"/>
  <c r="O7" i="11" l="1"/>
  <c r="G7" i="11"/>
  <c r="H7" i="11"/>
  <c r="G19" i="5" l="1"/>
  <c r="G20" i="5" s="1"/>
  <c r="F19" i="5"/>
  <c r="F20" i="5" s="1"/>
  <c r="E19" i="5"/>
  <c r="E20" i="5" s="1"/>
  <c r="D20" i="5"/>
  <c r="D19" i="5"/>
  <c r="E17" i="5"/>
  <c r="F17" i="5"/>
  <c r="G17" i="5"/>
  <c r="D17" i="5"/>
  <c r="G16" i="5"/>
  <c r="F16" i="5"/>
  <c r="E16" i="5"/>
  <c r="D16" i="5"/>
  <c r="G14" i="5"/>
  <c r="F14" i="5"/>
  <c r="E14" i="5"/>
  <c r="D14" i="5"/>
  <c r="F4" i="5" l="1"/>
  <c r="Q22" i="11" l="1"/>
  <c r="Q24" i="11"/>
  <c r="T22" i="11" l="1"/>
  <c r="W22" i="11" s="1"/>
  <c r="AO16" i="17"/>
  <c r="T24" i="11"/>
  <c r="W24" i="11" s="1"/>
  <c r="AO18" i="17"/>
  <c r="Q23" i="11"/>
  <c r="AO17" i="17" s="1"/>
  <c r="P22" i="11"/>
  <c r="S22" i="11" s="1"/>
  <c r="V22" i="11" s="1"/>
  <c r="P24" i="11"/>
  <c r="S24" i="11" s="1"/>
  <c r="V24" i="11" s="1"/>
  <c r="P23" i="11" l="1"/>
  <c r="S23" i="11" s="1"/>
  <c r="V23" i="11" s="1"/>
  <c r="T23" i="11"/>
  <c r="W23" i="11" s="1"/>
  <c r="Q28" i="11"/>
  <c r="AO22" i="17" s="1"/>
  <c r="P28" i="11" l="1"/>
  <c r="K4" i="11" s="1"/>
  <c r="J4" i="11"/>
  <c r="T28" i="11"/>
  <c r="W28" i="11" s="1"/>
  <c r="S28" i="11" l="1"/>
  <c r="V28" i="11" s="1"/>
  <c r="Q4" i="11"/>
  <c r="N4" i="11"/>
  <c r="P4" i="11" l="1"/>
  <c r="M4" i="11"/>
  <c r="E12" i="15"/>
  <c r="F9" i="18" l="1"/>
  <c r="J13" i="11"/>
  <c r="Q13" i="11" s="1"/>
  <c r="Q21" i="11" l="1"/>
  <c r="AO15" i="17" s="1"/>
  <c r="I9" i="18"/>
  <c r="I16" i="18" s="1"/>
  <c r="F16" i="18"/>
  <c r="J16" i="18" s="1"/>
  <c r="J9" i="18"/>
  <c r="G25" i="18" s="1"/>
  <c r="G9" i="18"/>
  <c r="T13" i="11"/>
  <c r="T21" i="11" s="1"/>
  <c r="AO7" i="17"/>
  <c r="P13" i="11"/>
  <c r="P21" i="11" s="1"/>
  <c r="M9" i="18" l="1"/>
  <c r="J3" i="11"/>
  <c r="S13" i="11"/>
  <c r="S21" i="11"/>
  <c r="V21" i="11" s="1"/>
  <c r="W13" i="11"/>
  <c r="W21" i="11"/>
  <c r="H9" i="18"/>
  <c r="V13" i="11" l="1"/>
  <c r="Q3" i="11"/>
  <c r="N3" i="11"/>
  <c r="K3" i="11"/>
  <c r="P3" i="11" l="1"/>
  <c r="M3" i="11"/>
  <c r="H29" i="11" l="1"/>
  <c r="J29" i="11" l="1"/>
  <c r="Q29" i="11" s="1"/>
  <c r="AO23" i="17" s="1"/>
  <c r="G11" i="18"/>
  <c r="F29" i="11"/>
  <c r="M11" i="18" l="1"/>
  <c r="T29" i="11"/>
  <c r="W29" i="11" s="1"/>
  <c r="P29" i="11"/>
  <c r="S29" i="11" s="1"/>
  <c r="H11" i="18"/>
  <c r="V29" i="11" l="1"/>
  <c r="G32" i="11"/>
  <c r="H30" i="11"/>
  <c r="H31" i="11"/>
  <c r="F31" i="11" l="1"/>
  <c r="G13" i="18"/>
  <c r="G12" i="18"/>
  <c r="H32" i="11"/>
  <c r="F30" i="11"/>
  <c r="J31" i="11"/>
  <c r="Q31" i="11" s="1"/>
  <c r="AO25" i="17" s="1"/>
  <c r="J30" i="11"/>
  <c r="Q30" i="11" s="1"/>
  <c r="AO24" i="17" s="1"/>
  <c r="G36" i="11"/>
  <c r="M12" i="18" l="1"/>
  <c r="H16" i="18"/>
  <c r="F32" i="11"/>
  <c r="H13" i="18"/>
  <c r="M13" i="18"/>
  <c r="H36" i="11"/>
  <c r="H12" i="18"/>
  <c r="G16" i="18"/>
  <c r="T31" i="11"/>
  <c r="W31" i="11" s="1"/>
  <c r="P31" i="11"/>
  <c r="S31" i="11" s="1"/>
  <c r="V31" i="11" s="1"/>
  <c r="Q32" i="11"/>
  <c r="AO26" i="17" s="1"/>
  <c r="P30" i="11"/>
  <c r="T30" i="11"/>
  <c r="D30" i="17" l="1"/>
  <c r="F36" i="11"/>
  <c r="P32" i="11"/>
  <c r="S30" i="11"/>
  <c r="T32" i="11"/>
  <c r="W32" i="11" s="1"/>
  <c r="W30" i="11"/>
  <c r="J5" i="11"/>
  <c r="J7" i="11" s="1"/>
  <c r="Q36" i="11"/>
  <c r="D31" i="17" l="1"/>
  <c r="H32" i="17"/>
  <c r="F8" i="19"/>
  <c r="D60" i="17"/>
  <c r="J10" i="19"/>
  <c r="J9" i="19"/>
  <c r="J8" i="19"/>
  <c r="I10" i="19"/>
  <c r="I9" i="19"/>
  <c r="I8" i="19"/>
  <c r="Q5" i="11"/>
  <c r="S32" i="11"/>
  <c r="V32" i="11" s="1"/>
  <c r="V30" i="11"/>
  <c r="N5" i="11"/>
  <c r="N7" i="11" s="1"/>
  <c r="T36" i="11"/>
  <c r="W36" i="11" s="1"/>
  <c r="Q7" i="11" s="1"/>
  <c r="K5" i="11"/>
  <c r="K7" i="11" s="1"/>
  <c r="P36" i="11"/>
  <c r="H62" i="17" l="1"/>
  <c r="P62" i="17"/>
  <c r="C62" i="17"/>
  <c r="C61" i="17" s="1"/>
  <c r="AF62" i="17"/>
  <c r="AF63" i="17" s="1"/>
  <c r="T62" i="17"/>
  <c r="X62" i="17"/>
  <c r="L62" i="17"/>
  <c r="AB62" i="17"/>
  <c r="AB63" i="17" s="1"/>
  <c r="M5" i="11"/>
  <c r="M7" i="11" s="1"/>
  <c r="S36" i="11"/>
  <c r="V36" i="11" s="1"/>
  <c r="P7" i="11" s="1"/>
  <c r="P5" i="11"/>
  <c r="H63" i="17" l="1"/>
  <c r="H61" i="17"/>
  <c r="X63" i="17"/>
  <c r="X61" i="17"/>
  <c r="T63" i="17"/>
  <c r="T61" i="17"/>
  <c r="P63" i="17"/>
  <c r="P61" i="17"/>
  <c r="L63" i="17"/>
  <c r="L6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Bealer, Blythe E</author>
  </authors>
  <commentList>
    <comment ref="F1" authorId="0" shapeId="0" xr:uid="{2700B0A8-3B96-4FC8-ACA4-7BAA9BD1261B}">
      <text>
        <r>
          <rPr>
            <b/>
            <sz val="9"/>
            <color indexed="81"/>
            <rFont val="Tahoma"/>
            <family val="2"/>
          </rPr>
          <t>Bealer, Blythe E:</t>
        </r>
        <r>
          <rPr>
            <sz val="9"/>
            <color indexed="81"/>
            <rFont val="Tahoma"/>
            <family val="2"/>
          </rPr>
          <t xml:space="preserve">
HepA</t>
        </r>
      </text>
    </comment>
    <comment ref="A4" authorId="0" shapeId="0" xr:uid="{3633DCFB-C79D-4B43-BC46-E2527A8292FF}">
      <text>
        <r>
          <rPr>
            <b/>
            <sz val="9"/>
            <color indexed="81"/>
            <rFont val="Tahoma"/>
            <family val="2"/>
          </rPr>
          <t>Bealer, Blythe E:</t>
        </r>
        <r>
          <rPr>
            <sz val="9"/>
            <color indexed="81"/>
            <rFont val="Tahoma"/>
            <family val="2"/>
          </rPr>
          <t xml:space="preserve">
$200K long for Proquad - added in here</t>
        </r>
      </text>
    </comment>
  </commentList>
</comments>
</file>

<file path=xl/sharedStrings.xml><?xml version="1.0" encoding="utf-8"?>
<sst xmlns="http://schemas.openxmlformats.org/spreadsheetml/2006/main" count="413" uniqueCount="193">
  <si>
    <t>Short Form Messaging</t>
  </si>
  <si>
    <t>Long Form</t>
  </si>
  <si>
    <t>Programmatic</t>
  </si>
  <si>
    <t>In Office</t>
  </si>
  <si>
    <t>Paid Search</t>
  </si>
  <si>
    <t>Notes</t>
  </si>
  <si>
    <t>Doximity</t>
  </si>
  <si>
    <t>Medscape</t>
  </si>
  <si>
    <t>MNG</t>
  </si>
  <si>
    <t>ReachMD</t>
  </si>
  <si>
    <t>Deep Intent</t>
  </si>
  <si>
    <t>Patient Point</t>
  </si>
  <si>
    <t>PSL Group (Numedis)</t>
  </si>
  <si>
    <t>Total</t>
  </si>
  <si>
    <t>Programmatic Banners</t>
  </si>
  <si>
    <t>TI Health</t>
  </si>
  <si>
    <t>Epocrates</t>
  </si>
  <si>
    <t>PDQ</t>
  </si>
  <si>
    <t>Alert Marketing</t>
  </si>
  <si>
    <t>Product</t>
  </si>
  <si>
    <t>Vendor</t>
  </si>
  <si>
    <t>Rotateq</t>
  </si>
  <si>
    <t>EDH</t>
  </si>
  <si>
    <t>SFMC</t>
  </si>
  <si>
    <t>Proquad</t>
  </si>
  <si>
    <t>Pretax ROI</t>
  </si>
  <si>
    <t>Type</t>
  </si>
  <si>
    <t>Rotq-ROI</t>
  </si>
  <si>
    <t>Proq-ROI</t>
  </si>
  <si>
    <t>Other Measurements</t>
  </si>
  <si>
    <t>Spend</t>
  </si>
  <si>
    <t>no read</t>
  </si>
  <si>
    <t>Channel</t>
  </si>
  <si>
    <t>Alert</t>
  </si>
  <si>
    <t>Alert/Email</t>
  </si>
  <si>
    <t>Edetail</t>
  </si>
  <si>
    <t>Banner</t>
  </si>
  <si>
    <t>In-Office</t>
  </si>
  <si>
    <t>Rotq 21 Spend</t>
  </si>
  <si>
    <t>Proq 21 Spend</t>
  </si>
  <si>
    <t>VaqPed 21 Spend</t>
  </si>
  <si>
    <t>VaqAdt 21 Spend</t>
  </si>
  <si>
    <t>Total Spend</t>
  </si>
  <si>
    <t>Measured Chnls</t>
  </si>
  <si>
    <t>Non-measured Chnls</t>
  </si>
  <si>
    <t>Vaq-ROI</t>
  </si>
  <si>
    <t>Program</t>
  </si>
  <si>
    <t>Pre-tax Spend</t>
  </si>
  <si>
    <t>Constraints</t>
  </si>
  <si>
    <t>Min</t>
  </si>
  <si>
    <t>Max</t>
  </si>
  <si>
    <t>Optimal Allocation</t>
  </si>
  <si>
    <t>Incr. Revenue</t>
  </si>
  <si>
    <t>Percentage Change from Current</t>
  </si>
  <si>
    <t>Global Constraints</t>
  </si>
  <si>
    <t>Min Budget</t>
  </si>
  <si>
    <t>Max Budget</t>
  </si>
  <si>
    <t>PatientPoint</t>
  </si>
  <si>
    <t>A in Y=A*x**p</t>
  </si>
  <si>
    <t>Spend ($)</t>
  </si>
  <si>
    <t>Incr. Rev. ($)</t>
  </si>
  <si>
    <t>Spend %</t>
  </si>
  <si>
    <t>Incr. Rev %</t>
  </si>
  <si>
    <t>Brand level constraints -&gt;</t>
  </si>
  <si>
    <t>Optimal Spend</t>
  </si>
  <si>
    <t>Opt. Incr. Rev.</t>
  </si>
  <si>
    <t>HCC</t>
  </si>
  <si>
    <t>Display</t>
  </si>
  <si>
    <t>power (p)</t>
  </si>
  <si>
    <t>HCP</t>
  </si>
  <si>
    <t>2022 Budget</t>
  </si>
  <si>
    <t>Response Scaling Factor</t>
  </si>
  <si>
    <t>Verquo</t>
  </si>
  <si>
    <t>Incr. NRx</t>
  </si>
  <si>
    <t>Min %</t>
  </si>
  <si>
    <t>Max %</t>
  </si>
  <si>
    <t>Incr. NRx (Volume)</t>
  </si>
  <si>
    <t>Incr. NRx %</t>
  </si>
  <si>
    <t>Estimated 3-year Incr. Revenue</t>
  </si>
  <si>
    <t>MEDSCAPE</t>
  </si>
  <si>
    <t>Opt.  NRx</t>
  </si>
  <si>
    <t>Delta</t>
  </si>
  <si>
    <t xml:space="preserve">Incr. NRx </t>
  </si>
  <si>
    <t>HCP Channels with non-significant and/or negligible Rx impact.</t>
  </si>
  <si>
    <t>DGConnect</t>
  </si>
  <si>
    <t>2022 Spend ($K)</t>
  </si>
  <si>
    <t>Measurement Period ($K)</t>
  </si>
  <si>
    <t>HCP Channels not relevant for spend reductions</t>
  </si>
  <si>
    <t>HQ Email</t>
  </si>
  <si>
    <t>Field Email</t>
  </si>
  <si>
    <t>Directionally Positive impact is possible for Deep Intent</t>
  </si>
  <si>
    <t>Include In Optimization (0=no, 1=yes)</t>
  </si>
  <si>
    <t>POC</t>
  </si>
  <si>
    <t>Physician's Weekly</t>
  </si>
  <si>
    <t>Health Monitor</t>
  </si>
  <si>
    <t>POC Channels with ROI not reported yet</t>
  </si>
  <si>
    <t>Varying Measurement Period ($K)</t>
  </si>
  <si>
    <t>Cover Wrap</t>
  </si>
  <si>
    <t>Remedy Health</t>
  </si>
  <si>
    <t>Mesmerize</t>
  </si>
  <si>
    <t>Reserve</t>
  </si>
  <si>
    <t xml:space="preserve">Social </t>
  </si>
  <si>
    <t>Grand</t>
  </si>
  <si>
    <t>Peer Direct</t>
  </si>
  <si>
    <t>Doctors Channel</t>
  </si>
  <si>
    <t>Trend MD</t>
  </si>
  <si>
    <t>Pre-tax cost</t>
  </si>
  <si>
    <t>Pre-tax ROI</t>
  </si>
  <si>
    <t>Pre-tax Revenue/Return</t>
  </si>
  <si>
    <t># Incr. NRxs</t>
  </si>
  <si>
    <t>Measurement Time Period</t>
  </si>
  <si>
    <t>Comments</t>
  </si>
  <si>
    <t>Pre-tax Revenue</t>
  </si>
  <si>
    <t>Samples</t>
  </si>
  <si>
    <t>Vouchers</t>
  </si>
  <si>
    <t>NPV</t>
  </si>
  <si>
    <t>% Contribution</t>
  </si>
  <si>
    <t xml:space="preserve">PP HCP </t>
  </si>
  <si>
    <t>PP HCP</t>
  </si>
  <si>
    <t>InScope Promotion</t>
  </si>
  <si>
    <t>Expected pre-tax NPV($MM)</t>
  </si>
  <si>
    <t>Pre Tax NPV</t>
  </si>
  <si>
    <t>Pre tax ROI</t>
  </si>
  <si>
    <t>% Change from current</t>
  </si>
  <si>
    <t>Expected pre-tax NPV (MM)</t>
  </si>
  <si>
    <t>Total InScope Budget</t>
  </si>
  <si>
    <t>Pre-tax Spend (MM)</t>
  </si>
  <si>
    <t>Expected pre-tax Rev(MM)</t>
  </si>
  <si>
    <t>Optimal channel spend varies based on custom restraints</t>
  </si>
  <si>
    <t>Δ Pre-tax Revenue 
(compared to Current Baseline)</t>
  </si>
  <si>
    <t>Estimated % Contribution</t>
  </si>
  <si>
    <t>Promotion Efficiency ($Spend/Incr. NRx)</t>
  </si>
  <si>
    <t>VERQUVO</t>
  </si>
  <si>
    <t>HCP MCM</t>
  </si>
  <si>
    <t>HCC In Office</t>
  </si>
  <si>
    <t>HCC Display</t>
  </si>
  <si>
    <t>HCC Paid Search</t>
  </si>
  <si>
    <t>HCC Social</t>
  </si>
  <si>
    <t>TOTAL</t>
  </si>
  <si>
    <t>Promotion Efficiency</t>
  </si>
  <si>
    <t>Budget</t>
  </si>
  <si>
    <t>% Change</t>
  </si>
  <si>
    <r>
      <t>Change in budget (</t>
    </r>
    <r>
      <rPr>
        <b/>
        <sz val="11"/>
        <color rgb="FFFF0000"/>
        <rFont val="Calibri"/>
        <family val="2"/>
        <scheme val="minor"/>
      </rPr>
      <t>relative to base</t>
    </r>
    <r>
      <rPr>
        <b/>
        <sz val="11"/>
        <color theme="1"/>
        <rFont val="Calibri"/>
        <family val="2"/>
        <scheme val="minor"/>
      </rPr>
      <t>)</t>
    </r>
  </si>
  <si>
    <t>POST NPV</t>
  </si>
  <si>
    <t>PRE NPV</t>
  </si>
  <si>
    <t>$5.20 (19%)</t>
  </si>
  <si>
    <t>-20% to +40%</t>
  </si>
  <si>
    <t>Revenue Calculated of Hist.Spend + $100k</t>
  </si>
  <si>
    <t>MROI</t>
  </si>
  <si>
    <t xml:space="preserve">incr vs spend </t>
  </si>
  <si>
    <t>x</t>
  </si>
  <si>
    <t>Axis Configuration for Plotting</t>
  </si>
  <si>
    <t>Xaxis MIN</t>
  </si>
  <si>
    <t>Xaxis Max</t>
  </si>
  <si>
    <t>Intervals</t>
  </si>
  <si>
    <t>POC Total</t>
  </si>
  <si>
    <t>HCC Total</t>
  </si>
  <si>
    <t>PP HCP Total</t>
  </si>
  <si>
    <t>$2.94(-15%)</t>
  </si>
  <si>
    <t>HCP MCM Total</t>
  </si>
  <si>
    <t>jan-dec22</t>
  </si>
  <si>
    <t>MMF</t>
  </si>
  <si>
    <t>Current 2023</t>
  </si>
  <si>
    <t>Current Year Pre-tax cost</t>
  </si>
  <si>
    <t>HCP VENDORS</t>
  </si>
  <si>
    <t>HCC POC VENDORS</t>
  </si>
  <si>
    <t>HCC CHANNELS</t>
  </si>
  <si>
    <t>HCP MMF</t>
  </si>
  <si>
    <t>DEEPINTENT</t>
  </si>
  <si>
    <t>DG CONNECT</t>
  </si>
  <si>
    <t>DOXIMITY</t>
  </si>
  <si>
    <t>TRENDMD</t>
  </si>
  <si>
    <t>PHYSICIANS WEEKLY</t>
  </si>
  <si>
    <t>Phys Weekly</t>
  </si>
  <si>
    <t>Coverwrap</t>
  </si>
  <si>
    <t>TMH</t>
  </si>
  <si>
    <t>Current NPV</t>
  </si>
  <si>
    <t>PatientPoint HCP</t>
  </si>
  <si>
    <t>from mmx</t>
  </si>
  <si>
    <t>check w/sarath</t>
  </si>
  <si>
    <t>NPA 2022</t>
  </si>
  <si>
    <t>2023 Spend ($MM)</t>
  </si>
  <si>
    <t>2023 Estimated Incr. NRx</t>
  </si>
  <si>
    <t>2023 Estimated Pre-tax ROI</t>
  </si>
  <si>
    <r>
      <t xml:space="preserve">Total </t>
    </r>
    <r>
      <rPr>
        <b/>
        <sz val="10"/>
        <color rgb="FF0000FF"/>
        <rFont val="Arial Narrow"/>
        <family val="2"/>
      </rPr>
      <t>NPA</t>
    </r>
    <r>
      <rPr>
        <b/>
        <sz val="10"/>
        <color theme="1"/>
        <rFont val="Arial Narrow"/>
        <family val="2"/>
      </rPr>
      <t xml:space="preserve"> NRx in 2022</t>
    </r>
  </si>
  <si>
    <t>Current 2023 Baseline</t>
  </si>
  <si>
    <t>Optimal Revenue within Custom channel spend constraints</t>
  </si>
  <si>
    <t>ROI Excluding Samp/Vouchers</t>
  </si>
  <si>
    <t>Total HCP</t>
  </si>
  <si>
    <t>Total POC</t>
  </si>
  <si>
    <t>Total HCC</t>
  </si>
  <si>
    <t>Total PP HCP</t>
  </si>
  <si>
    <t>2023 Estimated Pre-Tax Revenue($MM)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</si>
</sst>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"/>
    <numFmt numFmtId="167" formatCode="_(&quot;$&quot;* #,##0_);_(&quot;$&quot;* \(#,##0\);_(&quot;$&quot;* &quot;-&quot;??_);_(@_)"/>
    <numFmt numFmtId="168" formatCode="_(* #,##0.0_);_(* \(#,##0.0\);_(* &quot;-&quot;??_);_(@_)"/>
    <numFmt numFmtId="169" formatCode="&quot;$&quot;#.0,"/>
    <numFmt numFmtId="170" formatCode="&quot;$&quot;#.0000,"/>
    <numFmt numFmtId="171" formatCode="\$#,###,###"/>
    <numFmt numFmtId="172" formatCode="\$###,###"/>
    <numFmt numFmtId="173" formatCode="0.0%"/>
    <numFmt numFmtId="174" formatCode="&quot;$&quot;#,##0.00"/>
    <numFmt numFmtId="175" formatCode="0.0_);\(0.0\)"/>
    <numFmt numFmtId="176" formatCode="&quot;$&quot;#,##0.0"/>
    <numFmt numFmtId="177" formatCode="#,##0.0_);\(#,##0.0\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rgb="FF0000FF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1"/>
      <color rgb="FF7030A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2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/>
    </xf>
    <xf numFmtId="166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6" fontId="0" fillId="0" borderId="1" xfId="0" applyNumberFormat="1" applyBorder="1"/>
    <xf numFmtId="164" fontId="0" fillId="0" borderId="0" xfId="0" applyNumberFormat="1" applyFill="1"/>
    <xf numFmtId="0" fontId="4" fillId="2" borderId="0" xfId="0" applyFont="1" applyFill="1" applyBorder="1" applyAlignment="1">
      <alignment horizontal="center" vertical="center"/>
    </xf>
    <xf numFmtId="9" fontId="0" fillId="0" borderId="0" xfId="3" applyFont="1" applyFill="1"/>
    <xf numFmtId="9" fontId="0" fillId="0" borderId="0" xfId="0" applyNumberFormat="1"/>
    <xf numFmtId="0" fontId="0" fillId="7" borderId="0" xfId="0" applyFill="1"/>
    <xf numFmtId="0" fontId="2" fillId="9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67" fontId="0" fillId="0" borderId="0" xfId="1" applyNumberFormat="1" applyFont="1"/>
    <xf numFmtId="10" fontId="0" fillId="0" borderId="0" xfId="0" applyNumberFormat="1"/>
    <xf numFmtId="167" fontId="0" fillId="0" borderId="1" xfId="1" applyNumberFormat="1" applyFont="1" applyBorder="1"/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" fillId="0" borderId="0" xfId="1" applyNumberFormat="1" applyFont="1"/>
    <xf numFmtId="168" fontId="0" fillId="0" borderId="0" xfId="2" applyNumberFormat="1" applyFont="1"/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0" fillId="0" borderId="0" xfId="0" applyFont="1"/>
    <xf numFmtId="9" fontId="0" fillId="0" borderId="1" xfId="3" applyFont="1" applyBorder="1"/>
    <xf numFmtId="0" fontId="2" fillId="11" borderId="1" xfId="0" applyFont="1" applyFill="1" applyBorder="1" applyAlignment="1">
      <alignment horizontal="center" vertical="center" wrapText="1"/>
    </xf>
    <xf numFmtId="165" fontId="0" fillId="0" borderId="1" xfId="2" applyNumberFormat="1" applyFont="1" applyBorder="1"/>
    <xf numFmtId="167" fontId="0" fillId="0" borderId="1" xfId="0" applyNumberFormat="1" applyBorder="1"/>
    <xf numFmtId="0" fontId="2" fillId="12" borderId="1" xfId="0" applyFont="1" applyFill="1" applyBorder="1" applyAlignment="1">
      <alignment horizontal="center" vertical="center" wrapText="1"/>
    </xf>
    <xf numFmtId="169" fontId="12" fillId="0" borderId="1" xfId="0" applyNumberFormat="1" applyFont="1" applyBorder="1"/>
    <xf numFmtId="169" fontId="0" fillId="0" borderId="1" xfId="0" applyNumberFormat="1" applyBorder="1"/>
    <xf numFmtId="0" fontId="0" fillId="12" borderId="1" xfId="0" applyFill="1" applyBorder="1" applyAlignment="1">
      <alignment wrapText="1"/>
    </xf>
    <xf numFmtId="169" fontId="13" fillId="0" borderId="1" xfId="0" applyNumberFormat="1" applyFont="1" applyBorder="1"/>
    <xf numFmtId="0" fontId="1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170" fontId="13" fillId="0" borderId="1" xfId="0" applyNumberFormat="1" applyFont="1" applyBorder="1"/>
    <xf numFmtId="0" fontId="11" fillId="0" borderId="0" xfId="0" applyFont="1" applyAlignment="1">
      <alignment horizontal="left"/>
    </xf>
    <xf numFmtId="0" fontId="0" fillId="13" borderId="0" xfId="0" applyFill="1"/>
    <xf numFmtId="167" fontId="0" fillId="13" borderId="0" xfId="1" applyNumberFormat="1" applyFont="1" applyFill="1"/>
    <xf numFmtId="1" fontId="0" fillId="13" borderId="0" xfId="0" applyNumberFormat="1" applyFill="1"/>
    <xf numFmtId="165" fontId="0" fillId="13" borderId="0" xfId="2" applyNumberFormat="1" applyFont="1" applyFill="1"/>
    <xf numFmtId="9" fontId="0" fillId="13" borderId="0" xfId="3" applyFont="1" applyFill="1"/>
    <xf numFmtId="2" fontId="0" fillId="0" borderId="0" xfId="0" applyNumberFormat="1"/>
    <xf numFmtId="0" fontId="10" fillId="8" borderId="1" xfId="0" applyFont="1" applyFill="1" applyBorder="1" applyAlignment="1">
      <alignment horizontal="center" vertical="center" wrapText="1"/>
    </xf>
    <xf numFmtId="9" fontId="11" fillId="13" borderId="0" xfId="3" applyFont="1" applyFill="1"/>
    <xf numFmtId="167" fontId="11" fillId="13" borderId="0" xfId="1" applyNumberFormat="1" applyFont="1" applyFill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71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165" fontId="16" fillId="5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0" fontId="0" fillId="13" borderId="0" xfId="0" applyFill="1" applyAlignment="1">
      <alignment horizontal="left"/>
    </xf>
    <xf numFmtId="164" fontId="0" fillId="0" borderId="0" xfId="0" applyNumberFormat="1"/>
    <xf numFmtId="37" fontId="0" fillId="0" borderId="1" xfId="0" applyNumberFormat="1" applyBorder="1"/>
    <xf numFmtId="0" fontId="0" fillId="13" borderId="0" xfId="0" applyFill="1" applyAlignment="1">
      <alignment wrapText="1"/>
    </xf>
    <xf numFmtId="5" fontId="0" fillId="0" borderId="0" xfId="0" applyNumberFormat="1"/>
    <xf numFmtId="0" fontId="19" fillId="5" borderId="1" xfId="0" applyFont="1" applyFill="1" applyBorder="1" applyAlignment="1">
      <alignment horizontal="center" vertical="center"/>
    </xf>
    <xf numFmtId="0" fontId="2" fillId="7" borderId="0" xfId="0" applyFont="1" applyFill="1"/>
    <xf numFmtId="167" fontId="2" fillId="7" borderId="0" xfId="1" applyNumberFormat="1" applyFont="1" applyFill="1"/>
    <xf numFmtId="166" fontId="2" fillId="7" borderId="0" xfId="0" applyNumberFormat="1" applyFont="1" applyFill="1"/>
    <xf numFmtId="1" fontId="2" fillId="7" borderId="0" xfId="0" applyNumberFormat="1" applyFont="1" applyFill="1"/>
    <xf numFmtId="167" fontId="10" fillId="7" borderId="0" xfId="1" applyNumberFormat="1" applyFont="1" applyFill="1"/>
    <xf numFmtId="165" fontId="2" fillId="7" borderId="0" xfId="2" applyNumberFormat="1" applyFont="1" applyFill="1"/>
    <xf numFmtId="9" fontId="2" fillId="7" borderId="0" xfId="3" applyFont="1" applyFill="1"/>
    <xf numFmtId="0" fontId="2" fillId="13" borderId="0" xfId="0" applyFont="1" applyFill="1"/>
    <xf numFmtId="167" fontId="2" fillId="13" borderId="0" xfId="1" applyNumberFormat="1" applyFont="1" applyFill="1"/>
    <xf numFmtId="166" fontId="2" fillId="13" borderId="0" xfId="0" applyNumberFormat="1" applyFont="1" applyFill="1"/>
    <xf numFmtId="1" fontId="2" fillId="13" borderId="0" xfId="0" applyNumberFormat="1" applyFont="1" applyFill="1"/>
    <xf numFmtId="167" fontId="10" fillId="13" borderId="0" xfId="1" applyNumberFormat="1" applyFont="1" applyFill="1"/>
    <xf numFmtId="165" fontId="2" fillId="13" borderId="0" xfId="2" applyNumberFormat="1" applyFont="1" applyFill="1"/>
    <xf numFmtId="9" fontId="10" fillId="13" borderId="0" xfId="3" applyFont="1" applyFill="1"/>
    <xf numFmtId="9" fontId="2" fillId="13" borderId="0" xfId="3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/>
    <xf numFmtId="11" fontId="0" fillId="0" borderId="1" xfId="0" applyNumberFormat="1" applyBorder="1"/>
    <xf numFmtId="3" fontId="0" fillId="0" borderId="1" xfId="0" applyNumberFormat="1" applyBorder="1"/>
    <xf numFmtId="37" fontId="22" fillId="0" borderId="1" xfId="0" applyNumberFormat="1" applyFont="1" applyBorder="1"/>
    <xf numFmtId="1" fontId="0" fillId="0" borderId="1" xfId="0" applyNumberFormat="1" applyBorder="1"/>
    <xf numFmtId="0" fontId="15" fillId="0" borderId="0" xfId="0" applyFont="1" applyAlignment="1"/>
    <xf numFmtId="0" fontId="0" fillId="0" borderId="0" xfId="0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37" fontId="0" fillId="0" borderId="0" xfId="2" applyNumberFormat="1" applyFont="1" applyAlignment="1">
      <alignment horizontal="center"/>
    </xf>
    <xf numFmtId="37" fontId="2" fillId="7" borderId="0" xfId="2" applyNumberFormat="1" applyFont="1" applyFill="1" applyAlignment="1">
      <alignment horizontal="center"/>
    </xf>
    <xf numFmtId="37" fontId="2" fillId="13" borderId="0" xfId="2" applyNumberFormat="1" applyFont="1" applyFill="1" applyAlignment="1">
      <alignment horizontal="center"/>
    </xf>
    <xf numFmtId="2" fontId="5" fillId="0" borderId="0" xfId="0" applyNumberFormat="1" applyFont="1"/>
    <xf numFmtId="0" fontId="2" fillId="13" borderId="1" xfId="0" applyFont="1" applyFill="1" applyBorder="1"/>
    <xf numFmtId="167" fontId="2" fillId="13" borderId="1" xfId="1" applyNumberFormat="1" applyFont="1" applyFill="1" applyBorder="1"/>
    <xf numFmtId="9" fontId="2" fillId="13" borderId="1" xfId="3" applyFont="1" applyFill="1" applyBorder="1"/>
    <xf numFmtId="165" fontId="2" fillId="13" borderId="1" xfId="2" applyNumberFormat="1" applyFont="1" applyFill="1" applyBorder="1"/>
    <xf numFmtId="9" fontId="0" fillId="0" borderId="0" xfId="3" applyFont="1" applyAlignment="1">
      <alignment horizontal="center"/>
    </xf>
    <xf numFmtId="9" fontId="2" fillId="7" borderId="0" xfId="3" applyFont="1" applyFill="1" applyAlignment="1">
      <alignment horizontal="center"/>
    </xf>
    <xf numFmtId="9" fontId="2" fillId="7" borderId="0" xfId="0" applyNumberFormat="1" applyFont="1" applyFill="1" applyAlignment="1">
      <alignment horizontal="center"/>
    </xf>
    <xf numFmtId="6" fontId="2" fillId="0" borderId="1" xfId="0" applyNumberFormat="1" applyFont="1" applyBorder="1"/>
    <xf numFmtId="0" fontId="0" fillId="0" borderId="10" xfId="0" applyBorder="1" applyAlignment="1">
      <alignment horizontal="left" vertical="center" wrapText="1" indent="1"/>
    </xf>
    <xf numFmtId="9" fontId="0" fillId="0" borderId="0" xfId="3" applyFont="1"/>
    <xf numFmtId="16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0" borderId="0" xfId="0" applyFont="1"/>
    <xf numFmtId="9" fontId="16" fillId="0" borderId="0" xfId="3" applyFont="1"/>
    <xf numFmtId="9" fontId="2" fillId="0" borderId="0" xfId="3" applyFont="1"/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25" fillId="14" borderId="17" xfId="1" applyNumberFormat="1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0" xfId="0" applyFont="1" applyFill="1" applyAlignment="1">
      <alignment horizontal="center" vertical="center" wrapText="1"/>
    </xf>
    <xf numFmtId="7" fontId="0" fillId="0" borderId="0" xfId="0" applyNumberFormat="1"/>
    <xf numFmtId="0" fontId="27" fillId="8" borderId="1" xfId="0" applyFont="1" applyFill="1" applyBorder="1" applyAlignment="1">
      <alignment wrapText="1"/>
    </xf>
    <xf numFmtId="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72" fontId="0" fillId="0" borderId="1" xfId="0" applyNumberFormat="1" applyFont="1" applyFill="1" applyBorder="1" applyAlignment="1">
      <alignment horizontal="center" vertical="center"/>
    </xf>
    <xf numFmtId="2" fontId="0" fillId="0" borderId="1" xfId="2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2" fillId="14" borderId="0" xfId="0" applyFont="1" applyFill="1" applyAlignment="1">
      <alignment horizontal="center"/>
    </xf>
    <xf numFmtId="175" fontId="0" fillId="0" borderId="0" xfId="0" applyNumberFormat="1"/>
    <xf numFmtId="174" fontId="0" fillId="0" borderId="0" xfId="0" applyNumberFormat="1" applyAlignment="1">
      <alignment horizontal="center"/>
    </xf>
    <xf numFmtId="164" fontId="17" fillId="1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7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center" vertical="center"/>
    </xf>
    <xf numFmtId="9" fontId="0" fillId="7" borderId="0" xfId="3" applyFont="1" applyFill="1"/>
    <xf numFmtId="9" fontId="0" fillId="7" borderId="0" xfId="3" applyFont="1" applyFill="1" applyAlignment="1">
      <alignment vertical="center"/>
    </xf>
    <xf numFmtId="9" fontId="0" fillId="0" borderId="0" xfId="3" applyFont="1" applyAlignme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174" fontId="30" fillId="0" borderId="0" xfId="0" applyNumberFormat="1" applyFont="1" applyAlignment="1">
      <alignment horizontal="center"/>
    </xf>
    <xf numFmtId="176" fontId="29" fillId="0" borderId="20" xfId="1" applyNumberFormat="1" applyFont="1" applyBorder="1" applyAlignment="1">
      <alignment horizontal="center" vertical="center"/>
    </xf>
    <xf numFmtId="174" fontId="29" fillId="0" borderId="20" xfId="1" applyNumberFormat="1" applyFont="1" applyBorder="1" applyAlignment="1">
      <alignment horizontal="center" vertical="center"/>
    </xf>
    <xf numFmtId="176" fontId="29" fillId="0" borderId="21" xfId="1" applyNumberFormat="1" applyFont="1" applyBorder="1" applyAlignment="1">
      <alignment horizontal="center" vertical="center"/>
    </xf>
    <xf numFmtId="9" fontId="29" fillId="0" borderId="22" xfId="3" applyFont="1" applyBorder="1" applyAlignment="1">
      <alignment horizontal="center" vertical="center"/>
    </xf>
    <xf numFmtId="174" fontId="29" fillId="0" borderId="23" xfId="1" applyNumberFormat="1" applyFont="1" applyBorder="1" applyAlignment="1">
      <alignment horizontal="center" vertical="center"/>
    </xf>
    <xf numFmtId="0" fontId="29" fillId="0" borderId="0" xfId="0" applyFont="1"/>
    <xf numFmtId="176" fontId="29" fillId="0" borderId="23" xfId="1" applyNumberFormat="1" applyFont="1" applyBorder="1" applyAlignment="1">
      <alignment horizontal="center" vertical="center"/>
    </xf>
    <xf numFmtId="0" fontId="30" fillId="14" borderId="16" xfId="0" applyFont="1" applyFill="1" applyBorder="1" applyAlignment="1">
      <alignment horizontal="left" wrapText="1" indent="1"/>
    </xf>
    <xf numFmtId="176" fontId="30" fillId="14" borderId="26" xfId="0" applyNumberFormat="1" applyFont="1" applyFill="1" applyBorder="1" applyAlignment="1">
      <alignment horizontal="center" vertical="center"/>
    </xf>
    <xf numFmtId="176" fontId="30" fillId="14" borderId="27" xfId="0" applyNumberFormat="1" applyFont="1" applyFill="1" applyBorder="1" applyAlignment="1">
      <alignment horizontal="center" vertical="center"/>
    </xf>
    <xf numFmtId="176" fontId="30" fillId="14" borderId="28" xfId="1" applyNumberFormat="1" applyFont="1" applyFill="1" applyBorder="1" applyAlignment="1">
      <alignment horizontal="center" vertical="center" wrapText="1"/>
    </xf>
    <xf numFmtId="9" fontId="30" fillId="14" borderId="29" xfId="3" applyFont="1" applyFill="1" applyBorder="1" applyAlignment="1">
      <alignment horizontal="center" vertical="center"/>
    </xf>
    <xf numFmtId="176" fontId="30" fillId="14" borderId="17" xfId="1" applyNumberFormat="1" applyFont="1" applyFill="1" applyBorder="1" applyAlignment="1">
      <alignment horizontal="center" vertical="center" wrapText="1"/>
    </xf>
    <xf numFmtId="9" fontId="30" fillId="14" borderId="29" xfId="3" applyFont="1" applyFill="1" applyBorder="1" applyAlignment="1">
      <alignment horizontal="center" vertical="center" wrapText="1"/>
    </xf>
    <xf numFmtId="164" fontId="32" fillId="14" borderId="17" xfId="1" applyNumberFormat="1" applyFont="1" applyFill="1" applyBorder="1" applyAlignment="1">
      <alignment horizontal="center" vertical="center"/>
    </xf>
    <xf numFmtId="164" fontId="33" fillId="14" borderId="17" xfId="1" applyNumberFormat="1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5" fontId="12" fillId="3" borderId="31" xfId="0" applyNumberFormat="1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5" fontId="12" fillId="3" borderId="33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2" fontId="20" fillId="0" borderId="1" xfId="0" applyNumberFormat="1" applyFont="1" applyBorder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72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3" fontId="22" fillId="17" borderId="1" xfId="0" applyNumberFormat="1" applyFont="1" applyFill="1" applyBorder="1"/>
    <xf numFmtId="0" fontId="0" fillId="0" borderId="1" xfId="0" applyBorder="1" applyAlignment="1">
      <alignment horizontal="center" wrapText="1"/>
    </xf>
    <xf numFmtId="174" fontId="0" fillId="0" borderId="0" xfId="0" applyNumberFormat="1" applyFill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7" fontId="13" fillId="0" borderId="0" xfId="1" applyNumberFormat="1" applyFont="1"/>
    <xf numFmtId="166" fontId="13" fillId="0" borderId="0" xfId="0" applyNumberFormat="1" applyFont="1"/>
    <xf numFmtId="2" fontId="13" fillId="0" borderId="0" xfId="0" applyNumberFormat="1" applyFont="1"/>
    <xf numFmtId="37" fontId="13" fillId="0" borderId="0" xfId="2" applyNumberFormat="1" applyFont="1" applyAlignment="1">
      <alignment horizontal="center"/>
    </xf>
    <xf numFmtId="168" fontId="13" fillId="0" borderId="0" xfId="2" applyNumberFormat="1" applyFont="1"/>
    <xf numFmtId="9" fontId="13" fillId="0" borderId="0" xfId="3" applyFont="1" applyAlignment="1">
      <alignment horizontal="center"/>
    </xf>
    <xf numFmtId="167" fontId="13" fillId="13" borderId="0" xfId="1" applyNumberFormat="1" applyFont="1" applyFill="1"/>
    <xf numFmtId="1" fontId="13" fillId="13" borderId="0" xfId="0" applyNumberFormat="1" applyFont="1" applyFill="1"/>
    <xf numFmtId="165" fontId="13" fillId="13" borderId="0" xfId="2" applyNumberFormat="1" applyFont="1" applyFill="1"/>
    <xf numFmtId="9" fontId="13" fillId="13" borderId="0" xfId="3" applyFont="1" applyFill="1"/>
    <xf numFmtId="0" fontId="13" fillId="13" borderId="0" xfId="0" applyFont="1" applyFill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7" fontId="12" fillId="0" borderId="0" xfId="1" applyNumberFormat="1" applyFont="1"/>
    <xf numFmtId="166" fontId="12" fillId="0" borderId="0" xfId="0" applyNumberFormat="1" applyFont="1"/>
    <xf numFmtId="2" fontId="12" fillId="0" borderId="0" xfId="0" applyNumberFormat="1" applyFont="1"/>
    <xf numFmtId="37" fontId="12" fillId="0" borderId="0" xfId="2" applyNumberFormat="1" applyFont="1" applyAlignment="1">
      <alignment horizontal="center"/>
    </xf>
    <xf numFmtId="168" fontId="12" fillId="0" borderId="0" xfId="2" applyNumberFormat="1" applyFont="1"/>
    <xf numFmtId="9" fontId="12" fillId="0" borderId="0" xfId="3" applyFont="1" applyAlignment="1">
      <alignment horizontal="center"/>
    </xf>
    <xf numFmtId="167" fontId="12" fillId="13" borderId="0" xfId="1" applyNumberFormat="1" applyFont="1" applyFill="1"/>
    <xf numFmtId="1" fontId="12" fillId="13" borderId="0" xfId="0" applyNumberFormat="1" applyFont="1" applyFill="1"/>
    <xf numFmtId="165" fontId="12" fillId="13" borderId="0" xfId="2" applyNumberFormat="1" applyFont="1" applyFill="1"/>
    <xf numFmtId="9" fontId="12" fillId="13" borderId="0" xfId="3" applyFont="1" applyFill="1"/>
    <xf numFmtId="0" fontId="12" fillId="13" borderId="0" xfId="0" applyFont="1" applyFill="1" applyAlignment="1">
      <alignment horizontal="left"/>
    </xf>
    <xf numFmtId="0" fontId="2" fillId="14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23" fillId="15" borderId="11" xfId="0" applyFont="1" applyFill="1" applyBorder="1" applyAlignment="1">
      <alignment horizontal="center" vertical="center"/>
    </xf>
    <xf numFmtId="0" fontId="23" fillId="15" borderId="12" xfId="0" applyFont="1" applyFill="1" applyBorder="1" applyAlignment="1">
      <alignment horizontal="center" vertical="center"/>
    </xf>
    <xf numFmtId="0" fontId="23" fillId="15" borderId="13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1" fillId="15" borderId="11" xfId="0" applyFont="1" applyFill="1" applyBorder="1" applyAlignment="1">
      <alignment horizontal="center" vertical="center"/>
    </xf>
    <xf numFmtId="0" fontId="31" fillId="15" borderId="12" xfId="0" applyFont="1" applyFill="1" applyBorder="1" applyAlignment="1">
      <alignment horizontal="center" vertical="center"/>
    </xf>
    <xf numFmtId="0" fontId="31" fillId="15" borderId="13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174" fontId="34" fillId="0" borderId="0" xfId="0" applyNumberFormat="1" applyFont="1" applyAlignment="1">
      <alignment horizontal="center"/>
    </xf>
    <xf numFmtId="166" fontId="34" fillId="0" borderId="0" xfId="0" applyNumberFormat="1" applyFont="1" applyAlignment="1">
      <alignment horizontal="center"/>
    </xf>
    <xf numFmtId="174" fontId="23" fillId="0" borderId="0" xfId="0" applyNumberFormat="1" applyFont="1" applyAlignment="1">
      <alignment horizontal="center"/>
    </xf>
    <xf numFmtId="176" fontId="29" fillId="0" borderId="35" xfId="1" applyNumberFormat="1" applyFont="1" applyBorder="1" applyAlignment="1">
      <alignment horizontal="center" vertical="center"/>
    </xf>
    <xf numFmtId="174" fontId="29" fillId="0" borderId="35" xfId="1" applyNumberFormat="1" applyFont="1" applyBorder="1" applyAlignment="1">
      <alignment horizontal="center" vertical="center"/>
    </xf>
    <xf numFmtId="176" fontId="29" fillId="0" borderId="36" xfId="1" applyNumberFormat="1" applyFont="1" applyBorder="1" applyAlignment="1">
      <alignment horizontal="center" vertical="center"/>
    </xf>
    <xf numFmtId="174" fontId="29" fillId="0" borderId="36" xfId="1" applyNumberFormat="1" applyFont="1" applyBorder="1" applyAlignment="1">
      <alignment horizontal="center" vertical="center"/>
    </xf>
    <xf numFmtId="176" fontId="29" fillId="0" borderId="37" xfId="1" applyNumberFormat="1" applyFont="1" applyBorder="1" applyAlignment="1">
      <alignment horizontal="center" vertical="center"/>
    </xf>
    <xf numFmtId="9" fontId="29" fillId="0" borderId="38" xfId="3" applyFont="1" applyBorder="1" applyAlignment="1">
      <alignment horizontal="center" vertical="center"/>
    </xf>
    <xf numFmtId="174" fontId="29" fillId="0" borderId="39" xfId="1" applyNumberFormat="1" applyFont="1" applyBorder="1" applyAlignment="1">
      <alignment horizontal="center" vertical="center"/>
    </xf>
    <xf numFmtId="176" fontId="29" fillId="0" borderId="40" xfId="1" applyNumberFormat="1" applyFont="1" applyBorder="1" applyAlignment="1">
      <alignment horizontal="center" vertical="center"/>
    </xf>
    <xf numFmtId="9" fontId="29" fillId="0" borderId="41" xfId="3" applyFont="1" applyBorder="1" applyAlignment="1">
      <alignment horizontal="center" vertical="center"/>
    </xf>
    <xf numFmtId="174" fontId="29" fillId="0" borderId="42" xfId="1" applyNumberFormat="1" applyFont="1" applyBorder="1" applyAlignment="1">
      <alignment horizontal="center" vertical="center"/>
    </xf>
    <xf numFmtId="176" fontId="35" fillId="7" borderId="34" xfId="1" applyNumberFormat="1" applyFont="1" applyFill="1" applyBorder="1" applyAlignment="1">
      <alignment horizontal="center" vertical="center"/>
    </xf>
    <xf numFmtId="0" fontId="36" fillId="0" borderId="0" xfId="0" applyFont="1" applyFill="1"/>
    <xf numFmtId="176" fontId="35" fillId="7" borderId="43" xfId="1" applyNumberFormat="1" applyFont="1" applyFill="1" applyBorder="1" applyAlignment="1">
      <alignment horizontal="center" vertical="center"/>
    </xf>
    <xf numFmtId="9" fontId="35" fillId="7" borderId="44" xfId="3" applyFont="1" applyFill="1" applyBorder="1" applyAlignment="1">
      <alignment horizontal="center" vertical="center"/>
    </xf>
    <xf numFmtId="176" fontId="35" fillId="7" borderId="45" xfId="1" applyNumberFormat="1" applyFont="1" applyFill="1" applyBorder="1" applyAlignment="1">
      <alignment horizontal="center" vertical="center"/>
    </xf>
    <xf numFmtId="176" fontId="36" fillId="7" borderId="21" xfId="1" applyNumberFormat="1" applyFont="1" applyFill="1" applyBorder="1" applyAlignment="1">
      <alignment horizontal="center" vertical="center"/>
    </xf>
    <xf numFmtId="9" fontId="36" fillId="7" borderId="24" xfId="3" applyFont="1" applyFill="1" applyBorder="1" applyAlignment="1">
      <alignment horizontal="center" vertical="center"/>
    </xf>
    <xf numFmtId="176" fontId="36" fillId="7" borderId="25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174" fontId="37" fillId="0" borderId="0" xfId="0" applyNumberFormat="1" applyFont="1" applyAlignment="1">
      <alignment horizontal="center"/>
    </xf>
    <xf numFmtId="9" fontId="37" fillId="0" borderId="0" xfId="3" applyFont="1" applyAlignment="1">
      <alignment horizontal="center"/>
    </xf>
    <xf numFmtId="0" fontId="37" fillId="0" borderId="0" xfId="0" applyFont="1"/>
    <xf numFmtId="0" fontId="38" fillId="15" borderId="2" xfId="0" applyFont="1" applyFill="1" applyBorder="1" applyAlignment="1">
      <alignment vertical="center" wrapText="1"/>
    </xf>
    <xf numFmtId="0" fontId="38" fillId="15" borderId="19" xfId="0" applyFont="1" applyFill="1" applyBorder="1" applyAlignment="1">
      <alignment vertical="center" wrapText="1"/>
    </xf>
    <xf numFmtId="0" fontId="38" fillId="15" borderId="0" xfId="0" applyFont="1" applyFill="1" applyAlignment="1">
      <alignment vertical="center" wrapText="1"/>
    </xf>
    <xf numFmtId="0" fontId="26" fillId="15" borderId="18" xfId="0" applyFont="1" applyFill="1" applyBorder="1" applyAlignment="1">
      <alignment vertical="center" wrapText="1"/>
    </xf>
    <xf numFmtId="0" fontId="0" fillId="0" borderId="0" xfId="0" applyAlignment="1"/>
    <xf numFmtId="7" fontId="0" fillId="0" borderId="0" xfId="0" applyNumberFormat="1" applyAlignment="1"/>
    <xf numFmtId="37" fontId="0" fillId="0" borderId="0" xfId="0" applyNumberFormat="1" applyAlignment="1"/>
    <xf numFmtId="166" fontId="0" fillId="0" borderId="0" xfId="0" applyNumberFormat="1" applyAlignment="1"/>
    <xf numFmtId="173" fontId="0" fillId="0" borderId="0" xfId="3" applyNumberFormat="1" applyFont="1" applyAlignment="1"/>
    <xf numFmtId="0" fontId="2" fillId="0" borderId="0" xfId="0" applyFont="1" applyAlignment="1"/>
    <xf numFmtId="7" fontId="2" fillId="0" borderId="0" xfId="0" applyNumberFormat="1" applyFont="1" applyAlignment="1"/>
    <xf numFmtId="3" fontId="2" fillId="0" borderId="6" xfId="0" applyNumberFormat="1" applyFont="1" applyBorder="1" applyAlignment="1">
      <alignment vertical="center"/>
    </xf>
    <xf numFmtId="177" fontId="2" fillId="0" borderId="0" xfId="0" applyNumberFormat="1" applyFont="1" applyAlignment="1"/>
    <xf numFmtId="9" fontId="2" fillId="0" borderId="0" xfId="3" applyFont="1" applyAlignme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93"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0.0%"/>
      <alignment horizontal="general" textRotation="0" indent="0" justifyLastLine="0" shrinkToFit="0" readingOrder="0"/>
    </dxf>
    <dxf>
      <numFmt numFmtId="166" formatCode="0.0"/>
      <alignment horizontal="general" textRotation="0" indent="0" justifyLastLine="0" shrinkToFit="0" readingOrder="0"/>
    </dxf>
    <dxf>
      <numFmt numFmtId="11" formatCode="&quot;$&quot;#,##0.00_);\(&quot;$&quot;#,##0.00\)"/>
      <alignment horizontal="general" textRotation="0" indent="0" justifyLastLine="0" shrinkToFit="0" readingOrder="0"/>
    </dxf>
    <dxf>
      <numFmt numFmtId="5" formatCode="#,##0_);\(#,##0\)"/>
      <alignment horizontal="general" textRotation="0" indent="0" justifyLastLine="0" shrinkToFit="0" readingOrder="0"/>
    </dxf>
    <dxf>
      <numFmt numFmtId="11" formatCode="&quot;$&quot;#,##0.00_);\(&quot;$&quot;#,##0.00\)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Promotion Efficiency ( $ Spend/Incr. NRx)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'Contribution, Promo eff, ROI'!$F$19:$F$25</c15:sqref>
                  </c15:fullRef>
                </c:ext>
              </c:extLst>
              <c:f>('Contribution, Promo eff, ROI'!$F$19:$F$20,'Contribution, Promo eff, ROI'!$F$25)</c:f>
              <c:strCache>
                <c:ptCount val="3"/>
                <c:pt idx="0">
                  <c:v>Vouchers</c:v>
                </c:pt>
                <c:pt idx="1">
                  <c:v>Samples</c:v>
                </c:pt>
                <c:pt idx="2">
                  <c:v>HCP MCM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'Contribution, Promo eff, ROI'!$G$19:$G$25</c15:sqref>
                  </c15:fullRef>
                </c:ext>
              </c:extLst>
              <c:f>('Contribution, Promo eff, ROI'!$G$19:$G$20,'Contribution, Promo eff, ROI'!$G$25)</c:f>
              <c:numCache>
                <c:formatCode>"$"#,##0_);\("$"#,##0\)</c:formatCode>
                <c:ptCount val="3"/>
                <c:pt idx="0">
                  <c:v>174.45624797045605</c:v>
                </c:pt>
                <c:pt idx="1">
                  <c:v>498.07536483964026</c:v>
                </c:pt>
                <c:pt idx="2">
                  <c:v>6753.9309247710862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186-87C1-E391CCBC1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055488"/>
        <c:axId val="1929038432"/>
      </c:barChart>
      <c:catAx>
        <c:axId val="192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038432"/>
        <c:crosses val="autoZero"/>
        <c:auto val="1"/>
        <c:lblAlgn val="ctr"/>
        <c:lblOffset val="100"/>
        <c:noMultiLvlLbl val="0"/>
      </c:catAx>
      <c:valAx>
        <c:axId val="1929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</a:t>
            </a:r>
            <a:r>
              <a:rPr lang="en-US" baseline="0"/>
              <a:t> Efficiency ( $ Spend/Incr. NRx)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'Contribution, Promo eff, ROI'!$F$19:$F$25</c15:sqref>
                  </c15:fullRef>
                </c:ext>
              </c:extLst>
              <c:f>'Contribution, Promo eff, ROI'!$F$21:$F$24</c:f>
              <c:strCache>
                <c:ptCount val="4"/>
                <c:pt idx="0">
                  <c:v>HCC In Office</c:v>
                </c:pt>
                <c:pt idx="1">
                  <c:v>HCC Display</c:v>
                </c:pt>
                <c:pt idx="2">
                  <c:v>HCC Paid Search</c:v>
                </c:pt>
                <c:pt idx="3">
                  <c:v>HCC 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'Contribution, Promo eff, ROI'!$G$19:$G$25</c15:sqref>
                  </c15:fullRef>
                </c:ext>
              </c:extLst>
              <c:f>'Contribution, Promo eff, ROI'!$G$21:$G$24</c:f>
              <c:numCache>
                <c:formatCode>"$"#,##0_);\("$"#,##0\)</c:formatCode>
                <c:ptCount val="4"/>
                <c:pt idx="0">
                  <c:v>2032.902988096419</c:v>
                </c:pt>
                <c:pt idx="1">
                  <c:v>2222.3514368492793</c:v>
                </c:pt>
                <c:pt idx="2">
                  <c:v>2410.1657891283867</c:v>
                </c:pt>
                <c:pt idx="3">
                  <c:v>3465.3480303874062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5B5-9DD5-56A485DC5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9055488"/>
        <c:axId val="1929038432"/>
      </c:barChart>
      <c:catAx>
        <c:axId val="192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8432"/>
        <c:crosses val="autoZero"/>
        <c:auto val="1"/>
        <c:lblAlgn val="ctr"/>
        <c:lblOffset val="100"/>
        <c:noMultiLvlLbl val="0"/>
      </c:catAx>
      <c:valAx>
        <c:axId val="1929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Pre-tax incr. revenue</a:t>
            </a:r>
            <a:r>
              <a:rPr lang="en-US" b="1" u="sng" baseline="0"/>
              <a:t> vs InScope Spend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0045558369849"/>
          <c:y val="0.23131277018640947"/>
          <c:w val="0.73472673874285233"/>
          <c:h val="0.55703243456224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'Custom Scenario Chart'!$G$5</c:f>
              <c:strCache>
                <c:ptCount val="1"/>
                <c:pt idx="0">
                  <c:v>Optimal Revenue within Custom channel spend constraints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 Scenario Chart'!$C$6:$C$10</c:f>
              <c:numCache>
                <c:formatCode>_("$"* #,##0_);_("$"* \(#,##0\);_("$"* "-"??_);_(@_)</c:formatCode>
                <c:ptCount val="5"/>
                <c:pt idx="0">
                  <c:v>16769712.027999999</c:v>
                </c:pt>
                <c:pt idx="1">
                  <c:v>15372236.109000003</c:v>
                </c:pt>
                <c:pt idx="2">
                  <c:v>13974760.189999998</c:v>
                </c:pt>
                <c:pt idx="3">
                  <c:v>12577284.271000002</c:v>
                </c:pt>
                <c:pt idx="4">
                  <c:v>11179808.352000348</c:v>
                </c:pt>
              </c:numCache>
            </c:numRef>
          </c:xVal>
          <c:yVal>
            <c:numRef>
              <c:f>'Custom Scenario Chart'!$G$6:$G$10</c:f>
              <c:numCache>
                <c:formatCode>_("$"* #,##0_);_("$"* \(#,##0\);_("$"* "-"??_);_(@_)</c:formatCode>
                <c:ptCount val="5"/>
                <c:pt idx="0">
                  <c:v>29905776.535323568</c:v>
                </c:pt>
                <c:pt idx="1">
                  <c:v>29678693.15200793</c:v>
                </c:pt>
                <c:pt idx="2">
                  <c:v>28830954.764947437</c:v>
                </c:pt>
                <c:pt idx="3">
                  <c:v>27570700.640491821</c:v>
                </c:pt>
                <c:pt idx="4">
                  <c:v>23728873.422195621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F-4021-808D-B807C64FD93D}"/>
            </c:ext>
          </c:extLst>
        </c:ser>
        <c:ser>
          <c:idx val="2"/>
          <c:order val="2"/>
          <c:tx>
            <c:v>2022 Current 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AF-4021-808D-B807C64FD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 Scenario Chart'!$C$8</c:f>
              <c:numCache>
                <c:formatCode>_("$"* #,##0_);_("$"* \(#,##0\);_("$"* "-"??_);_(@_)</c:formatCode>
                <c:ptCount val="1"/>
                <c:pt idx="0">
                  <c:v>13974760.189999998</c:v>
                </c:pt>
              </c:numCache>
            </c:numRef>
          </c:xVal>
          <c:yVal>
            <c:numRef>
              <c:f>'Custom Scenario Chart'!$F$8</c:f>
              <c:numCache>
                <c:formatCode>_("$"* #,##0_);_("$"* \(#,##0\);_("$"* "-"??_);_(@_)</c:formatCode>
                <c:ptCount val="1"/>
                <c:pt idx="0">
                  <c:v>25408443.783491548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F-4021-808D-B807C64F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22088"/>
        <c:axId val="8317237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'[10]Scenario summary'!$H$5</c15:sqref>
                        </c15:formulaRef>
                      </c:ext>
                    </c:extLst>
                    <c:strCache>
                      <c:ptCount val="1"/>
                      <c:pt idx="0">
                        <c:v>-20% to +40%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2"/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BAF-4021-808D-B807C64FD9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'[10]Scenario summary'!$C$8:$C$9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"/>
                      <c:pt idx="0">
                        <c:v>7452695.1100000003</c:v>
                      </c:pt>
                      <c:pt idx="1">
                        <c:v>6707425.5990000004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'[10]Scenario summary'!$H$8:$H$9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AF-4021-808D-B807C64FD93D}"/>
                  </c:ext>
                </c:extLst>
              </c15:ser>
            </c15:filteredScatterSeries>
          </c:ext>
        </c:extLst>
      </c:scatterChart>
      <c:valAx>
        <c:axId val="831722088"/>
        <c:scaling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InScope Spend ($MM)</a:t>
                </a: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3728"/>
        <c:crosses val="autoZero"/>
        <c:crossBetween val="midCat"/>
        <c:dispUnits>
          <c:builtInUnit val="millions"/>
        </c:dispUnits>
      </c:valAx>
      <c:valAx>
        <c:axId val="831723728"/>
        <c:scaling>
          <c:orientation val="minMax"/>
          <c:max val="3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Pre-tax Incr. Revenue ($MM)</a:t>
                </a:r>
              </a:p>
            </c:rich>
          </c:tx>
          <c:layout>
            <c:manualLayout>
              <c:xMode val="edge"/>
              <c:yMode val="edge"/>
              <c:x val="1.77611128326138E-2"/>
              <c:y val="0.18645804474260519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2088"/>
        <c:crosses val="autoZero"/>
        <c:crossBetween val="midCat"/>
        <c:majorUnit val="5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84319740440277"/>
          <c:y val="0.11046468606538117"/>
          <c:w val="0.63018369820101783"/>
          <c:h val="5.8089891690977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Incr. NRx vs Spend (HCP PP)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'Response Curves'!$W$4</c:f>
              <c:strCache>
                <c:ptCount val="1"/>
                <c:pt idx="0">
                  <c:v>Samples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095519CF-42EC-43B0-B9FC-EC650F28C6E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931-472B-A52C-0E7ADFAC2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Curves'!$W$5:$W$25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834.65651822334632</c:v>
                </c:pt>
                <c:pt idx="2">
                  <c:v>1355.9035141225299</c:v>
                </c:pt>
                <c:pt idx="3">
                  <c:v>1800.9127287010683</c:v>
                </c:pt>
                <c:pt idx="4">
                  <c:v>2202.6717571477316</c:v>
                </c:pt>
                <c:pt idx="5">
                  <c:v>2575.0566774189269</c:v>
                </c:pt>
                <c:pt idx="6">
                  <c:v>2925.5913590317796</c:v>
                </c:pt>
                <c:pt idx="7">
                  <c:v>3258.9403944161113</c:v>
                </c:pt>
                <c:pt idx="8">
                  <c:v>3578.2508262588894</c:v>
                </c:pt>
                <c:pt idx="9">
                  <c:v>3885.7740706335135</c:v>
                </c:pt>
                <c:pt idx="10">
                  <c:v>4183.1919139732991</c:v>
                </c:pt>
                <c:pt idx="11">
                  <c:v>4471.8030615876996</c:v>
                </c:pt>
                <c:pt idx="12">
                  <c:v>4752.637184265317</c:v>
                </c:pt>
                <c:pt idx="13">
                  <c:v>5026.5283454054425</c:v>
                </c:pt>
                <c:pt idx="14">
                  <c:v>5294.1642898932432</c:v>
                </c:pt>
                <c:pt idx="15">
                  <c:v>5556.1206870602646</c:v>
                </c:pt>
                <c:pt idx="16">
                  <c:v>5812.8856167849262</c:v>
                </c:pt>
                <c:pt idx="17">
                  <c:v>6064.877514080199</c:v>
                </c:pt>
                <c:pt idx="18">
                  <c:v>6312.4586011419915</c:v>
                </c:pt>
                <c:pt idx="19">
                  <c:v>6555.9451288216032</c:v>
                </c:pt>
                <c:pt idx="20">
                  <c:v>6795.6153130856783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1-472B-A52C-0E7ADFAC2FE2}"/>
            </c:ext>
          </c:extLst>
        </c:ser>
        <c:ser>
          <c:idx val="1"/>
          <c:order val="1"/>
          <c:tx>
            <c:v>Samples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931-472B-A52C-0E7ADFAC2FE2}"/>
              </c:ext>
            </c:extLst>
          </c:dPt>
          <c:xVal>
            <c:numRef>
              <c:f>Optimize!$D$33</c:f>
              <c:numCache>
                <c:formatCode>_("$"* #,##0_);_("$"* \(#,##0\);_("$"* "-"??_);_(@_)</c:formatCode>
                <c:ptCount val="1"/>
                <c:pt idx="0">
                  <c:v>1361913.37</c:v>
                </c:pt>
              </c:numCache>
            </c:numRef>
          </c:xVal>
          <c:yVal>
            <c:numRef>
              <c:f>Optimize!$G$33</c:f>
              <c:numCache>
                <c:formatCode>#,##0_);\(#,##0\)</c:formatCode>
                <c:ptCount val="1"/>
                <c:pt idx="0">
                  <c:v>2734.3520000000003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1-472B-A52C-0E7ADFAC2FE2}"/>
            </c:ext>
          </c:extLst>
        </c:ser>
        <c:ser>
          <c:idx val="2"/>
          <c:order val="2"/>
          <c:tx>
            <c:strRef>
              <c:f>'Response Curves'!$X$4</c:f>
              <c:strCache>
                <c:ptCount val="1"/>
                <c:pt idx="0">
                  <c:v>Vouchers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7B8D53A0-CC33-4675-896F-E8E6E832B8D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31-472B-A52C-0E7ADFAC2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Curves'!$X$5:$X$25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1167.6096958844362</c:v>
                </c:pt>
                <c:pt idx="2">
                  <c:v>1896.7875469818173</c:v>
                </c:pt>
                <c:pt idx="3">
                  <c:v>2519.3155718103249</c:v>
                </c:pt>
                <c:pt idx="4">
                  <c:v>3081.3404608292935</c:v>
                </c:pt>
                <c:pt idx="5">
                  <c:v>3602.273604004547</c:v>
                </c:pt>
                <c:pt idx="6">
                  <c:v>4092.6402207610327</c:v>
                </c:pt>
                <c:pt idx="7">
                  <c:v>4558.9656580282908</c:v>
                </c:pt>
                <c:pt idx="8">
                  <c:v>5005.6523465960418</c:v>
                </c:pt>
                <c:pt idx="9">
                  <c:v>5435.8498158567654</c:v>
                </c:pt>
                <c:pt idx="10">
                  <c:v>5851.910734367013</c:v>
                </c:pt>
                <c:pt idx="11">
                  <c:v>6255.6518745095655</c:v>
                </c:pt>
                <c:pt idx="12">
                  <c:v>6648.5136534741232</c:v>
                </c:pt>
                <c:pt idx="13">
                  <c:v>7031.6628512363104</c:v>
                </c:pt>
                <c:pt idx="14">
                  <c:v>7406.0615612785223</c:v>
                </c:pt>
                <c:pt idx="15">
                  <c:v>7772.5150934239728</c:v>
                </c:pt>
                <c:pt idx="16">
                  <c:v>8131.7062276976949</c:v>
                </c:pt>
                <c:pt idx="17">
                  <c:v>8484.2203171971378</c:v>
                </c:pt>
                <c:pt idx="18">
                  <c:v>8830.5640783245144</c:v>
                </c:pt>
                <c:pt idx="19">
                  <c:v>9171.1799176893237</c:v>
                </c:pt>
                <c:pt idx="20">
                  <c:v>9506.457034504765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1-472B-A52C-0E7ADFAC2FE2}"/>
            </c:ext>
          </c:extLst>
        </c:ser>
        <c:ser>
          <c:idx val="3"/>
          <c:order val="3"/>
          <c:tx>
            <c:v>Vouchers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931-472B-A52C-0E7ADFAC2FE2}"/>
              </c:ext>
            </c:extLst>
          </c:dPt>
          <c:xVal>
            <c:numRef>
              <c:f>Optimize!$D$34</c:f>
              <c:numCache>
                <c:formatCode>_("$"* #,##0_);_("$"* \(#,##0\);_("$"* "-"??_);_(@_)</c:formatCode>
                <c:ptCount val="1"/>
                <c:pt idx="0">
                  <c:v>126305.05</c:v>
                </c:pt>
              </c:numCache>
            </c:numRef>
          </c:xVal>
          <c:yVal>
            <c:numRef>
              <c:f>Optimize!$G$34</c:f>
              <c:numCache>
                <c:formatCode>#,##0_);\(#,##0\)</c:formatCode>
                <c:ptCount val="1"/>
                <c:pt idx="0">
                  <c:v>723.99270000000001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31-472B-A52C-0E7ADFAC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Pre Incr. NRx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baseline="0">
                <a:effectLst/>
              </a:rPr>
              <a:t>Incr. NRx vs Spend (HCP NPP &amp; POC)</a:t>
            </a:r>
            <a:endParaRPr lang="en-US" sz="1100" b="1">
              <a:effectLst/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39207294210174E-2"/>
          <c:y val="4.589461227175122E-2"/>
          <c:w val="0.89746787749092338"/>
          <c:h val="0.85834148959859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'Response Curves'!$E$4</c:f>
              <c:strCache>
                <c:ptCount val="1"/>
                <c:pt idx="0">
                  <c:v>PatientPoint HCP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67C-4034-9F56-AD6A08B88BF6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7C-4034-9F56-AD6A08B88BF6}"/>
              </c:ext>
            </c:extLst>
          </c:dPt>
          <c:dLbls>
            <c:dLbl>
              <c:idx val="11"/>
              <c:layout>
                <c:manualLayout>
                  <c:x val="-5.0155011111416804E-3"/>
                  <c:y val="-8.5375776984179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Curves'!$E$5:$E$25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119.39698358927441</c:v>
                </c:pt>
                <c:pt idx="2">
                  <c:v>193.96097207618851</c:v>
                </c:pt>
                <c:pt idx="3">
                  <c:v>257.61920361220797</c:v>
                </c:pt>
                <c:pt idx="4">
                  <c:v>315.09052873693804</c:v>
                </c:pt>
                <c:pt idx="5">
                  <c:v>368.3599099060379</c:v>
                </c:pt>
                <c:pt idx="6">
                  <c:v>418.50363096280182</c:v>
                </c:pt>
                <c:pt idx="7">
                  <c:v>466.18895832597127</c:v>
                </c:pt>
                <c:pt idx="8">
                  <c:v>511.86607407146232</c:v>
                </c:pt>
                <c:pt idx="9">
                  <c:v>555.85704156558097</c:v>
                </c:pt>
                <c:pt idx="10">
                  <c:v>598.40243908549257</c:v>
                </c:pt>
                <c:pt idx="11">
                  <c:v>639.68804544336115</c:v>
                </c:pt>
                <c:pt idx="12">
                  <c:v>679.86115426664298</c:v>
                </c:pt>
                <c:pt idx="13">
                  <c:v>719.04107769371217</c:v>
                </c:pt>
                <c:pt idx="14">
                  <c:v>757.3261971101748</c:v>
                </c:pt>
                <c:pt idx="15">
                  <c:v>794.79886157846693</c:v>
                </c:pt>
                <c:pt idx="16">
                  <c:v>831.52889055600724</c:v>
                </c:pt>
                <c:pt idx="17">
                  <c:v>867.57614085489354</c:v>
                </c:pt>
                <c:pt idx="18">
                  <c:v>902.99242808626127</c:v>
                </c:pt>
                <c:pt idx="19">
                  <c:v>937.82299169517432</c:v>
                </c:pt>
                <c:pt idx="20">
                  <c:v>972.10763026521522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C-4034-9F56-AD6A08B88BF6}"/>
            </c:ext>
          </c:extLst>
        </c:ser>
        <c:ser>
          <c:idx val="1"/>
          <c:order val="1"/>
          <c:tx>
            <c:v>Epocrates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Optimize!$D$12</c:f>
              <c:numCache>
                <c:formatCode>_("$"* #,##0_);_("$"* \(#,##0\);_("$"* "-"??_);_(@_)</c:formatCode>
                <c:ptCount val="1"/>
                <c:pt idx="0">
                  <c:v>347232.01</c:v>
                </c:pt>
              </c:numCache>
            </c:numRef>
          </c:xVal>
          <c:yVal>
            <c:numRef>
              <c:f>Optimize!$G$12</c:f>
              <c:numCache>
                <c:formatCode>#,##0_);\(#,##0\)</c:formatCode>
                <c:ptCount val="1"/>
                <c:pt idx="0">
                  <c:v>150.2689241146301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C-4034-9F56-AD6A08B88BF6}"/>
            </c:ext>
          </c:extLst>
        </c:ser>
        <c:ser>
          <c:idx val="2"/>
          <c:order val="2"/>
          <c:tx>
            <c:strRef>
              <c:f>'Response Curves'!$F$4</c:f>
              <c:strCache>
                <c:ptCount val="1"/>
                <c:pt idx="0">
                  <c:v>DEEPINTENT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8.3870777215213719E-3"/>
                  <c:y val="-2.66812865497077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Curves'!$F$5:$F$25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47.259377189776004</c:v>
                </c:pt>
                <c:pt idx="2">
                  <c:v>76.773084745397554</c:v>
                </c:pt>
                <c:pt idx="3">
                  <c:v>101.97010635311169</c:v>
                </c:pt>
                <c:pt idx="4">
                  <c:v>124.718244120219</c:v>
                </c:pt>
                <c:pt idx="5">
                  <c:v>145.803180285747</c:v>
                </c:pt>
                <c:pt idx="6">
                  <c:v>165.65092648403038</c:v>
                </c:pt>
                <c:pt idx="7">
                  <c:v>184.52559822637747</c:v>
                </c:pt>
                <c:pt idx="8">
                  <c:v>202.60538531197975</c:v>
                </c:pt>
                <c:pt idx="9">
                  <c:v>220.01776595385118</c:v>
                </c:pt>
                <c:pt idx="10">
                  <c:v>236.85796516691653</c:v>
                </c:pt>
                <c:pt idx="11">
                  <c:v>253.19951739646879</c:v>
                </c:pt>
                <c:pt idx="12">
                  <c:v>269.10072399056855</c:v>
                </c:pt>
                <c:pt idx="13">
                  <c:v>284.60881074321179</c:v>
                </c:pt>
                <c:pt idx="14">
                  <c:v>299.76271869688605</c:v>
                </c:pt>
                <c:pt idx="15">
                  <c:v>314.59504302515353</c:v>
                </c:pt>
                <c:pt idx="16">
                  <c:v>329.13341946866797</c:v>
                </c:pt>
                <c:pt idx="17">
                  <c:v>343.40154038191992</c:v>
                </c:pt>
                <c:pt idx="18">
                  <c:v>357.41991527392196</c:v>
                </c:pt>
                <c:pt idx="19">
                  <c:v>371.20645069418521</c:v>
                </c:pt>
                <c:pt idx="20">
                  <c:v>384.77689960577931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7C-4034-9F56-AD6A08B88BF6}"/>
            </c:ext>
          </c:extLst>
        </c:ser>
        <c:ser>
          <c:idx val="3"/>
          <c:order val="3"/>
          <c:tx>
            <c:v>EDH 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7C-4034-9F56-AD6A08B88BF6}"/>
              </c:ext>
            </c:extLst>
          </c:dPt>
          <c:xVal>
            <c:numRef>
              <c:f>Optimize!$D$13</c:f>
              <c:numCache>
                <c:formatCode>_("$"* #,##0_);_("$"* \(#,##0\);_("$"* "-"??_);_(@_)</c:formatCode>
                <c:ptCount val="1"/>
                <c:pt idx="0">
                  <c:v>58414.229999999996</c:v>
                </c:pt>
              </c:numCache>
            </c:numRef>
          </c:xVal>
          <c:yVal>
            <c:numRef>
              <c:f>Optimize!$G$13</c:f>
              <c:numCache>
                <c:formatCode>#,##0_);\(#,##0\)</c:formatCode>
                <c:ptCount val="1"/>
                <c:pt idx="0">
                  <c:v>17.080203758846952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7C-4034-9F56-AD6A08B88BF6}"/>
            </c:ext>
          </c:extLst>
        </c:ser>
        <c:ser>
          <c:idx val="4"/>
          <c:order val="4"/>
          <c:tx>
            <c:strRef>
              <c:f>'Response Curves'!$G$4</c:f>
              <c:strCache>
                <c:ptCount val="1"/>
                <c:pt idx="0">
                  <c:v>DG CONNECT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2.4390243902438939E-2"/>
                  <c:y val="1.9199364340425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Curves'!$G$5:$G$25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39.552135294660459</c:v>
                </c:pt>
                <c:pt idx="2">
                  <c:v>64.252633348187985</c:v>
                </c:pt>
                <c:pt idx="3">
                  <c:v>85.340427282687699</c:v>
                </c:pt>
                <c:pt idx="4">
                  <c:v>104.37871081852855</c:v>
                </c:pt>
                <c:pt idx="5">
                  <c:v>122.02503409844383</c:v>
                </c:pt>
                <c:pt idx="6">
                  <c:v>138.63593313285631</c:v>
                </c:pt>
                <c:pt idx="7">
                  <c:v>154.43245045465301</c:v>
                </c:pt>
                <c:pt idx="8">
                  <c:v>169.5637159818487</c:v>
                </c:pt>
                <c:pt idx="9">
                  <c:v>184.13641828776088</c:v>
                </c:pt>
                <c:pt idx="10">
                  <c:v>198.23025272382469</c:v>
                </c:pt>
                <c:pt idx="11">
                  <c:v>211.90676145377554</c:v>
                </c:pt>
                <c:pt idx="12">
                  <c:v>225.21473781649064</c:v>
                </c:pt>
                <c:pt idx="13">
                  <c:v>238.19370584094824</c:v>
                </c:pt>
                <c:pt idx="14">
                  <c:v>250.87625591391509</c:v>
                </c:pt>
                <c:pt idx="15">
                  <c:v>263.28966746206441</c:v>
                </c:pt>
                <c:pt idx="16">
                  <c:v>275.4570692826494</c:v>
                </c:pt>
                <c:pt idx="17">
                  <c:v>287.39828988941616</c:v>
                </c:pt>
                <c:pt idx="18">
                  <c:v>299.13049402137585</c:v>
                </c:pt>
                <c:pt idx="19">
                  <c:v>310.66866795873443</c:v>
                </c:pt>
                <c:pt idx="20">
                  <c:v>322.02599561045764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7C-4034-9F56-AD6A08B88BF6}"/>
            </c:ext>
          </c:extLst>
        </c:ser>
        <c:ser>
          <c:idx val="5"/>
          <c:order val="5"/>
          <c:tx>
            <c:v>Medscape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7C-4034-9F56-AD6A08B88BF6}"/>
              </c:ext>
            </c:extLst>
          </c:dPt>
          <c:xVal>
            <c:numRef>
              <c:f>Optimize!$D$14</c:f>
              <c:numCache>
                <c:formatCode>_("$"* #,##0_);_("$"* \(#,##0\);_("$"* "-"??_);_(@_)</c:formatCode>
                <c:ptCount val="1"/>
                <c:pt idx="0">
                  <c:v>32000</c:v>
                </c:pt>
              </c:numCache>
            </c:numRef>
          </c:xVal>
          <c:yVal>
            <c:numRef>
              <c:f>Optimize!$G$14</c:f>
              <c:numCache>
                <c:formatCode>#,##0_);\(#,##0\)</c:formatCode>
                <c:ptCount val="1"/>
                <c:pt idx="0">
                  <c:v>9.380304000835725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7C-4034-9F56-AD6A08B88BF6}"/>
            </c:ext>
          </c:extLst>
        </c:ser>
        <c:ser>
          <c:idx val="6"/>
          <c:order val="6"/>
          <c:tx>
            <c:strRef>
              <c:f>'Response Curves'!$H$4</c:f>
              <c:strCache>
                <c:ptCount val="1"/>
                <c:pt idx="0">
                  <c:v>DOXIMITY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1.1182796456374326E-2"/>
                  <c:y val="1.38888888888887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Curves'!$H$5:$H$25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6.5610998630263424</c:v>
                </c:pt>
                <c:pt idx="2">
                  <c:v>10.658538172951431</c:v>
                </c:pt>
                <c:pt idx="3">
                  <c:v>14.156683617297448</c:v>
                </c:pt>
                <c:pt idx="4">
                  <c:v>17.314846345268425</c:v>
                </c:pt>
                <c:pt idx="5">
                  <c:v>20.242103960874349</c:v>
                </c:pt>
                <c:pt idx="6">
                  <c:v>22.997600385213829</c:v>
                </c:pt>
                <c:pt idx="7">
                  <c:v>25.618003224762305</c:v>
                </c:pt>
                <c:pt idx="8">
                  <c:v>28.128050872968569</c:v>
                </c:pt>
                <c:pt idx="9">
                  <c:v>30.545441347362303</c:v>
                </c:pt>
                <c:pt idx="10">
                  <c:v>32.883394899024481</c:v>
                </c:pt>
                <c:pt idx="11">
                  <c:v>35.152120440294382</c:v>
                </c:pt>
                <c:pt idx="12">
                  <c:v>37.359712046666026</c:v>
                </c:pt>
                <c:pt idx="13">
                  <c:v>39.512726155590457</c:v>
                </c:pt>
                <c:pt idx="14">
                  <c:v>41.616569018349907</c:v>
                </c:pt>
                <c:pt idx="15">
                  <c:v>43.675765878430617</c:v>
                </c:pt>
                <c:pt idx="16">
                  <c:v>45.694153452797622</c:v>
                </c:pt>
                <c:pt idx="17">
                  <c:v>47.67502099139552</c:v>
                </c:pt>
                <c:pt idx="18">
                  <c:v>49.621215864307743</c:v>
                </c:pt>
                <c:pt idx="19">
                  <c:v>51.535224068314818</c:v>
                </c:pt>
                <c:pt idx="20">
                  <c:v>53.41923261412208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67C-4034-9F56-AD6A08B88BF6}"/>
            </c:ext>
          </c:extLst>
        </c:ser>
        <c:ser>
          <c:idx val="7"/>
          <c:order val="7"/>
          <c:tx>
            <c:v>Numdis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67C-4034-9F56-AD6A08B88BF6}"/>
              </c:ext>
            </c:extLst>
          </c:dPt>
          <c:xVal>
            <c:numRef>
              <c:f>Optimize!$D$17</c:f>
              <c:numCache>
                <c:formatCode>_("$"* #,##0_);_("$"* \(#,##0\);_("$"* "-"??_);_(@_)</c:formatCode>
                <c:ptCount val="1"/>
                <c:pt idx="0">
                  <c:v>825855.69</c:v>
                </c:pt>
              </c:numCache>
            </c:numRef>
          </c:xVal>
          <c:yVal>
            <c:numRef>
              <c:f>Optimize!$G$17</c:f>
              <c:numCache>
                <c:formatCode>#,##0_);\(#,##0\)</c:formatCode>
                <c:ptCount val="1"/>
                <c:pt idx="0">
                  <c:v>242.28089256596903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67C-4034-9F56-AD6A08B88BF6}"/>
            </c:ext>
          </c:extLst>
        </c:ser>
        <c:ser>
          <c:idx val="8"/>
          <c:order val="8"/>
          <c:tx>
            <c:strRef>
              <c:f>'Response Curves'!$I$4</c:f>
              <c:strCache>
                <c:ptCount val="1"/>
                <c:pt idx="0">
                  <c:v>MMF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67C-4034-9F56-AD6A08B88BF6}"/>
              </c:ext>
            </c:extLst>
          </c:dPt>
          <c:dLbls>
            <c:dLbl>
              <c:idx val="5"/>
              <c:layout>
                <c:manualLayout>
                  <c:x val="4.6389841513713184E-2"/>
                  <c:y val="-4.1666638522204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Curves'!$I$5:$I$25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9.4336261345298578</c:v>
                </c:pt>
                <c:pt idx="2">
                  <c:v>15.324970868201376</c:v>
                </c:pt>
                <c:pt idx="3">
                  <c:v>20.354645309240542</c:v>
                </c:pt>
                <c:pt idx="4">
                  <c:v>24.895488623572135</c:v>
                </c:pt>
                <c:pt idx="5">
                  <c:v>29.104333866226959</c:v>
                </c:pt>
                <c:pt idx="6">
                  <c:v>33.066218858823682</c:v>
                </c:pt>
                <c:pt idx="7">
                  <c:v>36.833864714888819</c:v>
                </c:pt>
                <c:pt idx="8">
                  <c:v>40.442840585911732</c:v>
                </c:pt>
                <c:pt idx="9">
                  <c:v>43.918592888527272</c:v>
                </c:pt>
                <c:pt idx="10">
                  <c:v>47.280129854389578</c:v>
                </c:pt>
                <c:pt idx="11">
                  <c:v>50.54212997708354</c:v>
                </c:pt>
                <c:pt idx="12">
                  <c:v>53.716231013038559</c:v>
                </c:pt>
                <c:pt idx="13">
                  <c:v>56.811859884718707</c:v>
                </c:pt>
                <c:pt idx="14">
                  <c:v>59.836789763459663</c:v>
                </c:pt>
                <c:pt idx="15">
                  <c:v>62.797527097282092</c:v>
                </c:pt>
                <c:pt idx="16">
                  <c:v>65.69958836272005</c:v>
                </c:pt>
                <c:pt idx="17">
                  <c:v>68.547702881821365</c:v>
                </c:pt>
                <c:pt idx="18">
                  <c:v>71.345964636600399</c:v>
                </c:pt>
                <c:pt idx="19">
                  <c:v>74.097948022309339</c:v>
                </c:pt>
                <c:pt idx="20">
                  <c:v>76.806797548523861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67C-4034-9F56-AD6A08B88BF6}"/>
            </c:ext>
          </c:extLst>
        </c:ser>
        <c:ser>
          <c:idx val="9"/>
          <c:order val="9"/>
          <c:tx>
            <c:v>Back Office TV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67C-4034-9F56-AD6A08B88BF6}"/>
              </c:ext>
            </c:extLst>
          </c:dPt>
          <c:xVal>
            <c:numRef>
              <c:f>Optimize!$D$18</c:f>
              <c:numCache>
                <c:formatCode>_("$"* #,##0_);_("$"* \(#,##0\);_("$"* "-"??_);_(@_)</c:formatCode>
                <c:ptCount val="1"/>
                <c:pt idx="0">
                  <c:v>45000</c:v>
                </c:pt>
              </c:numCache>
            </c:numRef>
          </c:xVal>
          <c:yVal>
            <c:numRef>
              <c:f>Optimize!$G$18</c:f>
              <c:numCache>
                <c:formatCode>#,##0_);\(#,##0\)</c:formatCode>
                <c:ptCount val="1"/>
                <c:pt idx="0">
                  <c:v>13.157909796091001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67C-4034-9F56-AD6A08B88BF6}"/>
            </c:ext>
          </c:extLst>
        </c:ser>
        <c:ser>
          <c:idx val="10"/>
          <c:order val="10"/>
          <c:tx>
            <c:strRef>
              <c:f>'Response Curves'!$J$4</c:f>
              <c:strCache>
                <c:ptCount val="1"/>
                <c:pt idx="0">
                  <c:v>EDH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6.3888888888888884E-2"/>
                  <c:y val="-6.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04-4F8E-8635-E5DFD6799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Curves'!$J$5:$J$25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56.676576448661748</c:v>
                </c:pt>
                <c:pt idx="2">
                  <c:v>92.071370075385772</c:v>
                </c:pt>
                <c:pt idx="3">
                  <c:v>122.28930789740899</c:v>
                </c:pt>
                <c:pt idx="4">
                  <c:v>149.57038195906776</c:v>
                </c:pt>
                <c:pt idx="5">
                  <c:v>174.85683445931843</c:v>
                </c:pt>
                <c:pt idx="6">
                  <c:v>198.65956677683189</c:v>
                </c:pt>
                <c:pt idx="7">
                  <c:v>221.29532373259576</c:v>
                </c:pt>
                <c:pt idx="8">
                  <c:v>242.9778023403405</c:v>
                </c:pt>
                <c:pt idx="9">
                  <c:v>263.85988291959382</c:v>
                </c:pt>
                <c:pt idx="10">
                  <c:v>284.05576561769396</c:v>
                </c:pt>
                <c:pt idx="11">
                  <c:v>303.65363781369882</c:v>
                </c:pt>
                <c:pt idx="12">
                  <c:v>322.72341834714661</c:v>
                </c:pt>
                <c:pt idx="13">
                  <c:v>341.32174351929507</c:v>
                </c:pt>
                <c:pt idx="14">
                  <c:v>359.49531400845962</c:v>
                </c:pt>
                <c:pt idx="15">
                  <c:v>377.28322010647423</c:v>
                </c:pt>
                <c:pt idx="16">
                  <c:v>394.71860442462662</c:v>
                </c:pt>
                <c:pt idx="17">
                  <c:v>411.82988040423533</c:v>
                </c:pt>
                <c:pt idx="18">
                  <c:v>428.6416444074315</c:v>
                </c:pt>
                <c:pt idx="19">
                  <c:v>445.17537115484544</c:v>
                </c:pt>
                <c:pt idx="20">
                  <c:v>461.44995264355407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67C-4034-9F56-AD6A08B88BF6}"/>
            </c:ext>
          </c:extLst>
        </c:ser>
        <c:ser>
          <c:idx val="11"/>
          <c:order val="11"/>
          <c:tx>
            <c:v>Wall Boards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67C-4034-9F56-AD6A08B88BF6}"/>
              </c:ext>
            </c:extLst>
          </c:dPt>
          <c:xVal>
            <c:numRef>
              <c:f>Optimize!$D$19</c:f>
              <c:numCache>
                <c:formatCode>_("$"* #,##0_);_("$"* \(#,##0\);_("$"* "-"??_);_(@_)</c:formatCode>
                <c:ptCount val="1"/>
                <c:pt idx="0">
                  <c:v>232825</c:v>
                </c:pt>
              </c:numCache>
            </c:numRef>
          </c:xVal>
          <c:yVal>
            <c:numRef>
              <c:f>Optimize!$G$19</c:f>
              <c:numCache>
                <c:formatCode>#,##0_);\(#,##0\)</c:formatCode>
                <c:ptCount val="1"/>
                <c:pt idx="0">
                  <c:v>86.209313644522808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67C-4034-9F56-AD6A08B88BF6}"/>
            </c:ext>
          </c:extLst>
        </c:ser>
        <c:ser>
          <c:idx val="12"/>
          <c:order val="12"/>
          <c:tx>
            <c:strRef>
              <c:f>'Response Curves'!$K$4</c:f>
              <c:strCache>
                <c:ptCount val="1"/>
                <c:pt idx="0">
                  <c:v>MEDSCAPE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9.2915214866434379E-2"/>
                  <c:y val="-5.718954800218220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Curves'!$K$5:$K$25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104.96493840758274</c:v>
                </c:pt>
                <c:pt idx="2">
                  <c:v>170.51604550988748</c:v>
                </c:pt>
                <c:pt idx="3">
                  <c:v>226.47962307646657</c:v>
                </c:pt>
                <c:pt idx="4">
                  <c:v>277.00413316519001</c:v>
                </c:pt>
                <c:pt idx="5">
                  <c:v>323.83460697899335</c:v>
                </c:pt>
                <c:pt idx="6">
                  <c:v>367.91723313943385</c:v>
                </c:pt>
                <c:pt idx="7">
                  <c:v>409.83862260132082</c:v>
                </c:pt>
                <c:pt idx="8">
                  <c:v>449.99454192801471</c:v>
                </c:pt>
                <c:pt idx="9">
                  <c:v>488.66812525231677</c:v>
                </c:pt>
                <c:pt idx="10">
                  <c:v>526.07087108353414</c:v>
                </c:pt>
                <c:pt idx="11">
                  <c:v>562.36610232137468</c:v>
                </c:pt>
                <c:pt idx="12">
                  <c:v>597.68330855652198</c:v>
                </c:pt>
                <c:pt idx="13">
                  <c:v>632.1273801377871</c:v>
                </c:pt>
                <c:pt idx="14">
                  <c:v>665.78480665452332</c:v>
                </c:pt>
                <c:pt idx="15">
                  <c:v>698.72798327121995</c:v>
                </c:pt>
                <c:pt idx="16">
                  <c:v>731.01829005651291</c:v>
                </c:pt>
                <c:pt idx="17">
                  <c:v>762.7083486630288</c:v>
                </c:pt>
                <c:pt idx="18">
                  <c:v>793.84371151820665</c:v>
                </c:pt>
                <c:pt idx="19">
                  <c:v>824.46414977389611</c:v>
                </c:pt>
                <c:pt idx="20">
                  <c:v>854.60465138162544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A-488B-A0F9-2BA06451207A}"/>
            </c:ext>
          </c:extLst>
        </c:ser>
        <c:ser>
          <c:idx val="13"/>
          <c:order val="13"/>
          <c:tx>
            <c:strRef>
              <c:f>'Response Curves'!$L$4</c:f>
              <c:strCache>
                <c:ptCount val="1"/>
                <c:pt idx="0">
                  <c:v>TRENDMD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3.484320557491289E-2"/>
                  <c:y val="-3.860294490147299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Curves'!$L$5:$L$25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43.701480614332105</c:v>
                </c:pt>
                <c:pt idx="2">
                  <c:v>70.993264706613644</c:v>
                </c:pt>
                <c:pt idx="3">
                  <c:v>94.293342210949575</c:v>
                </c:pt>
                <c:pt idx="4">
                  <c:v>115.32889876619898</c:v>
                </c:pt>
                <c:pt idx="5">
                  <c:v>134.82646695022476</c:v>
                </c:pt>
                <c:pt idx="6">
                  <c:v>153.17998634256477</c:v>
                </c:pt>
                <c:pt idx="7">
                  <c:v>170.63368866153041</c:v>
                </c:pt>
                <c:pt idx="8">
                  <c:v>187.35234878394164</c:v>
                </c:pt>
                <c:pt idx="9">
                  <c:v>203.45384779469748</c:v>
                </c:pt>
                <c:pt idx="10">
                  <c:v>219.02624174512971</c:v>
                </c:pt>
                <c:pt idx="11">
                  <c:v>234.13752907970698</c:v>
                </c:pt>
                <c:pt idx="12">
                  <c:v>248.84162196112734</c:v>
                </c:pt>
                <c:pt idx="13">
                  <c:v>263.1821908151037</c:v>
                </c:pt>
                <c:pt idx="14">
                  <c:v>277.19524502886378</c:v>
                </c:pt>
                <c:pt idx="15">
                  <c:v>290.91092586600979</c:v>
                </c:pt>
                <c:pt idx="16">
                  <c:v>304.35478852545168</c:v>
                </c:pt>
                <c:pt idx="17">
                  <c:v>317.54874169562424</c:v>
                </c:pt>
                <c:pt idx="18">
                  <c:v>330.51175083827968</c:v>
                </c:pt>
                <c:pt idx="19">
                  <c:v>343.26037441806272</c:v>
                </c:pt>
                <c:pt idx="20">
                  <c:v>355.80917944476346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A-488B-A0F9-2BA06451207A}"/>
            </c:ext>
          </c:extLst>
        </c:ser>
        <c:ser>
          <c:idx val="14"/>
          <c:order val="14"/>
          <c:tx>
            <c:strRef>
              <c:f>'Response Curves'!$M$4</c:f>
              <c:strCache>
                <c:ptCount val="1"/>
                <c:pt idx="0">
                  <c:v>PHYSICIANS WEEKLY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12078977932636478"/>
                  <c:y val="8.86437994033823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4A-488B-A0F9-2BA0645120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Curves'!$M$5:$M$25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90.613199508038448</c:v>
                </c:pt>
                <c:pt idx="2">
                  <c:v>147.20157688381977</c:v>
                </c:pt>
                <c:pt idx="3">
                  <c:v>195.51331693870344</c:v>
                </c:pt>
                <c:pt idx="4">
                  <c:v>239.12966714259846</c:v>
                </c:pt>
                <c:pt idx="5">
                  <c:v>279.55706252931918</c:v>
                </c:pt>
                <c:pt idx="6">
                  <c:v>317.61232040603608</c:v>
                </c:pt>
                <c:pt idx="7">
                  <c:v>353.80184506629848</c:v>
                </c:pt>
                <c:pt idx="8">
                  <c:v>388.46729035288911</c:v>
                </c:pt>
                <c:pt idx="9">
                  <c:v>421.85307778457661</c:v>
                </c:pt>
                <c:pt idx="10">
                  <c:v>454.14178791549887</c:v>
                </c:pt>
                <c:pt idx="11">
                  <c:v>485.47441268753681</c:v>
                </c:pt>
                <c:pt idx="12">
                  <c:v>515.96273672413463</c:v>
                </c:pt>
                <c:pt idx="13">
                  <c:v>545.69730883375701</c:v>
                </c:pt>
                <c:pt idx="14">
                  <c:v>574.75279298071712</c:v>
                </c:pt>
                <c:pt idx="15">
                  <c:v>603.19168581944837</c:v>
                </c:pt>
                <c:pt idx="16">
                  <c:v>631.06697499029553</c:v>
                </c:pt>
                <c:pt idx="17">
                  <c:v>658.42408724604115</c:v>
                </c:pt>
                <c:pt idx="18">
                  <c:v>685.30234668155163</c:v>
                </c:pt>
                <c:pt idx="19">
                  <c:v>711.73608658346461</c:v>
                </c:pt>
                <c:pt idx="20">
                  <c:v>737.75551103973851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4A-488B-A0F9-2BA06451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 Incr. NRx</a:t>
                </a:r>
              </a:p>
            </c:rich>
          </c:tx>
          <c:layout>
            <c:manualLayout>
              <c:xMode val="edge"/>
              <c:yMode val="edge"/>
              <c:x val="2.2685188906508825E-2"/>
              <c:y val="0.360317048053049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Incr. NRx vs Spend (HCC POC)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1717441925836E-2"/>
          <c:y val="8.831344946782127E-2"/>
          <c:w val="0.84001005753974423"/>
          <c:h val="0.79431039248602731"/>
        </c:manualLayout>
      </c:layout>
      <c:scatterChart>
        <c:scatterStyle val="smoothMarker"/>
        <c:varyColors val="0"/>
        <c:ser>
          <c:idx val="1"/>
          <c:order val="0"/>
          <c:tx>
            <c:v>Patient Point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Optimize!$D$22</c:f>
              <c:numCache>
                <c:formatCode>_("$"* #,##0_);_("$"* \(#,##0\);_("$"* "-"??_);_(@_)</c:formatCode>
                <c:ptCount val="1"/>
                <c:pt idx="0">
                  <c:v>1604598.54</c:v>
                </c:pt>
              </c:numCache>
            </c:numRef>
          </c:xVal>
          <c:yVal>
            <c:numRef>
              <c:f>Optimize!$G$22</c:f>
              <c:numCache>
                <c:formatCode>#,##0_);\(#,##0\)</c:formatCode>
                <c:ptCount val="1"/>
                <c:pt idx="0">
                  <c:v>417.73858746978181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8-440B-A059-06973C470EC0}"/>
            </c:ext>
          </c:extLst>
        </c:ser>
        <c:ser>
          <c:idx val="2"/>
          <c:order val="1"/>
          <c:tx>
            <c:strRef>
              <c:f>'Response Curves'!$R$4</c:f>
              <c:strCache>
                <c:ptCount val="1"/>
                <c:pt idx="0">
                  <c:v>TMH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4E3-45FA-B158-0FAFBB4F694C}"/>
                </c:ext>
              </c:extLst>
            </c:dLbl>
            <c:dLbl>
              <c:idx val="20"/>
              <c:layout>
                <c:manualLayout>
                  <c:x val="1.955990220048888E-2"/>
                  <c:y val="3.187613386169070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Curves'!$R$5:$R$25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32.458506377793938</c:v>
                </c:pt>
                <c:pt idx="2">
                  <c:v>52.728999175014565</c:v>
                </c:pt>
                <c:pt idx="3">
                  <c:v>70.034722085225383</c:v>
                </c:pt>
                <c:pt idx="4">
                  <c:v>85.65851187474307</c:v>
                </c:pt>
                <c:pt idx="5">
                  <c:v>100.13998784206132</c:v>
                </c:pt>
                <c:pt idx="6">
                  <c:v>113.77174168373459</c:v>
                </c:pt>
                <c:pt idx="7">
                  <c:v>126.73517221451782</c:v>
                </c:pt>
                <c:pt idx="8">
                  <c:v>139.15266307713827</c:v>
                </c:pt>
                <c:pt idx="9">
                  <c:v>151.11176837484899</c:v>
                </c:pt>
                <c:pt idx="10">
                  <c:v>162.67789019159716</c:v>
                </c:pt>
                <c:pt idx="11">
                  <c:v>173.90153317648031</c:v>
                </c:pt>
                <c:pt idx="12">
                  <c:v>184.82273964047201</c:v>
                </c:pt>
                <c:pt idx="13">
                  <c:v>195.47394502446841</c:v>
                </c:pt>
                <c:pt idx="14">
                  <c:v>205.88189466772462</c:v>
                </c:pt>
                <c:pt idx="15">
                  <c:v>216.06897546384494</c:v>
                </c:pt>
                <c:pt idx="16">
                  <c:v>226.05416808751482</c:v>
                </c:pt>
                <c:pt idx="17">
                  <c:v>235.85374483187599</c:v>
                </c:pt>
                <c:pt idx="18">
                  <c:v>245.48179196019899</c:v>
                </c:pt>
                <c:pt idx="19">
                  <c:v>254.95060798097171</c:v>
                </c:pt>
                <c:pt idx="20">
                  <c:v>264.2710122846027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8-440B-A059-06973C470EC0}"/>
            </c:ext>
          </c:extLst>
        </c:ser>
        <c:ser>
          <c:idx val="3"/>
          <c:order val="2"/>
          <c:tx>
            <c:v>HM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28-440B-A059-06973C470EC0}"/>
              </c:ext>
            </c:extLst>
          </c:dPt>
          <c:xVal>
            <c:numRef>
              <c:f>Optimize!$D$23</c:f>
              <c:numCache>
                <c:formatCode>_("$"* #,##0_);_("$"* \(#,##0\);_("$"* "-"??_);_(@_)</c:formatCode>
                <c:ptCount val="1"/>
                <c:pt idx="0">
                  <c:v>1116009</c:v>
                </c:pt>
              </c:numCache>
            </c:numRef>
          </c:xVal>
          <c:yVal>
            <c:numRef>
              <c:f>Optimize!$G$23</c:f>
              <c:numCache>
                <c:formatCode>#,##0_);\(#,##0\)</c:formatCode>
                <c:ptCount val="1"/>
                <c:pt idx="0">
                  <c:v>1123.0372241476059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8-440B-A059-06973C470EC0}"/>
            </c:ext>
          </c:extLst>
        </c:ser>
        <c:ser>
          <c:idx val="5"/>
          <c:order val="3"/>
          <c:tx>
            <c:v>PW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C28-440B-A059-06973C470EC0}"/>
              </c:ext>
            </c:extLst>
          </c:dPt>
          <c:xVal>
            <c:numRef>
              <c:f>Optimize!$D$24</c:f>
              <c:numCache>
                <c:formatCode>_("$"* #,##0_);_("$"* \(#,##0\);_("$"* "-"??_);_(@_)</c:formatCode>
                <c:ptCount val="1"/>
                <c:pt idx="0">
                  <c:v>881744</c:v>
                </c:pt>
              </c:numCache>
            </c:numRef>
          </c:xVal>
          <c:yVal>
            <c:numRef>
              <c:f>Optimize!$G$24</c:f>
              <c:numCache>
                <c:formatCode>#,##0_);\(#,##0\)</c:formatCode>
                <c:ptCount val="1"/>
                <c:pt idx="0">
                  <c:v>216.11608295596744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28-440B-A059-06973C470EC0}"/>
            </c:ext>
          </c:extLst>
        </c:ser>
        <c:ser>
          <c:idx val="6"/>
          <c:order val="4"/>
          <c:tx>
            <c:strRef>
              <c:f>'Response Curves'!$N$4</c:f>
              <c:strCache>
                <c:ptCount val="1"/>
                <c:pt idx="0">
                  <c:v>PatientPoint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C28-440B-A059-06973C470E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28-440B-A059-06973C470E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4E3-45FA-B158-0FAFBB4F694C}"/>
                </c:ext>
              </c:extLst>
            </c:dLbl>
            <c:dLbl>
              <c:idx val="17"/>
              <c:layout>
                <c:manualLayout>
                  <c:x val="0.11544423695204359"/>
                  <c:y val="-6.79674471885251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Curves'!$N$5:$N$25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113.68577456426475</c:v>
                </c:pt>
                <c:pt idx="2">
                  <c:v>184.68308564287761</c:v>
                </c:pt>
                <c:pt idx="3">
                  <c:v>245.29630334743098</c:v>
                </c:pt>
                <c:pt idx="4">
                  <c:v>300.01855775978242</c:v>
                </c:pt>
                <c:pt idx="5">
                  <c:v>350.73986307852243</c:v>
                </c:pt>
                <c:pt idx="6">
                  <c:v>398.48502042255382</c:v>
                </c:pt>
                <c:pt idx="7">
                  <c:v>443.88937833565802</c:v>
                </c:pt>
                <c:pt idx="8">
                  <c:v>487.3815849834499</c:v>
                </c:pt>
                <c:pt idx="9">
                  <c:v>529.26829822408081</c:v>
                </c:pt>
                <c:pt idx="10">
                  <c:v>569.77858856637567</c:v>
                </c:pt>
                <c:pt idx="11">
                  <c:v>609.08934831970043</c:v>
                </c:pt>
                <c:pt idx="12">
                  <c:v>647.34082550056553</c:v>
                </c:pt>
                <c:pt idx="13">
                  <c:v>684.64662509678806</c:v>
                </c:pt>
                <c:pt idx="14">
                  <c:v>721.10042254043583</c:v>
                </c:pt>
                <c:pt idx="15">
                  <c:v>756.78062782702295</c:v>
                </c:pt>
                <c:pt idx="16">
                  <c:v>791.75372068541481</c:v>
                </c:pt>
                <c:pt idx="17">
                  <c:v>826.07669475013768</c:v>
                </c:pt>
                <c:pt idx="18">
                  <c:v>859.79888709579279</c:v>
                </c:pt>
                <c:pt idx="19">
                  <c:v>892.96337319378881</c:v>
                </c:pt>
                <c:pt idx="20">
                  <c:v>925.60804791102441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8-440B-A059-06973C470EC0}"/>
            </c:ext>
          </c:extLst>
        </c:ser>
        <c:ser>
          <c:idx val="7"/>
          <c:order val="5"/>
          <c:tx>
            <c:v>CWRAP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Optimize!$D$25</c:f>
              <c:numCache>
                <c:formatCode>_("$"* #,##0_);_("$"* \(#,##0\);_("$"* "-"??_);_(@_)</c:formatCode>
                <c:ptCount val="1"/>
                <c:pt idx="0">
                  <c:v>291283</c:v>
                </c:pt>
              </c:numCache>
            </c:numRef>
          </c:xVal>
          <c:yVal>
            <c:numRef>
              <c:f>Optimize!$G$25</c:f>
              <c:numCache>
                <c:formatCode>#,##0_);\(#,##0\)</c:formatCode>
                <c:ptCount val="1"/>
                <c:pt idx="0">
                  <c:v>253.35966190162804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8-440B-A059-06973C470EC0}"/>
            </c:ext>
          </c:extLst>
        </c:ser>
        <c:ser>
          <c:idx val="8"/>
          <c:order val="6"/>
          <c:tx>
            <c:strRef>
              <c:f>'Response Curves'!$P$4</c:f>
              <c:strCache>
                <c:ptCount val="1"/>
                <c:pt idx="0">
                  <c:v>Phys Weekly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C28-440B-A059-06973C470E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C28-440B-A059-06973C470E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4E3-45FA-B158-0FAFBB4F694C}"/>
                </c:ext>
              </c:extLst>
            </c:dLbl>
            <c:dLbl>
              <c:idx val="19"/>
              <c:layout>
                <c:manualLayout>
                  <c:x val="6.3781328811164578E-2"/>
                  <c:y val="1.918859152112044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Curves'!$P$5:$P$25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89.434551696180137</c:v>
                </c:pt>
                <c:pt idx="2">
                  <c:v>145.2868578645359</c:v>
                </c:pt>
                <c:pt idx="3">
                  <c:v>192.97018476314753</c:v>
                </c:pt>
                <c:pt idx="4">
                  <c:v>236.01919691907412</c:v>
                </c:pt>
                <c:pt idx="5">
                  <c:v>275.92073446863208</c:v>
                </c:pt>
                <c:pt idx="6">
                  <c:v>313.48098999834417</c:v>
                </c:pt>
                <c:pt idx="7">
                  <c:v>349.19978076680508</c:v>
                </c:pt>
                <c:pt idx="8">
                  <c:v>383.41431656718436</c:v>
                </c:pt>
                <c:pt idx="9">
                  <c:v>416.36583961446473</c:v>
                </c:pt>
                <c:pt idx="10">
                  <c:v>448.23455555303798</c:v>
                </c:pt>
                <c:pt idx="11">
                  <c:v>479.15962237736125</c:v>
                </c:pt>
                <c:pt idx="12">
                  <c:v>509.25137067656033</c:v>
                </c:pt>
                <c:pt idx="13">
                  <c:v>538.59917144885185</c:v>
                </c:pt>
                <c:pt idx="14">
                  <c:v>567.276717469819</c:v>
                </c:pt>
                <c:pt idx="15">
                  <c:v>595.34569247099432</c:v>
                </c:pt>
                <c:pt idx="16">
                  <c:v>622.85839485796771</c:v>
                </c:pt>
                <c:pt idx="17">
                  <c:v>649.85966049672948</c:v>
                </c:pt>
                <c:pt idx="18">
                  <c:v>676.38830197544996</c:v>
                </c:pt>
                <c:pt idx="19">
                  <c:v>702.47820599182114</c:v>
                </c:pt>
                <c:pt idx="20">
                  <c:v>728.15918375525462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8-440B-A059-06973C470EC0}"/>
            </c:ext>
          </c:extLst>
        </c:ser>
        <c:ser>
          <c:idx val="9"/>
          <c:order val="7"/>
          <c:tx>
            <c:v>Mesmerize 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Optimize!$D$27</c:f>
              <c:numCache>
                <c:formatCode>_("$"* #,##0_);_("$"* \(#,##0\);_("$"* "-"??_);_(@_)</c:formatCode>
                <c:ptCount val="1"/>
                <c:pt idx="0">
                  <c:v>313745</c:v>
                </c:pt>
              </c:numCache>
            </c:numRef>
          </c:xVal>
          <c:yVal>
            <c:numRef>
              <c:f>Optimize!$G$27</c:f>
              <c:numCache>
                <c:formatCode>#,##0_);\(#,##0\)</c:formatCode>
                <c:ptCount val="1"/>
                <c:pt idx="0">
                  <c:v>175.22606896458524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C28-440B-A059-06973C470EC0}"/>
            </c:ext>
          </c:extLst>
        </c:ser>
        <c:ser>
          <c:idx val="10"/>
          <c:order val="8"/>
          <c:tx>
            <c:strRef>
              <c:f>'Response Curves'!$O$4</c:f>
              <c:strCache>
                <c:ptCount val="1"/>
                <c:pt idx="0">
                  <c:v>Health Monitor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4E3-45FA-B158-0FAFBB4F694C}"/>
                </c:ext>
              </c:extLst>
            </c:dLbl>
            <c:dLbl>
              <c:idx val="19"/>
              <c:layout>
                <c:manualLayout>
                  <c:x val="5.102506304893166E-2"/>
                  <c:y val="-3.837718304224088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E3-45FA-B158-0FAFBB4F69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Curves'!$O$5:$O$25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394.08034055712363</c:v>
                </c:pt>
                <c:pt idx="2">
                  <c:v>640.18540194881018</c:v>
                </c:pt>
                <c:pt idx="3">
                  <c:v>850.2950446620315</c:v>
                </c:pt>
                <c:pt idx="4">
                  <c:v>1039.9842536904018</c:v>
                </c:pt>
                <c:pt idx="5">
                  <c:v>1215.8045737798943</c:v>
                </c:pt>
                <c:pt idx="6">
                  <c:v>1381.3083752731347</c:v>
                </c:pt>
                <c:pt idx="7">
                  <c:v>1538.6980302036118</c:v>
                </c:pt>
                <c:pt idx="8">
                  <c:v>1689.4594044655601</c:v>
                </c:pt>
                <c:pt idx="9">
                  <c:v>1834.6554967818897</c:v>
                </c:pt>
                <c:pt idx="10">
                  <c:v>1975.0803571071815</c:v>
                </c:pt>
                <c:pt idx="11">
                  <c:v>2111.3471648984446</c:v>
                </c:pt>
                <c:pt idx="12">
                  <c:v>2243.9420758450842</c:v>
                </c:pt>
                <c:pt idx="13">
                  <c:v>2373.2588902484958</c:v>
                </c:pt>
                <c:pt idx="14">
                  <c:v>2499.6223246030063</c:v>
                </c:pt>
                <c:pt idx="15">
                  <c:v>2623.3041792974818</c:v>
                </c:pt>
                <c:pt idx="16">
                  <c:v>2744.5348996474595</c:v>
                </c:pt>
                <c:pt idx="17">
                  <c:v>2863.5120483734268</c:v>
                </c:pt>
                <c:pt idx="18">
                  <c:v>2980.4066474984597</c:v>
                </c:pt>
                <c:pt idx="19">
                  <c:v>3095.368013825891</c:v>
                </c:pt>
                <c:pt idx="20">
                  <c:v>3208.527506112875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C28-440B-A059-06973C470EC0}"/>
            </c:ext>
          </c:extLst>
        </c:ser>
        <c:ser>
          <c:idx val="11"/>
          <c:order val="9"/>
          <c:tx>
            <c:v>TMH 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C28-440B-A059-06973C470EC0}"/>
              </c:ext>
            </c:extLst>
          </c:dPt>
          <c:xVal>
            <c:numRef>
              <c:f>Optimize!$D$26</c:f>
              <c:numCache>
                <c:formatCode>_("$"* #,##0_);_("$"* \(#,##0\);_("$"* "-"??_);_(@_)</c:formatCode>
                <c:ptCount val="1"/>
                <c:pt idx="0">
                  <c:v>312651</c:v>
                </c:pt>
              </c:numCache>
            </c:numRef>
          </c:xVal>
          <c:yVal>
            <c:numRef>
              <c:f>Optimize!$G$26</c:f>
              <c:numCache>
                <c:formatCode>#,##0_);\(#,##0\)</c:formatCode>
                <c:ptCount val="1"/>
                <c:pt idx="0">
                  <c:v>37.958793546903117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C28-440B-A059-06973C470EC0}"/>
            </c:ext>
          </c:extLst>
        </c:ser>
        <c:ser>
          <c:idx val="0"/>
          <c:order val="10"/>
          <c:tx>
            <c:strRef>
              <c:f>'Response Curves'!$S$4</c:f>
              <c:strCache>
                <c:ptCount val="1"/>
                <c:pt idx="0">
                  <c:v>Mesmerize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4E3-45FA-B158-0FAFBB4F694C}"/>
                </c:ext>
              </c:extLst>
            </c:dLbl>
            <c:dLbl>
              <c:idx val="20"/>
              <c:layout>
                <c:manualLayout>
                  <c:x val="-2.2819885900570498E-2"/>
                  <c:y val="-8.28779480403959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Curves'!$S$5:$S$25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149.46962838132231</c:v>
                </c:pt>
                <c:pt idx="2">
                  <c:v>242.81412767041007</c:v>
                </c:pt>
                <c:pt idx="3">
                  <c:v>322.50602544759766</c:v>
                </c:pt>
                <c:pt idx="4">
                  <c:v>394.452714138879</c:v>
                </c:pt>
                <c:pt idx="5">
                  <c:v>461.13911079725841</c:v>
                </c:pt>
                <c:pt idx="6">
                  <c:v>523.91258401827258</c:v>
                </c:pt>
                <c:pt idx="7">
                  <c:v>583.60846532071207</c:v>
                </c:pt>
                <c:pt idx="8">
                  <c:v>640.79032461705117</c:v>
                </c:pt>
                <c:pt idx="9">
                  <c:v>695.86134371498588</c:v>
                </c:pt>
                <c:pt idx="10">
                  <c:v>749.12269559731351</c:v>
                </c:pt>
                <c:pt idx="11">
                  <c:v>800.80695138250348</c:v>
                </c:pt>
                <c:pt idx="12">
                  <c:v>851.09850370005904</c:v>
                </c:pt>
                <c:pt idx="13">
                  <c:v>900.14671596309267</c:v>
                </c:pt>
                <c:pt idx="14">
                  <c:v>948.07474898106682</c:v>
                </c:pt>
                <c:pt idx="15">
                  <c:v>994.98569316204453</c:v>
                </c:pt>
                <c:pt idx="16">
                  <c:v>1040.9669534641796</c:v>
                </c:pt>
                <c:pt idx="17">
                  <c:v>1086.0934628982679</c:v>
                </c:pt>
                <c:pt idx="18">
                  <c:v>1130.4300879283348</c:v>
                </c:pt>
                <c:pt idx="19">
                  <c:v>1174.0334625064168</c:v>
                </c:pt>
                <c:pt idx="20">
                  <c:v>1216.9534093275211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74E3-45FA-B158-0FAFBB4F694C}"/>
            </c:ext>
          </c:extLst>
        </c:ser>
        <c:ser>
          <c:idx val="12"/>
          <c:order val="11"/>
          <c:tx>
            <c:strRef>
              <c:f>'Response Curves'!$Q$4</c:f>
              <c:strCache>
                <c:ptCount val="1"/>
                <c:pt idx="0">
                  <c:v>Coverwrap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4E3-45FA-B158-0FAFBB4F69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4E3-45FA-B158-0FAFBB4F6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4E3-45FA-B158-0FAFBB4F6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4E3-45FA-B158-0FAFBB4F6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4E3-45FA-B158-0FAFBB4F6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4E3-45FA-B158-0FAFBB4F6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4E3-45FA-B158-0FAFBB4F69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4E3-45FA-B158-0FAFBB4F6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4E3-45FA-B158-0FAFBB4F6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74E3-45FA-B158-0FAFBB4F6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74E3-45FA-B158-0FAFBB4F6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74E3-45FA-B158-0FAFBB4F69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74E3-45FA-B158-0FAFBB4F6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74E3-45FA-B158-0FAFBB4F6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74E3-45FA-B158-0FAFBB4F6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74E3-45FA-B158-0FAFBB4F6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4E3-45FA-B158-0FAFBB4F6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74E3-45FA-B158-0FAFBB4F69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74E3-45FA-B158-0FAFBB4F69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74E3-45FA-B158-0FAFBB4F694C}"/>
                </c:ext>
              </c:extLst>
            </c:dLbl>
            <c:dLbl>
              <c:idx val="20"/>
              <c:layout>
                <c:manualLayout>
                  <c:x val="6.5199674001629989E-3"/>
                  <c:y val="-7.012749449571961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74E3-45FA-B158-0FAFBB4F6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Curves'!$Q$5:$Q$25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227.65378727750257</c:v>
                </c:pt>
                <c:pt idx="2">
                  <c:v>369.82466851144829</c:v>
                </c:pt>
                <c:pt idx="3">
                  <c:v>491.20158327853818</c:v>
                </c:pt>
                <c:pt idx="4">
                  <c:v>600.78194646014867</c:v>
                </c:pt>
                <c:pt idx="5">
                  <c:v>702.350478633384</c:v>
                </c:pt>
                <c:pt idx="6">
                  <c:v>797.959326223939</c:v>
                </c:pt>
                <c:pt idx="7">
                  <c:v>888.88076364598339</c:v>
                </c:pt>
                <c:pt idx="8">
                  <c:v>975.97315139963848</c:v>
                </c:pt>
                <c:pt idx="9">
                  <c:v>1059.8505665149835</c:v>
                </c:pt>
                <c:pt idx="10">
                  <c:v>1140.9717187038304</c:v>
                </c:pt>
                <c:pt idx="11">
                  <c:v>1219.6908317406294</c:v>
                </c:pt>
                <c:pt idx="12">
                  <c:v>1296.2887498404036</c:v>
                </c:pt>
                <c:pt idx="13">
                  <c:v>1370.9929650163726</c:v>
                </c:pt>
                <c:pt idx="14">
                  <c:v>1443.9910606928211</c:v>
                </c:pt>
                <c:pt idx="15">
                  <c:v>1515.4400515227044</c:v>
                </c:pt>
                <c:pt idx="16">
                  <c:v>1585.473062007407</c:v>
                </c:pt>
                <c:pt idx="17">
                  <c:v>1654.2042209093038</c:v>
                </c:pt>
                <c:pt idx="18">
                  <c:v>1721.7323248626183</c:v>
                </c:pt>
                <c:pt idx="19">
                  <c:v>1788.1436317500336</c:v>
                </c:pt>
                <c:pt idx="20">
                  <c:v>1853.5140253837576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74E3-45FA-B158-0FAFBB4F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 Incr. NRx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Incr. NRx vs Spend (HCC)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Display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BB-47C7-8AF8-F8D9CF62715F}"/>
              </c:ext>
            </c:extLst>
          </c:dPt>
          <c:xVal>
            <c:numRef>
              <c:f>Optimize!$D$29</c:f>
              <c:numCache>
                <c:formatCode>_("$"* #,##0_);_("$"* \(#,##0\);_("$"* "-"??_);_(@_)</c:formatCode>
                <c:ptCount val="1"/>
                <c:pt idx="0">
                  <c:v>1538884.19</c:v>
                </c:pt>
              </c:numCache>
            </c:numRef>
          </c:xVal>
          <c:yVal>
            <c:numRef>
              <c:f>Optimize!$G$29</c:f>
              <c:numCache>
                <c:formatCode>#,##0_);\(#,##0\)</c:formatCode>
                <c:ptCount val="1"/>
                <c:pt idx="0">
                  <c:v>692.45762145601077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B-47C7-8AF8-F8D9CF62715F}"/>
            </c:ext>
          </c:extLst>
        </c:ser>
        <c:ser>
          <c:idx val="2"/>
          <c:order val="1"/>
          <c:tx>
            <c:strRef>
              <c:f>'Response Curves'!$U$4</c:f>
              <c:strCache>
                <c:ptCount val="1"/>
                <c:pt idx="0">
                  <c:v>Paid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8.45819343644179E-3"/>
                  <c:y val="4.2944787581103844E-2"/>
                </c:manualLayout>
              </c:layout>
              <c:tx>
                <c:rich>
                  <a:bodyPr/>
                  <a:lstStyle/>
                  <a:p>
                    <a:fld id="{EDE36F1B-2C10-494B-BF61-6B28304338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BB-47C7-8AF8-F8D9CF627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Curves'!$U$5:$U$25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178.93949491914339</c:v>
                </c:pt>
                <c:pt idx="2">
                  <c:v>290.6880671016973</c:v>
                </c:pt>
                <c:pt idx="3">
                  <c:v>386.09225116120547</c:v>
                </c:pt>
                <c:pt idx="4">
                  <c:v>472.22415819103162</c:v>
                </c:pt>
                <c:pt idx="5">
                  <c:v>552.05863871563292</c:v>
                </c:pt>
                <c:pt idx="6">
                  <c:v>627.20871244052546</c:v>
                </c:pt>
                <c:pt idx="7">
                  <c:v>698.67440727560063</c:v>
                </c:pt>
                <c:pt idx="8">
                  <c:v>767.13040821594291</c:v>
                </c:pt>
                <c:pt idx="9">
                  <c:v>833.059389566768</c:v>
                </c:pt>
                <c:pt idx="10">
                  <c:v>896.82190445186836</c:v>
                </c:pt>
                <c:pt idx="11">
                  <c:v>958.69637838766732</c:v>
                </c:pt>
                <c:pt idx="12">
                  <c:v>1018.9035593906516</c:v>
                </c:pt>
                <c:pt idx="13">
                  <c:v>1077.6222597987603</c:v>
                </c:pt>
                <c:pt idx="14">
                  <c:v>1134.999923164758</c:v>
                </c:pt>
                <c:pt idx="15">
                  <c:v>1191.1599655013138</c:v>
                </c:pt>
                <c:pt idx="16">
                  <c:v>1246.2070247822737</c:v>
                </c:pt>
                <c:pt idx="17">
                  <c:v>1300.2308080287216</c:v>
                </c:pt>
                <c:pt idx="18">
                  <c:v>1353.3089709653402</c:v>
                </c:pt>
                <c:pt idx="19">
                  <c:v>1405.5093136588207</c:v>
                </c:pt>
                <c:pt idx="20">
                  <c:v>1456.8914819915858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BB-47C7-8AF8-F8D9CF62715F}"/>
            </c:ext>
          </c:extLst>
        </c:ser>
        <c:ser>
          <c:idx val="3"/>
          <c:order val="2"/>
          <c:tx>
            <c:v>Paid Search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BB-47C7-8AF8-F8D9CF62715F}"/>
              </c:ext>
            </c:extLst>
          </c:dPt>
          <c:xVal>
            <c:numRef>
              <c:f>Optimize!$D$30</c:f>
              <c:numCache>
                <c:formatCode>_("$"* #,##0_);_("$"* \(#,##0\);_("$"* "-"??_);_(@_)</c:formatCode>
                <c:ptCount val="1"/>
                <c:pt idx="0">
                  <c:v>1539278</c:v>
                </c:pt>
              </c:numCache>
            </c:numRef>
          </c:xVal>
          <c:yVal>
            <c:numRef>
              <c:f>Optimize!$G$30</c:f>
              <c:numCache>
                <c:formatCode>#,##0_);\(#,##0\)</c:formatCode>
                <c:ptCount val="1"/>
                <c:pt idx="0">
                  <c:v>638.66062946510624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BB-47C7-8AF8-F8D9CF62715F}"/>
            </c:ext>
          </c:extLst>
        </c:ser>
        <c:ser>
          <c:idx val="4"/>
          <c:order val="3"/>
          <c:tx>
            <c:strRef>
              <c:f>'Response Curves'!$V$4</c:f>
              <c:strCache>
                <c:ptCount val="1"/>
                <c:pt idx="0">
                  <c:v>Social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CBB-47C7-8AF8-F8D9CF62715F}"/>
              </c:ext>
            </c:extLst>
          </c:dPt>
          <c:dLbls>
            <c:dLbl>
              <c:idx val="20"/>
              <c:layout>
                <c:manualLayout>
                  <c:x val="0"/>
                  <c:y val="4.7716430645670847E-2"/>
                </c:manualLayout>
              </c:layout>
              <c:tx>
                <c:rich>
                  <a:bodyPr/>
                  <a:lstStyle/>
                  <a:p>
                    <a:fld id="{4ECA1567-D154-4F81-90B4-73F92B9BEF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CBB-47C7-8AF8-F8D9CF627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Curves'!$V$5:$V$25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99.742275491223822</c:v>
                </c:pt>
                <c:pt idx="2">
                  <c:v>162.03180457154073</c:v>
                </c:pt>
                <c:pt idx="3">
                  <c:v>215.21084374217637</c:v>
                </c:pt>
                <c:pt idx="4">
                  <c:v>263.22144309831833</c:v>
                </c:pt>
                <c:pt idx="5">
                  <c:v>307.72180761416581</c:v>
                </c:pt>
                <c:pt idx="6">
                  <c:v>349.6110471028602</c:v>
                </c:pt>
                <c:pt idx="7">
                  <c:v>389.44658495118574</c:v>
                </c:pt>
                <c:pt idx="8">
                  <c:v>427.60449585791116</c:v>
                </c:pt>
                <c:pt idx="9">
                  <c:v>464.35382625990633</c:v>
                </c:pt>
                <c:pt idx="10">
                  <c:v>499.89555129135744</c:v>
                </c:pt>
                <c:pt idx="11">
                  <c:v>534.38486751507708</c:v>
                </c:pt>
                <c:pt idx="12">
                  <c:v>567.94482160382199</c:v>
                </c:pt>
                <c:pt idx="13">
                  <c:v>600.67508495478683</c:v>
                </c:pt>
                <c:pt idx="14">
                  <c:v>632.65784375870567</c:v>
                </c:pt>
                <c:pt idx="15">
                  <c:v>663.96189106733755</c:v>
                </c:pt>
                <c:pt idx="16">
                  <c:v>694.64555290657665</c:v>
                </c:pt>
                <c:pt idx="17">
                  <c:v>724.75883267234451</c:v>
                </c:pt>
                <c:pt idx="18">
                  <c:v>754.34501627359202</c:v>
                </c:pt>
                <c:pt idx="19">
                  <c:v>783.44189599833965</c:v>
                </c:pt>
                <c:pt idx="20">
                  <c:v>812.08271892845289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BB-47C7-8AF8-F8D9CF62715F}"/>
            </c:ext>
          </c:extLst>
        </c:ser>
        <c:ser>
          <c:idx val="5"/>
          <c:order val="4"/>
          <c:tx>
            <c:v>Social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Optimize!$D$31</c:f>
              <c:numCache>
                <c:formatCode>_("$"* #,##0_);_("$"* \(#,##0\);_("$"* "-"??_);_(@_)</c:formatCode>
                <c:ptCount val="1"/>
                <c:pt idx="0">
                  <c:v>736027</c:v>
                </c:pt>
              </c:numCache>
            </c:numRef>
          </c:xVal>
          <c:yVal>
            <c:numRef>
              <c:f>Optimize!$G$31</c:f>
              <c:numCache>
                <c:formatCode>#,##0_);\(#,##0\)</c:formatCode>
                <c:ptCount val="1"/>
                <c:pt idx="0">
                  <c:v>212.3962711813729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CBB-47C7-8AF8-F8D9CF62715F}"/>
            </c:ext>
          </c:extLst>
        </c:ser>
        <c:ser>
          <c:idx val="0"/>
          <c:order val="5"/>
          <c:tx>
            <c:strRef>
              <c:f>'Response Curves'!$T$4</c:f>
              <c:strCache>
                <c:ptCount val="1"/>
                <c:pt idx="0">
                  <c:v>Display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4.511036499435666E-2"/>
                  <c:y val="-0.1002045043559089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77-4482-875E-FD44C62B5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Curves'!$T$5:$T$25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194.04705198232054</c:v>
                </c:pt>
                <c:pt idx="2">
                  <c:v>315.23036595700574</c:v>
                </c:pt>
                <c:pt idx="3">
                  <c:v>418.68936293188597</c:v>
                </c:pt>
                <c:pt idx="4">
                  <c:v>512.09324030566199</c:v>
                </c:pt>
                <c:pt idx="5">
                  <c:v>598.66801017040871</c:v>
                </c:pt>
                <c:pt idx="6">
                  <c:v>680.16287674058003</c:v>
                </c:pt>
                <c:pt idx="7">
                  <c:v>757.6622985807993</c:v>
                </c:pt>
                <c:pt idx="8">
                  <c:v>831.89792319220692</c:v>
                </c:pt>
                <c:pt idx="9">
                  <c:v>903.39317625026342</c:v>
                </c:pt>
                <c:pt idx="10">
                  <c:v>972.53905176546743</c:v>
                </c:pt>
                <c:pt idx="11">
                  <c:v>1039.6374822468101</c:v>
                </c:pt>
                <c:pt idx="12">
                  <c:v>1104.9278530901738</c:v>
                </c:pt>
                <c:pt idx="13">
                  <c:v>1168.6040734549133</c:v>
                </c:pt>
                <c:pt idx="14">
                  <c:v>1230.8260353020555</c:v>
                </c:pt>
                <c:pt idx="15">
                  <c:v>1291.7275744482081</c:v>
                </c:pt>
                <c:pt idx="16">
                  <c:v>1351.4221632732913</c:v>
                </c:pt>
                <c:pt idx="17">
                  <c:v>1410.0070826095287</c:v>
                </c:pt>
                <c:pt idx="18">
                  <c:v>1467.5665445222951</c:v>
                </c:pt>
                <c:pt idx="19">
                  <c:v>1524.1740733225404</c:v>
                </c:pt>
                <c:pt idx="20">
                  <c:v>1579.8943506930434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77-4482-875E-FD44C62B55A1}"/>
            </c:ext>
          </c:extLst>
        </c:ser>
        <c:ser>
          <c:idx val="6"/>
          <c:order val="6"/>
          <c:tx>
            <c:strRef>
              <c:f>'Response Curves'!$Y$4</c:f>
              <c:strCache>
                <c:ptCount val="1"/>
                <c:pt idx="0">
                  <c:v>Total POC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1.126058228737006E-2"/>
                  <c:y val="-0.1074481074481074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9F-437A-A2E8-3D20B314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'Response Curves'!$D$5:$D$25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'Response Curves'!$Y$5:$Y$25</c:f>
              <c:numCache>
                <c:formatCode>#,##0_);\(#,##0\)</c:formatCode>
                <c:ptCount val="21"/>
                <c:pt idx="0" formatCode="General">
                  <c:v>0</c:v>
                </c:pt>
                <c:pt idx="1">
                  <c:v>293.07836670820058</c:v>
                </c:pt>
                <c:pt idx="2">
                  <c:v>476.10721135781478</c:v>
                </c:pt>
                <c:pt idx="3">
                  <c:v>632.36618847141267</c:v>
                </c:pt>
                <c:pt idx="4">
                  <c:v>773.43844669573957</c:v>
                </c:pt>
                <c:pt idx="5">
                  <c:v>904.19638344816224</c:v>
                </c:pt>
                <c:pt idx="6">
                  <c:v>1027.2819039211277</c:v>
                </c:pt>
                <c:pt idx="7">
                  <c:v>1144.3329167642949</c:v>
                </c:pt>
                <c:pt idx="8">
                  <c:v>1256.454463525318</c:v>
                </c:pt>
                <c:pt idx="9">
                  <c:v>1364.4370985593907</c:v>
                </c:pt>
                <c:pt idx="10">
                  <c:v>1468.8713584648228</c:v>
                </c:pt>
                <c:pt idx="11">
                  <c:v>1570.2132660757013</c:v>
                </c:pt>
                <c:pt idx="12">
                  <c:v>1668.8243763866642</c:v>
                </c:pt>
                <c:pt idx="13">
                  <c:v>1764.9975594987147</c:v>
                </c:pt>
                <c:pt idx="14">
                  <c:v>1858.9743077422379</c:v>
                </c:pt>
                <c:pt idx="15">
                  <c:v>1950.9567596302268</c:v>
                </c:pt>
                <c:pt idx="16">
                  <c:v>2041.1162978218558</c:v>
                </c:pt>
                <c:pt idx="17">
                  <c:v>2129.5998501221529</c:v>
                </c:pt>
                <c:pt idx="18">
                  <c:v>2216.5346059644285</c:v>
                </c:pt>
                <c:pt idx="19">
                  <c:v>2302.0316125650488</c:v>
                </c:pt>
                <c:pt idx="20">
                  <c:v>2386.1885617041826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9F-437A-A2E8-3D20B31424D1}"/>
            </c:ext>
          </c:extLst>
        </c:ser>
        <c:ser>
          <c:idx val="7"/>
          <c:order val="7"/>
          <c:tx>
            <c:v>POC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Optimize!$D$28</c:f>
              <c:numCache>
                <c:formatCode>_("$"* #,##0_);_("$"* \(#,##0\);_("$"* "-"??_);_(@_)</c:formatCode>
                <c:ptCount val="1"/>
                <c:pt idx="0">
                  <c:v>4520030.54</c:v>
                </c:pt>
              </c:numCache>
            </c:numRef>
          </c:xVal>
          <c:yVal>
            <c:numRef>
              <c:f>Optimize!$G$28</c:f>
              <c:numCache>
                <c:formatCode>#,##0_);\(#,##0\)</c:formatCode>
                <c:ptCount val="1"/>
                <c:pt idx="0">
                  <c:v>2223.4364189864718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9F-437A-A2E8-3D20B314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1416"/>
        <c:axId val="809102400"/>
      </c:scatterChart>
      <c:valAx>
        <c:axId val="809101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Spend ($)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24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80910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Pre Incr. NRx</a:t>
                </a:r>
                <a:endParaRPr lang="en-US" sz="1100">
                  <a:effectLst/>
                </a:endParaRP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91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17</xdr:row>
      <xdr:rowOff>49530</xdr:rowOff>
    </xdr:from>
    <xdr:to>
      <xdr:col>14</xdr:col>
      <xdr:colOff>381000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2CAEB-D890-482F-826B-783DA29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11</xdr:col>
      <xdr:colOff>358140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23C5E-1A0F-437D-9D0C-7D05E077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9</xdr:col>
      <xdr:colOff>559636</xdr:colOff>
      <xdr:row>32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2AF4B-133A-42C3-BC03-0889B954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557891</xdr:colOff>
      <xdr:row>51</xdr:row>
      <xdr:rowOff>2720</xdr:rowOff>
    </xdr:from>
    <xdr:to>
      <xdr:col>8</xdr:col>
      <xdr:colOff>968827</xdr:colOff>
      <xdr:row>65</xdr:row>
      <xdr:rowOff>78920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ADB51-941D-4C14-A45F-411D4AAE4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386443</xdr:colOff>
      <xdr:row>28</xdr:row>
      <xdr:rowOff>155121</xdr:rowOff>
    </xdr:from>
    <xdr:to>
      <xdr:col>32</xdr:col>
      <xdr:colOff>217714</xdr:colOff>
      <xdr:row>76</xdr:row>
      <xdr:rowOff>155121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2B8DD9-21BE-4B2E-916F-D13E6ABA0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557893</xdr:colOff>
      <xdr:row>28</xdr:row>
      <xdr:rowOff>108856</xdr:rowOff>
    </xdr:from>
    <xdr:to>
      <xdr:col>14</xdr:col>
      <xdr:colOff>54429</xdr:colOff>
      <xdr:row>50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01DC0-2518-4735-A350-8D00A6E4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438149</xdr:colOff>
      <xdr:row>66</xdr:row>
      <xdr:rowOff>146958</xdr:rowOff>
    </xdr:from>
    <xdr:to>
      <xdr:col>10</xdr:col>
      <xdr:colOff>476249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7FF93-F23A-4751-9D49-3A9195D22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24%20(yrs%202024-2026)/Product%20NPV%202024_2023062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1%202023%20AB/Products/Belsomra/Optimize/BELSOMRA_2023Spend_Alloc_BASE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Samples_v1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Samples%20and%20vouchers%20optimization/2024/Verquvo/Resp%20Models/2023%20VERQUVO%20Vouchers.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Inputs/Financial%20Inputs/Financial%20Inputs%20for%20Opt%20Tool%20(NPV%20and%20TRxNRx%20ratio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Media%20plan%20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MC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HCC%20In-Office%20Tracie%20Fix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DTC/HCC%20Media%20Cost/2023%20HCC%20Media%20Cost/July/Flowcharts/2023%20HCC%20Verquvo%20Flowchar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Budget%20Report%20for%20Verquvo_new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2024%20Planning/Verquvo/Results/HCC/Verquvo_HCC_presenta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InvOpt/P12%202024%20AB/Products/Verquvo/Resp%20Models/2023%20VERQUVO%20MM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NPV SHARING POLICIES"/>
      <sheetName val=" Summary"/>
      <sheetName val="NPV_Model"/>
      <sheetName val="PharmaData 2023"/>
      <sheetName val="Index Sheet"/>
      <sheetName val="Report"/>
      <sheetName val="2024-2027 Royality"/>
      <sheetName val="ROA&amp;Tax"/>
      <sheetName val="Adherence"/>
      <sheetName val="Yearly Average"/>
    </sheetNames>
    <sheetDataSet>
      <sheetData sheetId="0"/>
      <sheetData sheetId="1"/>
      <sheetData sheetId="2">
        <row r="15">
          <cell r="D15">
            <v>254.20943718187408</v>
          </cell>
        </row>
        <row r="70">
          <cell r="D70">
            <v>3240.8331326246521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A5">
            <v>0.25068171483370699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ing curves"/>
      <sheetName val="Scenario summary"/>
      <sheetName val="Sensitivity"/>
      <sheetName val="Chart - Combined"/>
      <sheetName val="Contribution, promo eff, ROI"/>
      <sheetName val="Scenario deep dive (no sf)"/>
      <sheetName val="Scenario deep dive"/>
      <sheetName val="BEL_Optim_Scenario"/>
      <sheetName val="BELINOFF"/>
      <sheetName val="BELMCM"/>
      <sheetName val="BELSOC"/>
      <sheetName val="BELSEARCH"/>
      <sheetName val="BELSAMPLE"/>
      <sheetName val="BELVCH"/>
      <sheetName val="FT_SCurveEst"/>
      <sheetName val="FT_Interpolate"/>
      <sheetName val="FT_SCurve3Est"/>
    </sheetNames>
    <sheetDataSet>
      <sheetData sheetId="0"/>
      <sheetData sheetId="1">
        <row r="5">
          <cell r="H5" t="str">
            <v>-20% to +40%</v>
          </cell>
        </row>
        <row r="8">
          <cell r="C8">
            <v>7452695.1100000003</v>
          </cell>
        </row>
        <row r="9">
          <cell r="C9">
            <v>6707425.5990000004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quvo Sample curve"/>
      <sheetName val="GAM"/>
      <sheetName val="Sheet1"/>
      <sheetName val=" Model Estimate"/>
    </sheetNames>
    <sheetDataSet>
      <sheetData sheetId="0">
        <row r="27">
          <cell r="J27">
            <v>16472</v>
          </cell>
          <cell r="O27">
            <v>1361913.37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quvo Vchr curve"/>
      <sheetName val=" Model Estimate"/>
      <sheetName val=" Model Estimate (2)"/>
    </sheetNames>
    <sheetDataSet>
      <sheetData sheetId="0">
        <row r="13">
          <cell r="N13">
            <v>470</v>
          </cell>
        </row>
        <row r="25">
          <cell r="O25">
            <v>126305.05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 NPV"/>
      <sheetName val="2023 NPV"/>
      <sheetName val="2022 NPV"/>
      <sheetName val="2021 NPV"/>
      <sheetName val="2020 NPV"/>
      <sheetName val="2019 NPV"/>
      <sheetName val="2018 NPV"/>
      <sheetName val="2017 NPV"/>
      <sheetName val="2016 NPV"/>
      <sheetName val="2015 NPV"/>
    </sheetNames>
    <sheetDataSet>
      <sheetData sheetId="0">
        <row r="18">
          <cell r="E18">
            <v>11.548357667573365</v>
          </cell>
        </row>
        <row r="47">
          <cell r="B47">
            <v>3240.8331326246521</v>
          </cell>
          <cell r="C47">
            <v>2503.8456034974711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6">
          <cell r="B6">
            <v>15407</v>
          </cell>
        </row>
        <row r="12">
          <cell r="B12">
            <v>27461.199999999997</v>
          </cell>
        </row>
        <row r="13">
          <cell r="B13">
            <v>32000</v>
          </cell>
        </row>
        <row r="15">
          <cell r="B15">
            <v>165000</v>
          </cell>
        </row>
        <row r="16">
          <cell r="B16">
            <v>45000</v>
          </cell>
        </row>
        <row r="18">
          <cell r="B18">
            <v>117484</v>
          </cell>
        </row>
        <row r="22">
          <cell r="B22">
            <v>668085</v>
          </cell>
        </row>
        <row r="28">
          <cell r="B28">
            <v>186260</v>
          </cell>
        </row>
        <row r="37">
          <cell r="B37">
            <v>30953.030000000002</v>
          </cell>
        </row>
        <row r="38">
          <cell r="B38">
            <v>0</v>
          </cell>
        </row>
        <row r="41">
          <cell r="B41">
            <v>0</v>
          </cell>
        </row>
        <row r="44">
          <cell r="B44">
            <v>77242</v>
          </cell>
        </row>
        <row r="46">
          <cell r="B46">
            <v>157770.69</v>
          </cell>
        </row>
        <row r="56">
          <cell r="B56">
            <v>46565</v>
          </cell>
        </row>
        <row r="61">
          <cell r="C61">
            <v>347232.01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M"/>
      <sheetName val="Media plan Summary"/>
      <sheetName val="Data"/>
      <sheetName val="Sheet2"/>
      <sheetName val="HCC MCM Curve"/>
    </sheetNames>
    <sheetDataSet>
      <sheetData sheetId="0">
        <row r="6">
          <cell r="B6" t="str">
            <v>DEEPINTENT</v>
          </cell>
          <cell r="F6">
            <v>0.94761311162795991</v>
          </cell>
          <cell r="I6" t="str">
            <v>jan-dec 2022</v>
          </cell>
          <cell r="J6" t="str">
            <v>from mmx</v>
          </cell>
        </row>
        <row r="7">
          <cell r="B7" t="str">
            <v>DG CONNECT</v>
          </cell>
          <cell r="F7">
            <v>0.95</v>
          </cell>
          <cell r="I7" t="str">
            <v>New vendor in media plan summary</v>
          </cell>
          <cell r="J7" t="str">
            <v>since its banners and its ROI is not there so taking it as same as DeepIntent</v>
          </cell>
        </row>
        <row r="8">
          <cell r="B8" t="str">
            <v>DOXIMITY</v>
          </cell>
          <cell r="F8">
            <v>9.6345210256617658E-2</v>
          </cell>
          <cell r="I8" t="str">
            <v>jan-dec 2022</v>
          </cell>
          <cell r="J8" t="str">
            <v>from mmx</v>
          </cell>
        </row>
        <row r="11">
          <cell r="B11" t="str">
            <v>EDH</v>
          </cell>
          <cell r="F11">
            <v>0.79190865601879967</v>
          </cell>
          <cell r="I11" t="str">
            <v>jan-dec 2022</v>
          </cell>
          <cell r="J11" t="str">
            <v>from mmx</v>
          </cell>
        </row>
        <row r="12">
          <cell r="B12" t="str">
            <v>MEDSCAPE</v>
          </cell>
          <cell r="F12">
            <v>0.95076168092958979</v>
          </cell>
          <cell r="I12" t="str">
            <v>jan-dec 2022</v>
          </cell>
          <cell r="J12" t="str">
            <v>from mmx</v>
          </cell>
        </row>
        <row r="14">
          <cell r="B14" t="str">
            <v>TRENDMD</v>
          </cell>
          <cell r="F14">
            <v>0.94761311162795991</v>
          </cell>
          <cell r="I14" t="str">
            <v>New vendor in media plan summary</v>
          </cell>
          <cell r="J14" t="str">
            <v>since its banners and its ROI is not there so taking it as same as DeepIntent</v>
          </cell>
        </row>
        <row r="15">
          <cell r="B15" t="str">
            <v>PHYSICIANS WEEKLY</v>
          </cell>
          <cell r="F15">
            <v>1.2</v>
          </cell>
          <cell r="I15" t="str">
            <v>New vendor in media plan summary</v>
          </cell>
          <cell r="J15" t="str">
            <v>2024 spends taken and ROI has been taken from Tracie's file "Dollarizing  Verquvo PW"</v>
          </cell>
        </row>
        <row r="16">
          <cell r="F16">
            <v>1.4025104081693183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 office"/>
      <sheetName val="Media Plan"/>
      <sheetName val="Data"/>
      <sheetName val="HCC in office Curve"/>
    </sheetNames>
    <sheetDataSet>
      <sheetData sheetId="0"/>
      <sheetData sheetId="1">
        <row r="5">
          <cell r="B5" t="str">
            <v>PatientPoint</v>
          </cell>
          <cell r="D5" t="str">
            <v>04/01/22 to 12/31/22</v>
          </cell>
          <cell r="G5">
            <v>0.8437132536889197</v>
          </cell>
          <cell r="J5" t="str">
            <v>Measured in MMx</v>
          </cell>
        </row>
        <row r="7">
          <cell r="B7" t="str">
            <v>Health Monitor</v>
          </cell>
          <cell r="D7" t="str">
            <v>04/01/22 to 12/31/22</v>
          </cell>
          <cell r="G7">
            <v>3.2612427365625001</v>
          </cell>
          <cell r="J7" t="str">
            <v>Measured in MMx</v>
          </cell>
        </row>
        <row r="8">
          <cell r="B8" t="str">
            <v>Phys Weekly</v>
          </cell>
          <cell r="D8" t="str">
            <v>May22-Apr23</v>
          </cell>
          <cell r="G8">
            <v>0.79433051105168528</v>
          </cell>
          <cell r="J8" t="str">
            <v>Indep Measure</v>
          </cell>
        </row>
        <row r="9">
          <cell r="B9" t="str">
            <v>Coverwrap</v>
          </cell>
          <cell r="D9" t="str">
            <v>07/01/22 to 02/28/23</v>
          </cell>
          <cell r="G9">
            <v>2.8188956676543979</v>
          </cell>
          <cell r="J9" t="str">
            <v>Measured in MMx</v>
          </cell>
        </row>
        <row r="10">
          <cell r="B10" t="str">
            <v>TMH</v>
          </cell>
          <cell r="D10" t="str">
            <v>DEC21-MAR22</v>
          </cell>
          <cell r="G10">
            <v>0.39346784690041758</v>
          </cell>
          <cell r="J10" t="str">
            <v>Measured in MMx last year</v>
          </cell>
        </row>
        <row r="11">
          <cell r="B11" t="str">
            <v>Mesmerize</v>
          </cell>
          <cell r="D11" t="str">
            <v>JAN22-DEC22</v>
          </cell>
          <cell r="G11">
            <v>1.81</v>
          </cell>
          <cell r="J11" t="str">
            <v>no measurements yet, based on Belsomra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BB13">
            <v>1016147.54</v>
          </cell>
        </row>
        <row r="14">
          <cell r="BB14">
            <v>588451</v>
          </cell>
        </row>
        <row r="15">
          <cell r="BB15">
            <v>1116009</v>
          </cell>
        </row>
        <row r="16">
          <cell r="BB16">
            <v>313745</v>
          </cell>
        </row>
        <row r="17">
          <cell r="BB17">
            <v>881744</v>
          </cell>
        </row>
        <row r="18">
          <cell r="BB18">
            <v>291283</v>
          </cell>
        </row>
        <row r="19">
          <cell r="BB19">
            <v>312651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SAP report"/>
    </sheetNames>
    <sheetDataSet>
      <sheetData sheetId="0">
        <row r="6">
          <cell r="F6">
            <v>1538884.19</v>
          </cell>
        </row>
        <row r="8">
          <cell r="F8">
            <v>736027</v>
          </cell>
        </row>
        <row r="10">
          <cell r="F10">
            <v>1539278</v>
          </cell>
        </row>
        <row r="16">
          <cell r="G16">
            <v>2251268.11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an+Ridge+PoC_V2"/>
      <sheetName val="Spends"/>
      <sheetName val="Summary"/>
      <sheetName val="Activity"/>
      <sheetName val="Sales"/>
      <sheetName val="Contribution"/>
      <sheetName val="ROI"/>
      <sheetName val="Comp"/>
    </sheetNames>
    <sheetDataSet>
      <sheetData sheetId="0"/>
      <sheetData sheetId="1"/>
      <sheetData sheetId="2">
        <row r="9">
          <cell r="E9">
            <v>1.45829011509508</v>
          </cell>
        </row>
        <row r="10">
          <cell r="E10">
            <v>1.3446515369370786</v>
          </cell>
        </row>
        <row r="11">
          <cell r="E11">
            <v>0.93521144318146465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F"/>
      <sheetName val="Data"/>
      <sheetName val="Sheet1"/>
      <sheetName val="MMF - Power"/>
      <sheetName val="HCC Online Curve - SCurve"/>
    </sheetNames>
    <sheetDataSet>
      <sheetData sheetId="0">
        <row r="5">
          <cell r="E5">
            <v>4145</v>
          </cell>
          <cell r="F5">
            <v>6.3248343981818181E-2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A2B8C-D09A-41D3-B445-4C4F048756F0}" name="Table1" displayName="Table1" ref="C8:I16" totalsRowShown="0" headerRowDxfId="1" dataDxfId="0">
  <tableColumns count="7">
    <tableColumn id="1" xr3:uid="{F85A7DAA-2DCF-4074-9542-1FC7A0032F9B}" name="Product" dataDxfId="8"/>
    <tableColumn id="2" xr3:uid="{BD62F26F-810F-4A5D-9936-C91D4C3F3169}" name="Channel" dataDxfId="7"/>
    <tableColumn id="3" xr3:uid="{01D79299-A39C-4A8B-BD25-C9A250302607}" name="2023 Spend ($MM)" dataDxfId="6"/>
    <tableColumn id="4" xr3:uid="{E133D7AF-6091-4525-A926-B33049825E74}" name="2023 Estimated Incr. NRx" dataDxfId="5"/>
    <tableColumn id="5" xr3:uid="{37D97698-E559-462B-A871-54DA75DF2A05}" name="2023 Estimated Pre-Tax Revenue($MM)" dataDxfId="4"/>
    <tableColumn id="6" xr3:uid="{08BA4DB2-BA16-45E8-AA82-E588ED088626}" name="2023 Estimated Pre-tax ROI" dataDxfId="3"/>
    <tableColumn id="7" xr3:uid="{D544D328-9EC9-4D34-829E-2E7C10FB3592}" name="Estimated % Contribution" dataDxfId="2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FE8-66FD-4F7A-946F-35FD108B33E8}">
  <dimension ref="A1:D28"/>
  <sheetViews>
    <sheetView workbookViewId="0">
      <selection activeCell="C18" sqref="C18"/>
    </sheetView>
  </sheetViews>
  <sheetFormatPr defaultRowHeight="14.4" x14ac:dyDescent="0.3"/>
  <cols>
    <col min="1" max="1" width="18.77734375" customWidth="1"/>
    <col min="2" max="2" width="12.44140625" customWidth="1"/>
    <col min="3" max="3" width="11.21875" customWidth="1"/>
    <col min="4" max="4" width="10.21875" customWidth="1"/>
    <col min="5" max="5" width="12.5546875" customWidth="1"/>
  </cols>
  <sheetData>
    <row r="1" spans="1:4" x14ac:dyDescent="0.3">
      <c r="A1" s="38" t="s">
        <v>72</v>
      </c>
    </row>
    <row r="3" spans="1:4" x14ac:dyDescent="0.3">
      <c r="B3" s="38" t="s">
        <v>83</v>
      </c>
    </row>
    <row r="4" spans="1:4" ht="43.2" x14ac:dyDescent="0.3">
      <c r="B4" s="25"/>
      <c r="C4" s="46" t="s">
        <v>86</v>
      </c>
      <c r="D4" s="46" t="s">
        <v>85</v>
      </c>
    </row>
    <row r="5" spans="1:4" x14ac:dyDescent="0.3">
      <c r="B5" s="1" t="s">
        <v>84</v>
      </c>
      <c r="C5" s="44">
        <v>81808</v>
      </c>
      <c r="D5" s="45">
        <v>0</v>
      </c>
    </row>
    <row r="6" spans="1:4" x14ac:dyDescent="0.3">
      <c r="B6" s="1" t="s">
        <v>6</v>
      </c>
      <c r="C6" s="44">
        <v>2139574</v>
      </c>
      <c r="D6" s="45">
        <v>2040000</v>
      </c>
    </row>
    <row r="7" spans="1:4" ht="41.4" x14ac:dyDescent="0.3">
      <c r="A7" s="48" t="s">
        <v>90</v>
      </c>
      <c r="B7" s="1" t="s">
        <v>10</v>
      </c>
      <c r="C7" s="45">
        <v>394659</v>
      </c>
      <c r="D7" s="45">
        <v>189331</v>
      </c>
    </row>
    <row r="8" spans="1:4" x14ac:dyDescent="0.3">
      <c r="B8" s="1" t="s">
        <v>103</v>
      </c>
      <c r="C8" s="44"/>
      <c r="D8" s="45">
        <v>160000</v>
      </c>
    </row>
    <row r="9" spans="1:4" x14ac:dyDescent="0.3">
      <c r="B9" s="1" t="s">
        <v>104</v>
      </c>
      <c r="C9" s="44"/>
      <c r="D9" s="45">
        <v>265000</v>
      </c>
    </row>
    <row r="10" spans="1:4" x14ac:dyDescent="0.3">
      <c r="B10" s="1" t="s">
        <v>105</v>
      </c>
      <c r="C10" s="44"/>
      <c r="D10" s="45">
        <v>60000</v>
      </c>
    </row>
    <row r="11" spans="1:4" x14ac:dyDescent="0.3">
      <c r="B11" s="1"/>
      <c r="C11" s="44"/>
      <c r="D11" s="45"/>
    </row>
    <row r="16" spans="1:4" x14ac:dyDescent="0.3">
      <c r="B16" s="38" t="s">
        <v>87</v>
      </c>
    </row>
    <row r="17" spans="2:4" ht="43.2" x14ac:dyDescent="0.3">
      <c r="B17" s="25"/>
      <c r="C17" s="46" t="s">
        <v>86</v>
      </c>
      <c r="D17" s="46" t="s">
        <v>85</v>
      </c>
    </row>
    <row r="18" spans="2:4" x14ac:dyDescent="0.3">
      <c r="B18" s="1" t="s">
        <v>88</v>
      </c>
      <c r="C18" s="47">
        <v>74200</v>
      </c>
      <c r="D18" s="1"/>
    </row>
    <row r="19" spans="2:4" x14ac:dyDescent="0.3">
      <c r="B19" s="1" t="s">
        <v>89</v>
      </c>
      <c r="C19" s="44"/>
      <c r="D19" s="1"/>
    </row>
    <row r="21" spans="2:4" x14ac:dyDescent="0.3">
      <c r="B21" s="38" t="s">
        <v>95</v>
      </c>
    </row>
    <row r="22" spans="2:4" x14ac:dyDescent="0.3">
      <c r="C22" s="37"/>
      <c r="D22" s="32"/>
    </row>
    <row r="23" spans="2:4" ht="57.6" x14ac:dyDescent="0.3">
      <c r="B23" s="25"/>
      <c r="C23" s="46" t="s">
        <v>96</v>
      </c>
      <c r="D23" s="46" t="s">
        <v>85</v>
      </c>
    </row>
    <row r="24" spans="2:4" x14ac:dyDescent="0.3">
      <c r="B24" s="1" t="s">
        <v>93</v>
      </c>
      <c r="C24" s="47">
        <v>500733</v>
      </c>
      <c r="D24" s="50">
        <v>647973</v>
      </c>
    </row>
    <row r="25" spans="2:4" x14ac:dyDescent="0.3">
      <c r="B25" s="1" t="s">
        <v>97</v>
      </c>
      <c r="C25" s="47"/>
      <c r="D25" s="50">
        <v>482925</v>
      </c>
    </row>
    <row r="26" spans="2:4" x14ac:dyDescent="0.3">
      <c r="B26" s="1" t="s">
        <v>98</v>
      </c>
      <c r="C26" s="47"/>
      <c r="D26" s="50">
        <v>505517</v>
      </c>
    </row>
    <row r="27" spans="2:4" x14ac:dyDescent="0.3">
      <c r="B27" s="1" t="s">
        <v>99</v>
      </c>
      <c r="C27" s="47"/>
      <c r="D27" s="50">
        <v>409500</v>
      </c>
    </row>
    <row r="28" spans="2:4" x14ac:dyDescent="0.3">
      <c r="B28" s="1" t="s">
        <v>100</v>
      </c>
      <c r="C28" s="47"/>
      <c r="D28" s="47">
        <v>363000</v>
      </c>
    </row>
  </sheetData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153A-ABF6-420D-9352-1930CDFBC750}">
  <dimension ref="C7:P25"/>
  <sheetViews>
    <sheetView showGridLines="0" workbookViewId="0">
      <selection activeCell="J15" sqref="J15"/>
    </sheetView>
  </sheetViews>
  <sheetFormatPr defaultRowHeight="14.4" x14ac:dyDescent="0.3"/>
  <cols>
    <col min="3" max="3" width="9.21875" bestFit="1" customWidth="1"/>
    <col min="4" max="4" width="14.21875" bestFit="1" customWidth="1"/>
    <col min="5" max="5" width="9.44140625" customWidth="1"/>
    <col min="6" max="6" width="14.44140625" customWidth="1"/>
    <col min="7" max="7" width="16.33203125" customWidth="1"/>
    <col min="8" max="8" width="10.21875" customWidth="1"/>
    <col min="9" max="9" width="11.33203125" customWidth="1"/>
    <col min="10" max="10" width="10.5546875" bestFit="1" customWidth="1"/>
    <col min="11" max="12" width="14.44140625" bestFit="1" customWidth="1"/>
    <col min="13" max="13" width="10.5546875" customWidth="1"/>
    <col min="14" max="14" width="10.44140625" bestFit="1" customWidth="1"/>
  </cols>
  <sheetData>
    <row r="7" spans="3:16" x14ac:dyDescent="0.3">
      <c r="C7" s="239">
        <v>2023</v>
      </c>
      <c r="D7" s="239"/>
      <c r="E7" s="239"/>
      <c r="F7" s="239"/>
      <c r="G7" s="239"/>
      <c r="H7" s="239"/>
      <c r="I7" s="239"/>
      <c r="J7" s="239"/>
      <c r="K7" s="145"/>
      <c r="L7" s="145"/>
      <c r="M7" s="145"/>
    </row>
    <row r="8" spans="3:16" ht="55.2" x14ac:dyDescent="0.3">
      <c r="C8" s="291" t="s">
        <v>19</v>
      </c>
      <c r="D8" s="288" t="s">
        <v>32</v>
      </c>
      <c r="E8" s="288" t="s">
        <v>181</v>
      </c>
      <c r="F8" s="288" t="s">
        <v>182</v>
      </c>
      <c r="G8" s="289" t="s">
        <v>192</v>
      </c>
      <c r="H8" s="290" t="s">
        <v>183</v>
      </c>
      <c r="I8" s="290" t="s">
        <v>130</v>
      </c>
      <c r="J8" s="124" t="s">
        <v>131</v>
      </c>
      <c r="K8" s="124" t="s">
        <v>30</v>
      </c>
      <c r="L8" s="124" t="s">
        <v>147</v>
      </c>
      <c r="M8" s="124" t="s">
        <v>148</v>
      </c>
      <c r="O8" s="126" t="s">
        <v>184</v>
      </c>
      <c r="P8" s="1">
        <f>'Samples Vouchers'!F2</f>
        <v>16472</v>
      </c>
    </row>
    <row r="9" spans="3:16" x14ac:dyDescent="0.3">
      <c r="C9" s="292" t="s">
        <v>132</v>
      </c>
      <c r="D9" s="292" t="s">
        <v>133</v>
      </c>
      <c r="E9" s="293">
        <f>Optimize!D21/1000000</f>
        <v>4.1523210400000004</v>
      </c>
      <c r="F9" s="294">
        <f>Optimize!G21</f>
        <v>614.80063776943894</v>
      </c>
      <c r="G9" s="293">
        <f>Optimize!H21/1000000</f>
        <v>1.9924662768419648</v>
      </c>
      <c r="H9" s="295">
        <f>G9/E9</f>
        <v>0.47984398548383067</v>
      </c>
      <c r="I9" s="296">
        <f>F9/$P$8</f>
        <v>3.7323982380369047E-2</v>
      </c>
      <c r="J9" s="73">
        <f>(E9*1000000)/F9</f>
        <v>6753.9309247710862</v>
      </c>
      <c r="K9" s="73">
        <f>E9*1000000+100000</f>
        <v>4252321.040000001</v>
      </c>
      <c r="L9" s="73"/>
      <c r="M9" s="146">
        <f>(L9/1000000-G9)*10</f>
        <v>-19.924662768419648</v>
      </c>
    </row>
    <row r="10" spans="3:16" x14ac:dyDescent="0.3">
      <c r="C10" s="292" t="s">
        <v>132</v>
      </c>
      <c r="D10" s="292" t="s">
        <v>134</v>
      </c>
      <c r="E10" s="293">
        <f>Optimize!D28/1000000</f>
        <v>4.5200305399999996</v>
      </c>
      <c r="F10" s="294">
        <f>Optimize!G28</f>
        <v>2223.4364189864718</v>
      </c>
      <c r="G10" s="293">
        <f>Optimize!H28/1000000</f>
        <v>7.2057864149356652</v>
      </c>
      <c r="H10" s="295">
        <f t="shared" ref="H10:H13" si="0">G10/E10</f>
        <v>1.5941897629159969</v>
      </c>
      <c r="I10" s="296">
        <f t="shared" ref="I10:I15" si="1">F10/$P$8</f>
        <v>0.13498278405697375</v>
      </c>
      <c r="J10" s="73">
        <f t="shared" ref="J10:J15" si="2">(E10*1000000)/F10</f>
        <v>2032.902988096419</v>
      </c>
      <c r="K10" s="73">
        <f t="shared" ref="K10:K15" si="3">E10*1000000+100000</f>
        <v>4620030.54</v>
      </c>
      <c r="L10" s="73"/>
      <c r="M10" s="146">
        <f>(L10/1000000-G10)*10</f>
        <v>-72.057864149356647</v>
      </c>
    </row>
    <row r="11" spans="3:16" x14ac:dyDescent="0.3">
      <c r="C11" s="292" t="s">
        <v>132</v>
      </c>
      <c r="D11" s="292" t="s">
        <v>135</v>
      </c>
      <c r="E11" s="293">
        <f>Optimize!D29/1000000</f>
        <v>1.5388841899999999</v>
      </c>
      <c r="F11" s="294">
        <f>Optimize!G29</f>
        <v>692.45762145601077</v>
      </c>
      <c r="G11" s="293">
        <f>Optimize!H29/1000000</f>
        <v>2.2441396025530991</v>
      </c>
      <c r="H11" s="295">
        <f t="shared" si="0"/>
        <v>1.4582901150950802</v>
      </c>
      <c r="I11" s="296">
        <f t="shared" si="1"/>
        <v>4.2038466576979773E-2</v>
      </c>
      <c r="J11" s="73">
        <f t="shared" si="2"/>
        <v>2222.3514368492793</v>
      </c>
      <c r="K11" s="73">
        <f t="shared" si="3"/>
        <v>1638884.19</v>
      </c>
      <c r="L11" s="73"/>
      <c r="M11" s="146">
        <f t="shared" ref="M11:M13" si="4">(L11/1000000-G11)*10</f>
        <v>-22.441396025530992</v>
      </c>
    </row>
    <row r="12" spans="3:16" x14ac:dyDescent="0.3">
      <c r="C12" s="292" t="s">
        <v>132</v>
      </c>
      <c r="D12" s="292" t="s">
        <v>136</v>
      </c>
      <c r="E12" s="293">
        <f>Optimize!D30/1000000</f>
        <v>1.5392779999999999</v>
      </c>
      <c r="F12" s="294">
        <f>Optimize!G30</f>
        <v>638.66062946510624</v>
      </c>
      <c r="G12" s="293">
        <f>Optimize!H30/1000000</f>
        <v>2.0697925284734322</v>
      </c>
      <c r="H12" s="295">
        <f t="shared" si="0"/>
        <v>1.3446515369370784</v>
      </c>
      <c r="I12" s="296">
        <f t="shared" si="1"/>
        <v>3.877250057461791E-2</v>
      </c>
      <c r="J12" s="73">
        <f t="shared" si="2"/>
        <v>2410.1657891283867</v>
      </c>
      <c r="K12" s="73">
        <f t="shared" si="3"/>
        <v>1639278</v>
      </c>
      <c r="L12" s="73"/>
      <c r="M12" s="146">
        <f t="shared" si="4"/>
        <v>-20.697925284734321</v>
      </c>
    </row>
    <row r="13" spans="3:16" x14ac:dyDescent="0.3">
      <c r="C13" s="292" t="s">
        <v>132</v>
      </c>
      <c r="D13" s="292" t="s">
        <v>137</v>
      </c>
      <c r="E13" s="293">
        <f>Optimize!D31/1000000</f>
        <v>0.73602699999999999</v>
      </c>
      <c r="F13" s="294">
        <f>Optimize!G31</f>
        <v>212.3962711813729</v>
      </c>
      <c r="G13" s="293">
        <f>Optimize!H31/1000000</f>
        <v>0.68834087289052381</v>
      </c>
      <c r="H13" s="295">
        <f t="shared" si="0"/>
        <v>0.93521144318146454</v>
      </c>
      <c r="I13" s="296">
        <f t="shared" si="1"/>
        <v>1.2894382660355324E-2</v>
      </c>
      <c r="J13" s="73">
        <f t="shared" si="2"/>
        <v>3465.3480303874062</v>
      </c>
      <c r="K13" s="73">
        <f t="shared" si="3"/>
        <v>836027</v>
      </c>
      <c r="L13" s="73"/>
      <c r="M13" s="146">
        <f t="shared" si="4"/>
        <v>-6.8834087289052377</v>
      </c>
      <c r="N13" s="73">
        <f>SUM(L11:L13)</f>
        <v>0</v>
      </c>
      <c r="O13" s="125">
        <f>SUM(E11:E13)</f>
        <v>3.8141891899999996</v>
      </c>
    </row>
    <row r="14" spans="3:16" x14ac:dyDescent="0.3">
      <c r="C14" s="292" t="s">
        <v>132</v>
      </c>
      <c r="D14" s="292" t="s">
        <v>113</v>
      </c>
      <c r="E14" s="293">
        <f>Optimize!D33/1000000</f>
        <v>1.3619133700000001</v>
      </c>
      <c r="F14" s="294">
        <f>Optimize!G33</f>
        <v>2734.3520000000003</v>
      </c>
      <c r="G14" s="293"/>
      <c r="H14" s="295"/>
      <c r="I14" s="296">
        <f t="shared" si="1"/>
        <v>0.16600000000000001</v>
      </c>
      <c r="J14" s="73">
        <f t="shared" si="2"/>
        <v>498.07536483964026</v>
      </c>
      <c r="K14" s="73">
        <f t="shared" si="3"/>
        <v>1461913.37</v>
      </c>
      <c r="L14" s="73"/>
      <c r="M14" s="73"/>
    </row>
    <row r="15" spans="3:16" x14ac:dyDescent="0.3">
      <c r="C15" s="292" t="s">
        <v>132</v>
      </c>
      <c r="D15" s="292" t="s">
        <v>114</v>
      </c>
      <c r="E15" s="293">
        <f>Optimize!D34/1000000</f>
        <v>0.12630505</v>
      </c>
      <c r="F15" s="294">
        <f>Optimize!G34</f>
        <v>723.99270000000001</v>
      </c>
      <c r="G15" s="293"/>
      <c r="H15" s="295"/>
      <c r="I15" s="296">
        <f t="shared" si="1"/>
        <v>4.3952932248664402E-2</v>
      </c>
      <c r="J15" s="73">
        <f t="shared" si="2"/>
        <v>174.45624797045605</v>
      </c>
      <c r="K15" s="73">
        <f t="shared" si="3"/>
        <v>226305.05</v>
      </c>
      <c r="L15" s="73"/>
      <c r="M15" s="73"/>
    </row>
    <row r="16" spans="3:16" x14ac:dyDescent="0.3">
      <c r="C16" s="297" t="s">
        <v>132</v>
      </c>
      <c r="D16" s="297" t="s">
        <v>138</v>
      </c>
      <c r="E16" s="298">
        <f>SUM(E9:E15)</f>
        <v>13.974759189999999</v>
      </c>
      <c r="F16" s="299">
        <f t="shared" ref="F16:I16" si="5">SUM(F9:F15)</f>
        <v>7840.0962788584011</v>
      </c>
      <c r="G16" s="298">
        <f t="shared" si="5"/>
        <v>14.200525695694685</v>
      </c>
      <c r="H16" s="300">
        <f>SUM(G9:G13)/SUM(E9:E13)</f>
        <v>1.1372665942686611</v>
      </c>
      <c r="I16" s="301">
        <f t="shared" si="5"/>
        <v>0.47596504849796023</v>
      </c>
      <c r="J16" s="127">
        <f>(E16*1000000)/F16</f>
        <v>1782.4729050438227</v>
      </c>
      <c r="K16" s="127">
        <f>SUM(K9:K15)</f>
        <v>14674759.190000001</v>
      </c>
      <c r="L16" s="127">
        <f>SUM(L9:L15)</f>
        <v>0</v>
      </c>
      <c r="M16" s="127">
        <f>L16/K16</f>
        <v>0</v>
      </c>
    </row>
    <row r="18" spans="6:7" ht="27.6" x14ac:dyDescent="0.3">
      <c r="F18" s="123" t="s">
        <v>32</v>
      </c>
      <c r="G18" s="124" t="s">
        <v>139</v>
      </c>
    </row>
    <row r="19" spans="6:7" x14ac:dyDescent="0.3">
      <c r="F19" t="s">
        <v>114</v>
      </c>
      <c r="G19" s="73">
        <f>VLOOKUP(F19,$D$9:$J$15,7,0)</f>
        <v>174.45624797045605</v>
      </c>
    </row>
    <row r="20" spans="6:7" x14ac:dyDescent="0.3">
      <c r="F20" t="s">
        <v>113</v>
      </c>
      <c r="G20" s="73">
        <f>VLOOKUP(F20,$D$9:$J$15,7,0)</f>
        <v>498.07536483964026</v>
      </c>
    </row>
    <row r="21" spans="6:7" x14ac:dyDescent="0.3">
      <c r="F21" t="s">
        <v>134</v>
      </c>
      <c r="G21" s="73">
        <f>VLOOKUP(F21,$D$9:$J$15,7,0)</f>
        <v>2032.902988096419</v>
      </c>
    </row>
    <row r="22" spans="6:7" x14ac:dyDescent="0.3">
      <c r="F22" t="s">
        <v>135</v>
      </c>
      <c r="G22" s="73">
        <f>VLOOKUP(F22,$D$9:$J$15,7,0)</f>
        <v>2222.3514368492793</v>
      </c>
    </row>
    <row r="23" spans="6:7" x14ac:dyDescent="0.3">
      <c r="F23" t="s">
        <v>136</v>
      </c>
      <c r="G23" s="73">
        <f>VLOOKUP(F23,$D$9:$J$15,7,0)</f>
        <v>2410.1657891283867</v>
      </c>
    </row>
    <row r="24" spans="6:7" x14ac:dyDescent="0.3">
      <c r="F24" t="s">
        <v>137</v>
      </c>
      <c r="G24" s="73">
        <f>VLOOKUP(F24,$D$9:$J$15,7,0)</f>
        <v>3465.3480303874062</v>
      </c>
    </row>
    <row r="25" spans="6:7" x14ac:dyDescent="0.3">
      <c r="F25" t="s">
        <v>133</v>
      </c>
      <c r="G25" s="73">
        <f>VLOOKUP(F25,$D$9:$J$15,7,0)</f>
        <v>6753.9309247710862</v>
      </c>
    </row>
  </sheetData>
  <autoFilter ref="F18:G18" xr:uid="{49D5153A-ABF6-420D-9352-1930CDFBC750}">
    <sortState xmlns:xlrd2="http://schemas.microsoft.com/office/spreadsheetml/2017/richdata2" ref="F19:G25">
      <sortCondition ref="G18"/>
    </sortState>
  </autoFilter>
  <mergeCells count="1">
    <mergeCell ref="C7:J7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ignoredErrors>
    <ignoredError sqref="H16" formula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EB22-A6C6-49A6-BD3D-943E10017679}">
  <dimension ref="B2:AP63"/>
  <sheetViews>
    <sheetView showGridLines="0" topLeftCell="B21" zoomScale="70" zoomScaleNormal="70" workbookViewId="0">
      <selection activeCell="C36" sqref="C36"/>
    </sheetView>
  </sheetViews>
  <sheetFormatPr defaultRowHeight="14.4" x14ac:dyDescent="0.3"/>
  <cols>
    <col min="2" max="2" width="36.21875" bestFit="1" customWidth="1"/>
    <col min="3" max="3" width="12" bestFit="1" customWidth="1"/>
    <col min="4" max="4" width="13.5546875" bestFit="1" customWidth="1"/>
    <col min="5" max="5" width="1.77734375" customWidth="1"/>
    <col min="6" max="6" width="12.21875" bestFit="1" customWidth="1"/>
    <col min="7" max="7" width="11.21875" customWidth="1"/>
    <col min="8" max="8" width="13.77734375" customWidth="1"/>
    <col min="9" max="9" width="1.77734375" customWidth="1"/>
    <col min="10" max="10" width="12.21875" hidden="1" customWidth="1"/>
    <col min="11" max="11" width="10.77734375" hidden="1" customWidth="1"/>
    <col min="12" max="12" width="12.21875" hidden="1" customWidth="1"/>
    <col min="13" max="13" width="2.21875" hidden="1" customWidth="1"/>
    <col min="14" max="14" width="12.44140625" customWidth="1"/>
    <col min="15" max="15" width="12.21875" customWidth="1"/>
    <col min="16" max="16" width="14.77734375" customWidth="1"/>
    <col min="17" max="17" width="1.21875" customWidth="1"/>
    <col min="18" max="18" width="12" hidden="1" customWidth="1"/>
    <col min="19" max="19" width="13.21875" hidden="1" customWidth="1"/>
    <col min="20" max="20" width="15.21875" hidden="1" customWidth="1"/>
    <col min="21" max="21" width="2.77734375" hidden="1" customWidth="1"/>
    <col min="22" max="22" width="12" bestFit="1" customWidth="1"/>
    <col min="23" max="23" width="13.77734375" customWidth="1"/>
    <col min="24" max="24" width="13" bestFit="1" customWidth="1"/>
    <col min="25" max="25" width="2.21875" customWidth="1"/>
    <col min="26" max="26" width="12.44140625" bestFit="1" customWidth="1"/>
    <col min="27" max="27" width="11.77734375" customWidth="1"/>
    <col min="28" max="28" width="15.21875" bestFit="1" customWidth="1"/>
    <col min="29" max="29" width="2.21875" customWidth="1"/>
    <col min="30" max="30" width="12.44140625" customWidth="1"/>
    <col min="31" max="31" width="10.5546875" customWidth="1"/>
    <col min="32" max="32" width="13.21875" customWidth="1"/>
    <col min="33" max="33" width="2.21875" customWidth="1"/>
    <col min="34" max="34" width="12" bestFit="1" customWidth="1"/>
    <col min="35" max="35" width="11" customWidth="1"/>
    <col min="36" max="36" width="12.21875" customWidth="1"/>
    <col min="37" max="37" width="2.21875" customWidth="1"/>
    <col min="39" max="39" width="12.21875" bestFit="1" customWidth="1"/>
  </cols>
  <sheetData>
    <row r="2" spans="2:42" x14ac:dyDescent="0.3">
      <c r="R2" s="240"/>
      <c r="S2" s="240"/>
      <c r="T2" s="240"/>
    </row>
    <row r="3" spans="2:42" ht="15.6" x14ac:dyDescent="0.3">
      <c r="N3" s="249" t="s">
        <v>128</v>
      </c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</row>
    <row r="4" spans="2:42" x14ac:dyDescent="0.3">
      <c r="C4" s="241" t="str">
        <f>CONCATENATE("Current 2023 Budget (",TEXT(ROUND(C30/1000000,1),"$0.0"),")")</f>
        <v>Current 2023 Budget ($14.0)</v>
      </c>
      <c r="D4" s="242"/>
      <c r="E4" s="243"/>
      <c r="F4" s="241" t="str">
        <f>CONCATENATE("Optimal Current Budget (",TEXT(ROUND(F30/1000000,1),"$0.0"),")")</f>
        <v>Optimal Current Budget ($14.0)</v>
      </c>
      <c r="G4" s="242"/>
      <c r="H4" s="243"/>
      <c r="J4" s="241" t="str">
        <f>CONCATENATE(TEXT(K30,"%0")," Decrease Optimal (",TEXT(ROUND(J30/1000000,1),"$0.0"),")")</f>
        <v>-%10 Decrease Optimal ($12.6)</v>
      </c>
      <c r="K4" s="242"/>
      <c r="L4" s="243"/>
      <c r="N4" s="241" t="str">
        <f>CONCATENATE(TEXT(O30,"%0")," Increase Optimal (",TEXT(ROUND(N30/1000000,1),"$0.0"),")")</f>
        <v>%10 Increase Optimal ($15.4)</v>
      </c>
      <c r="O4" s="242"/>
      <c r="P4" s="243"/>
      <c r="R4" s="241" t="str">
        <f>CONCATENATE(TEXT(S30,"%0")," Decrease Optimal (",TEXT(ROUND(R30/1000000,1),"$0.0"),")")</f>
        <v>-%20 Decrease Optimal ($11.2)</v>
      </c>
      <c r="S4" s="242"/>
      <c r="T4" s="243"/>
      <c r="V4" s="241" t="str">
        <f>CONCATENATE(TEXT(W30,"%0")," Increase Optimal (",TEXT(ROUND(V30/1000000,1),"$0.0"),")")</f>
        <v>%20 Increase Optimal ($16.8)</v>
      </c>
      <c r="W4" s="242"/>
      <c r="X4" s="243"/>
      <c r="Z4" s="241" t="str">
        <f>CONCATENATE(TEXT(AA30,"%0")," Decrease Optimal (",TEXT(ROUND(Z30/1000000,1),"$0.0"),")")</f>
        <v>-%100 Decrease Optimal ($0.0)</v>
      </c>
      <c r="AA4" s="242"/>
      <c r="AB4" s="243"/>
      <c r="AD4" s="241" t="str">
        <f>CONCATENATE(TEXT(AE30,"%0")," Increase Optimal (",TEXT(ROUND(AD30/1000000,1),"$0.0"),")")</f>
        <v>-%100 Increase Optimal ($0.0)</v>
      </c>
      <c r="AE4" s="242"/>
      <c r="AF4" s="243"/>
      <c r="AH4" s="114"/>
      <c r="AI4" s="114"/>
      <c r="AJ4" s="114"/>
    </row>
    <row r="5" spans="2:42" ht="43.2" x14ac:dyDescent="0.3">
      <c r="B5" s="113" t="s">
        <v>119</v>
      </c>
      <c r="C5" t="s">
        <v>30</v>
      </c>
      <c r="D5" s="36" t="s">
        <v>120</v>
      </c>
      <c r="F5" t="s">
        <v>30</v>
      </c>
      <c r="G5" s="36" t="s">
        <v>123</v>
      </c>
      <c r="H5" s="36" t="s">
        <v>124</v>
      </c>
      <c r="J5" t="s">
        <v>30</v>
      </c>
      <c r="K5" s="36" t="s">
        <v>123</v>
      </c>
      <c r="L5" s="36" t="s">
        <v>124</v>
      </c>
      <c r="N5" t="s">
        <v>30</v>
      </c>
      <c r="O5" s="36" t="s">
        <v>123</v>
      </c>
      <c r="P5" s="36" t="s">
        <v>124</v>
      </c>
      <c r="R5" t="s">
        <v>30</v>
      </c>
      <c r="S5" s="36" t="s">
        <v>123</v>
      </c>
      <c r="T5" s="36" t="s">
        <v>124</v>
      </c>
      <c r="V5" t="s">
        <v>30</v>
      </c>
      <c r="W5" s="36" t="s">
        <v>123</v>
      </c>
      <c r="X5" s="36" t="s">
        <v>124</v>
      </c>
      <c r="Z5" t="s">
        <v>30</v>
      </c>
      <c r="AA5" s="36" t="s">
        <v>123</v>
      </c>
      <c r="AB5" s="36" t="s">
        <v>124</v>
      </c>
      <c r="AD5" t="s">
        <v>30</v>
      </c>
      <c r="AE5" s="36" t="s">
        <v>123</v>
      </c>
      <c r="AF5" s="36" t="s">
        <v>124</v>
      </c>
      <c r="AH5" s="114"/>
      <c r="AI5" s="114"/>
      <c r="AJ5" s="114"/>
    </row>
    <row r="6" spans="2:42" x14ac:dyDescent="0.3">
      <c r="B6" s="37" t="s">
        <v>177</v>
      </c>
      <c r="C6" s="115">
        <v>347232.01</v>
      </c>
      <c r="D6" s="115">
        <v>486996.50807455275</v>
      </c>
      <c r="F6" s="115">
        <v>486124.81399999995</v>
      </c>
      <c r="G6" s="114">
        <v>0.39999999999999986</v>
      </c>
      <c r="H6" s="115">
        <v>616333.07181982242</v>
      </c>
      <c r="J6" s="115">
        <v>486124.81399999995</v>
      </c>
      <c r="K6" s="114">
        <v>0.39999999999999986</v>
      </c>
      <c r="L6" s="115">
        <v>616333.07181982242</v>
      </c>
      <c r="N6" s="115">
        <v>486124.81399999995</v>
      </c>
      <c r="O6" s="114">
        <v>0.39999999999999986</v>
      </c>
      <c r="P6" s="115">
        <v>616333.07181982242</v>
      </c>
      <c r="R6" s="115">
        <v>486124.81399999995</v>
      </c>
      <c r="S6" s="114">
        <v>0.39999999999999986</v>
      </c>
      <c r="T6" s="115">
        <v>616333.07181982242</v>
      </c>
      <c r="V6" s="115">
        <v>486124.81399999995</v>
      </c>
      <c r="W6" s="114">
        <v>0.39999999999999986</v>
      </c>
      <c r="X6" s="115">
        <v>616333.07181982242</v>
      </c>
      <c r="Z6" s="115"/>
      <c r="AA6" s="114"/>
      <c r="AB6" s="115"/>
      <c r="AD6" s="115"/>
      <c r="AE6" s="114"/>
      <c r="AF6" s="115"/>
      <c r="AH6" s="114"/>
      <c r="AI6" s="114"/>
      <c r="AJ6" s="114"/>
      <c r="AM6">
        <f>Optimize!O12</f>
        <v>486124.81399999995</v>
      </c>
      <c r="AN6" s="21">
        <f>Optimize!U12</f>
        <v>0.39999999999999986</v>
      </c>
      <c r="AO6">
        <f>Optimize!Q12</f>
        <v>616333.07181982242</v>
      </c>
      <c r="AP6" s="70">
        <f>AM6-F6</f>
        <v>0</v>
      </c>
    </row>
    <row r="7" spans="2:42" x14ac:dyDescent="0.3">
      <c r="B7" s="37" t="s">
        <v>168</v>
      </c>
      <c r="C7" s="115">
        <v>58414.229999999996</v>
      </c>
      <c r="D7" s="115">
        <v>55354.090253651324</v>
      </c>
      <c r="F7" s="115">
        <v>59737.188656208273</v>
      </c>
      <c r="G7" s="114">
        <v>3.2921910340767038E-2</v>
      </c>
      <c r="H7" s="115">
        <v>56228.694992806384</v>
      </c>
      <c r="J7" s="115">
        <v>52727.785640301256</v>
      </c>
      <c r="K7" s="114">
        <v>-2.8428450512201973E-2</v>
      </c>
      <c r="L7" s="115">
        <v>51524.564683064506</v>
      </c>
      <c r="N7" s="115">
        <v>70655.605418525287</v>
      </c>
      <c r="O7" s="114">
        <v>0.20601438115187079</v>
      </c>
      <c r="P7" s="115">
        <v>63239.62609808331</v>
      </c>
      <c r="R7" s="115">
        <v>62673.848241783198</v>
      </c>
      <c r="S7" s="114">
        <v>-1.9863823245775646E-3</v>
      </c>
      <c r="T7" s="115">
        <v>58149.650828415695</v>
      </c>
      <c r="V7" s="115">
        <v>81779.921999999991</v>
      </c>
      <c r="W7" s="114">
        <v>0.40000000001711894</v>
      </c>
      <c r="X7" s="115">
        <v>70055.033081678193</v>
      </c>
      <c r="Z7" s="115"/>
      <c r="AA7" s="114"/>
      <c r="AB7" s="115"/>
      <c r="AD7" s="115"/>
      <c r="AE7" s="114"/>
      <c r="AF7" s="115"/>
      <c r="AH7" s="114"/>
      <c r="AI7" s="114"/>
      <c r="AJ7" s="114"/>
      <c r="AM7">
        <f>Optimize!O13</f>
        <v>81779.922000999984</v>
      </c>
      <c r="AN7" s="21">
        <f>Optimize!U13</f>
        <v>0.40000000001711894</v>
      </c>
      <c r="AO7">
        <f>Optimize!Q13</f>
        <v>70055.033082277878</v>
      </c>
      <c r="AP7" s="70">
        <f t="shared" ref="AP7:AP29" si="0">AM7-F7</f>
        <v>22042.733344791712</v>
      </c>
    </row>
    <row r="8" spans="2:42" x14ac:dyDescent="0.3">
      <c r="B8" s="37" t="s">
        <v>169</v>
      </c>
      <c r="C8" s="115">
        <v>32000</v>
      </c>
      <c r="D8" s="115">
        <v>30400</v>
      </c>
      <c r="F8" s="115">
        <v>32986.8518029236</v>
      </c>
      <c r="G8" s="114">
        <v>6.9718998156741915E-3</v>
      </c>
      <c r="H8" s="115">
        <v>31053.260556972004</v>
      </c>
      <c r="J8" s="115">
        <v>30947.00151687827</v>
      </c>
      <c r="K8" s="114">
        <v>-2.0082461903460854E-2</v>
      </c>
      <c r="L8" s="115">
        <v>29696.249414452781</v>
      </c>
      <c r="N8" s="115">
        <v>39091.652967357695</v>
      </c>
      <c r="O8" s="114">
        <v>0.21149442045940303</v>
      </c>
      <c r="P8" s="115">
        <v>34972.559930952637</v>
      </c>
      <c r="R8" s="115">
        <v>36108.436637859704</v>
      </c>
      <c r="S8" s="114">
        <v>0.12564928423826041</v>
      </c>
      <c r="T8" s="115">
        <v>33082.222529221181</v>
      </c>
      <c r="V8" s="115">
        <v>44800</v>
      </c>
      <c r="W8" s="114">
        <v>0.4</v>
      </c>
      <c r="X8" s="115">
        <v>38473.6339432936</v>
      </c>
      <c r="Z8" s="115"/>
      <c r="AA8" s="114"/>
      <c r="AB8" s="115"/>
      <c r="AD8" s="115"/>
      <c r="AE8" s="114"/>
      <c r="AF8" s="115"/>
      <c r="AH8" s="114"/>
      <c r="AI8" s="114"/>
      <c r="AJ8" s="114"/>
      <c r="AM8">
        <f>Optimize!O14</f>
        <v>44800</v>
      </c>
      <c r="AN8" s="21">
        <f>Optimize!U14</f>
        <v>0.4</v>
      </c>
      <c r="AO8">
        <f>Optimize!Q14</f>
        <v>38473.6339432936</v>
      </c>
      <c r="AP8" s="70">
        <f t="shared" si="0"/>
        <v>11813.1481970764</v>
      </c>
    </row>
    <row r="9" spans="2:42" x14ac:dyDescent="0.3">
      <c r="B9" s="37" t="s">
        <v>170</v>
      </c>
      <c r="C9" s="115">
        <v>165000</v>
      </c>
      <c r="D9" s="115">
        <v>15896.959692341914</v>
      </c>
      <c r="F9" s="115">
        <v>99000</v>
      </c>
      <c r="G9" s="114">
        <v>-0.4</v>
      </c>
      <c r="H9" s="115">
        <v>11117.827933124288</v>
      </c>
      <c r="J9" s="115">
        <v>99000</v>
      </c>
      <c r="K9" s="114">
        <v>-0.4</v>
      </c>
      <c r="L9" s="115">
        <v>11117.827933124288</v>
      </c>
      <c r="N9" s="115">
        <v>99000</v>
      </c>
      <c r="O9" s="114">
        <v>-0.4</v>
      </c>
      <c r="P9" s="115">
        <v>11117.827933124288</v>
      </c>
      <c r="R9" s="115">
        <v>99000</v>
      </c>
      <c r="S9" s="114">
        <v>-0.4</v>
      </c>
      <c r="T9" s="115">
        <v>11117.827933124288</v>
      </c>
      <c r="V9" s="115">
        <v>230999.99999999997</v>
      </c>
      <c r="W9" s="114">
        <v>0.3999999999999998</v>
      </c>
      <c r="X9" s="115">
        <v>20118.875263633421</v>
      </c>
      <c r="Z9" s="115"/>
      <c r="AA9" s="114"/>
      <c r="AB9" s="115"/>
      <c r="AD9" s="115"/>
      <c r="AE9" s="114"/>
      <c r="AF9" s="115"/>
      <c r="AH9" s="114"/>
      <c r="AI9" s="114"/>
      <c r="AJ9" s="114"/>
      <c r="AM9">
        <f>Optimize!O17</f>
        <v>1156197.9659999998</v>
      </c>
      <c r="AN9" s="21">
        <f>Optimize!U17</f>
        <v>0.39999999999999986</v>
      </c>
      <c r="AO9">
        <f>Optimize!Q17</f>
        <v>993723.27071777987</v>
      </c>
      <c r="AP9" s="70">
        <f t="shared" si="0"/>
        <v>1057197.9659999998</v>
      </c>
    </row>
    <row r="10" spans="2:42" x14ac:dyDescent="0.3">
      <c r="B10" s="37" t="s">
        <v>22</v>
      </c>
      <c r="C10" s="115">
        <v>194726</v>
      </c>
      <c r="D10" s="115">
        <v>154205.20495191679</v>
      </c>
      <c r="F10" s="115">
        <v>116835.59999999999</v>
      </c>
      <c r="G10" s="114">
        <v>-0.4</v>
      </c>
      <c r="H10" s="115">
        <v>107846.21513970806</v>
      </c>
      <c r="J10" s="115">
        <v>116835.59999999999</v>
      </c>
      <c r="K10" s="114">
        <v>-0.4</v>
      </c>
      <c r="L10" s="115">
        <v>107846.21513970806</v>
      </c>
      <c r="N10" s="115">
        <v>132070.57919998813</v>
      </c>
      <c r="O10" s="114">
        <v>-0.32425382137242142</v>
      </c>
      <c r="P10" s="115">
        <v>117507.75541790994</v>
      </c>
      <c r="R10" s="115">
        <v>116835.59999999999</v>
      </c>
      <c r="S10" s="114">
        <v>-0.4</v>
      </c>
      <c r="T10" s="115">
        <v>107846.21513970806</v>
      </c>
      <c r="V10" s="115">
        <v>272616.39999999997</v>
      </c>
      <c r="W10" s="114">
        <v>0.3999999999999998</v>
      </c>
      <c r="X10" s="115">
        <v>195159.03314048069</v>
      </c>
      <c r="Z10" s="115"/>
      <c r="AA10" s="114"/>
      <c r="AB10" s="115"/>
      <c r="AD10" s="115"/>
      <c r="AE10" s="114"/>
      <c r="AF10" s="115"/>
      <c r="AH10" s="114"/>
      <c r="AI10" s="114"/>
      <c r="AJ10" s="114"/>
      <c r="AM10">
        <f>Optimize!O19</f>
        <v>325955</v>
      </c>
      <c r="AN10" s="21">
        <f>Optimize!U19</f>
        <v>0.4</v>
      </c>
      <c r="AO10">
        <f>Optimize!Q19</f>
        <v>353590.41405976377</v>
      </c>
      <c r="AP10" s="70">
        <f t="shared" si="0"/>
        <v>209119.40000000002</v>
      </c>
    </row>
    <row r="11" spans="2:42" x14ac:dyDescent="0.3">
      <c r="B11" s="37" t="s">
        <v>79</v>
      </c>
      <c r="C11" s="115">
        <v>825855.69</v>
      </c>
      <c r="D11" s="115">
        <v>785191.94402966613</v>
      </c>
      <c r="F11" s="115">
        <v>854010.49953930452</v>
      </c>
      <c r="G11" s="114">
        <v>8.0674745664965061E-2</v>
      </c>
      <c r="H11" s="115">
        <v>803835.47100945783</v>
      </c>
      <c r="J11" s="115">
        <v>820070.60769254679</v>
      </c>
      <c r="K11" s="114">
        <v>-1.7562820968113815E-2</v>
      </c>
      <c r="L11" s="115">
        <v>781337.72196026391</v>
      </c>
      <c r="N11" s="115">
        <v>1028008.0425855231</v>
      </c>
      <c r="O11" s="114">
        <v>0.2461473145292131</v>
      </c>
      <c r="P11" s="115">
        <v>915251.56056527805</v>
      </c>
      <c r="R11" s="115">
        <v>796062.64975129603</v>
      </c>
      <c r="S11" s="114">
        <v>-3.2765484120127898E-2</v>
      </c>
      <c r="T11" s="115">
        <v>765254.677613265</v>
      </c>
      <c r="V11" s="115">
        <v>1156197.9659999998</v>
      </c>
      <c r="W11" s="114">
        <v>0.39999999999999986</v>
      </c>
      <c r="X11" s="115">
        <v>993723.27071777987</v>
      </c>
      <c r="Z11" s="115"/>
      <c r="AA11" s="114"/>
      <c r="AB11" s="115"/>
      <c r="AD11" s="115"/>
      <c r="AE11" s="114"/>
      <c r="AF11" s="115"/>
      <c r="AH11" s="114"/>
      <c r="AI11" s="114"/>
      <c r="AJ11" s="114"/>
      <c r="AN11" s="21"/>
      <c r="AP11" s="70"/>
    </row>
    <row r="12" spans="2:42" x14ac:dyDescent="0.3">
      <c r="B12" s="37" t="s">
        <v>171</v>
      </c>
      <c r="C12" s="115">
        <v>45000</v>
      </c>
      <c r="D12" s="115">
        <v>42642.590023258199</v>
      </c>
      <c r="F12" s="115">
        <v>46044.641457306643</v>
      </c>
      <c r="G12" s="114">
        <v>6.9250646422758133E-2</v>
      </c>
      <c r="H12" s="115">
        <v>43333.142219356494</v>
      </c>
      <c r="J12" s="115">
        <v>39435.157150274325</v>
      </c>
      <c r="K12" s="114">
        <v>-2.8483278741272645E-2</v>
      </c>
      <c r="L12" s="115">
        <v>38878.841764028009</v>
      </c>
      <c r="N12" s="115">
        <v>53640.76882860787</v>
      </c>
      <c r="O12" s="114">
        <v>0.18949389866187266</v>
      </c>
      <c r="P12" s="115">
        <v>48221.566117315328</v>
      </c>
      <c r="R12" s="115">
        <v>48335.617369061547</v>
      </c>
      <c r="S12" s="114">
        <v>0.1125655421014353</v>
      </c>
      <c r="T12" s="115">
        <v>44831.359025159079</v>
      </c>
      <c r="V12" s="115">
        <v>62999.999999999993</v>
      </c>
      <c r="W12" s="114">
        <v>0.39999999999999986</v>
      </c>
      <c r="X12" s="115">
        <v>53967.611807525689</v>
      </c>
      <c r="Z12" s="115"/>
      <c r="AA12" s="114"/>
      <c r="AB12" s="115"/>
      <c r="AD12" s="115"/>
      <c r="AE12" s="114"/>
      <c r="AF12" s="115"/>
      <c r="AH12" s="114"/>
      <c r="AI12" s="114"/>
      <c r="AJ12" s="114"/>
      <c r="AN12" s="21"/>
      <c r="AP12" s="70"/>
    </row>
    <row r="13" spans="2:42" x14ac:dyDescent="0.3">
      <c r="B13" s="37" t="s">
        <v>172</v>
      </c>
      <c r="C13" s="115">
        <v>232825</v>
      </c>
      <c r="D13" s="115">
        <v>279390</v>
      </c>
      <c r="F13" s="115">
        <v>325955</v>
      </c>
      <c r="G13" s="114">
        <v>0.4</v>
      </c>
      <c r="H13" s="115">
        <v>353590.41405976377</v>
      </c>
      <c r="J13" s="115">
        <v>325955</v>
      </c>
      <c r="K13" s="114">
        <v>0.4</v>
      </c>
      <c r="L13" s="115">
        <v>353590.41405976377</v>
      </c>
      <c r="N13" s="115">
        <v>325955</v>
      </c>
      <c r="O13" s="114">
        <v>0.4</v>
      </c>
      <c r="P13" s="115">
        <v>353590.41405976377</v>
      </c>
      <c r="R13" s="115">
        <v>325955</v>
      </c>
      <c r="S13" s="114">
        <v>0.4</v>
      </c>
      <c r="T13" s="115">
        <v>353590.41405976377</v>
      </c>
      <c r="V13" s="115">
        <v>325955</v>
      </c>
      <c r="W13" s="114">
        <v>0.4</v>
      </c>
      <c r="X13" s="115">
        <v>353590.41405976377</v>
      </c>
      <c r="Z13" s="115"/>
      <c r="AA13" s="114"/>
      <c r="AB13" s="115"/>
      <c r="AD13" s="115"/>
      <c r="AE13" s="114"/>
      <c r="AF13" s="115"/>
      <c r="AH13" s="114"/>
      <c r="AI13" s="114"/>
      <c r="AJ13" s="114"/>
      <c r="AN13" s="21"/>
      <c r="AP13" s="70"/>
    </row>
    <row r="14" spans="2:42" x14ac:dyDescent="0.3">
      <c r="B14" s="37" t="s">
        <v>161</v>
      </c>
      <c r="C14" s="115">
        <v>2251268.11</v>
      </c>
      <c r="D14" s="115">
        <v>142388.97981657769</v>
      </c>
      <c r="F14" s="115">
        <v>1350760.8659999999</v>
      </c>
      <c r="G14" s="114">
        <v>-0.4</v>
      </c>
      <c r="H14" s="115">
        <v>99582.323149276635</v>
      </c>
      <c r="J14" s="115">
        <v>1350760.8659999999</v>
      </c>
      <c r="K14" s="114">
        <v>-0.4</v>
      </c>
      <c r="L14" s="115">
        <v>99582.323149276635</v>
      </c>
      <c r="N14" s="115">
        <v>1350760.8659999999</v>
      </c>
      <c r="O14" s="114">
        <v>-0.4</v>
      </c>
      <c r="P14" s="115">
        <v>99582.323149276635</v>
      </c>
      <c r="R14" s="115">
        <v>1350760.8659999999</v>
      </c>
      <c r="S14" s="114">
        <v>-0.4</v>
      </c>
      <c r="T14" s="115">
        <v>99582.323149276635</v>
      </c>
      <c r="V14" s="115">
        <v>2321309.1459999969</v>
      </c>
      <c r="W14" s="114">
        <v>3.111181457636247E-2</v>
      </c>
      <c r="X14" s="115">
        <v>145475.68558209913</v>
      </c>
      <c r="Z14" s="115"/>
      <c r="AA14" s="114"/>
      <c r="AB14" s="115"/>
      <c r="AD14" s="115"/>
      <c r="AE14" s="114"/>
      <c r="AF14" s="115"/>
      <c r="AH14" s="114"/>
      <c r="AI14" s="114"/>
      <c r="AJ14" s="114"/>
      <c r="AM14">
        <f>Optimize!O18</f>
        <v>62999.999999999993</v>
      </c>
      <c r="AN14" s="21">
        <f>Optimize!U18</f>
        <v>0.39999999999999986</v>
      </c>
      <c r="AO14">
        <f>Optimize!Q18</f>
        <v>53967.611807525689</v>
      </c>
      <c r="AP14" s="70">
        <f>AM14-F14</f>
        <v>-1287760.8659999999</v>
      </c>
    </row>
    <row r="15" spans="2:42" x14ac:dyDescent="0.3">
      <c r="B15" s="151" t="s">
        <v>159</v>
      </c>
      <c r="C15" s="152">
        <v>4152321.0399999996</v>
      </c>
      <c r="D15" s="152">
        <v>1992466.276841965</v>
      </c>
      <c r="F15" s="152">
        <v>3371455.4614557428</v>
      </c>
      <c r="G15" s="153">
        <v>-0.17833078107262035</v>
      </c>
      <c r="H15" s="152">
        <v>2122920.4208802879</v>
      </c>
      <c r="J15" s="152">
        <v>3321856.8320000004</v>
      </c>
      <c r="K15" s="153">
        <v>-0.19999999999999987</v>
      </c>
      <c r="L15" s="152">
        <v>2089907.2299235044</v>
      </c>
      <c r="N15" s="152">
        <v>3585307.3290000022</v>
      </c>
      <c r="O15" s="153">
        <v>-0.13655343735175102</v>
      </c>
      <c r="P15" s="152">
        <v>2259816.7050915263</v>
      </c>
      <c r="R15" s="152">
        <v>3321856.8320000004</v>
      </c>
      <c r="S15" s="153">
        <v>-0.19999999999999979</v>
      </c>
      <c r="T15" s="152">
        <v>2089787.7620977561</v>
      </c>
      <c r="V15" s="152">
        <v>4982783.2479999969</v>
      </c>
      <c r="W15" s="153">
        <v>0.19999951834191454</v>
      </c>
      <c r="X15" s="152">
        <v>2486896.6294160769</v>
      </c>
      <c r="Z15" s="152"/>
      <c r="AA15" s="153"/>
      <c r="AB15" s="152"/>
      <c r="AD15" s="152"/>
      <c r="AE15" s="153"/>
      <c r="AF15" s="152"/>
      <c r="AH15" s="114"/>
      <c r="AI15" s="114"/>
      <c r="AJ15" s="114"/>
      <c r="AM15">
        <f>Optimize!O21</f>
        <v>4982783.248000998</v>
      </c>
      <c r="AN15" s="21">
        <f>Optimize!U21</f>
        <v>0.19999951834191454</v>
      </c>
      <c r="AO15">
        <f>Optimize!Q21</f>
        <v>2486896.6294166762</v>
      </c>
      <c r="AP15" s="70">
        <f t="shared" si="0"/>
        <v>1611327.7865452552</v>
      </c>
    </row>
    <row r="16" spans="2:42" x14ac:dyDescent="0.3">
      <c r="B16" s="37" t="s">
        <v>57</v>
      </c>
      <c r="C16" s="115">
        <v>1604598.54</v>
      </c>
      <c r="D16" s="115">
        <v>1353821.0550478902</v>
      </c>
      <c r="F16" s="115">
        <v>1114324.796544255</v>
      </c>
      <c r="G16" s="114">
        <v>-0.33070743518969259</v>
      </c>
      <c r="H16" s="115">
        <v>1048849.1861333945</v>
      </c>
      <c r="J16" s="115">
        <v>962759.12399999995</v>
      </c>
      <c r="K16" s="114">
        <v>-0.4</v>
      </c>
      <c r="L16" s="115">
        <v>946819.38141379645</v>
      </c>
      <c r="N16" s="115">
        <v>1945408.7419907697</v>
      </c>
      <c r="O16" s="114">
        <v>0.21151594024987569</v>
      </c>
      <c r="P16" s="115">
        <v>1549217.4972766486</v>
      </c>
      <c r="R16" s="115">
        <v>962759.12399999995</v>
      </c>
      <c r="S16" s="114">
        <v>-0.4</v>
      </c>
      <c r="T16" s="115">
        <v>946819.38141379645</v>
      </c>
      <c r="V16" s="115">
        <v>1950415.8454766863</v>
      </c>
      <c r="W16" s="114">
        <v>0.21551636993887616</v>
      </c>
      <c r="X16" s="115">
        <v>1552007.5899180516</v>
      </c>
      <c r="Z16" s="115"/>
      <c r="AA16" s="114"/>
      <c r="AB16" s="115"/>
      <c r="AD16" s="115"/>
      <c r="AE16" s="114"/>
      <c r="AF16" s="115"/>
      <c r="AH16" s="114"/>
      <c r="AI16" s="114"/>
      <c r="AJ16" s="114"/>
      <c r="AM16">
        <f>Optimize!O22</f>
        <v>1950415.7925500206</v>
      </c>
      <c r="AN16" s="21">
        <f>Optimize!U22</f>
        <v>0.21551636993887616</v>
      </c>
      <c r="AO16">
        <f>Optimize!Q22</f>
        <v>1552007.5604372583</v>
      </c>
      <c r="AP16" s="70">
        <f t="shared" si="0"/>
        <v>836090.99600576563</v>
      </c>
    </row>
    <row r="17" spans="2:42" x14ac:dyDescent="0.3">
      <c r="B17" s="37" t="s">
        <v>94</v>
      </c>
      <c r="C17" s="115">
        <v>1116009</v>
      </c>
      <c r="D17" s="115">
        <v>3639576.2451883792</v>
      </c>
      <c r="F17" s="115">
        <v>1562412.5999999999</v>
      </c>
      <c r="G17" s="114">
        <v>0.39999999999999986</v>
      </c>
      <c r="H17" s="115">
        <v>4606175.1370422682</v>
      </c>
      <c r="J17" s="115">
        <v>1562412.5999999999</v>
      </c>
      <c r="K17" s="114">
        <v>0.39999999999999986</v>
      </c>
      <c r="L17" s="115">
        <v>4606175.1370422682</v>
      </c>
      <c r="N17" s="115">
        <v>1562412.5999999999</v>
      </c>
      <c r="O17" s="114">
        <v>0.39999999999999986</v>
      </c>
      <c r="P17" s="115">
        <v>4606175.1370422682</v>
      </c>
      <c r="R17" s="115">
        <v>1506076.3687001392</v>
      </c>
      <c r="S17" s="114">
        <v>0.35876692029428447</v>
      </c>
      <c r="T17" s="115">
        <v>4489276.2409511013</v>
      </c>
      <c r="V17" s="115">
        <v>1562412.5999999999</v>
      </c>
      <c r="W17" s="114">
        <v>0.39999999999999986</v>
      </c>
      <c r="X17" s="115">
        <v>4606175.1370422682</v>
      </c>
      <c r="Z17" s="115"/>
      <c r="AA17" s="114"/>
      <c r="AB17" s="115"/>
      <c r="AD17" s="115"/>
      <c r="AE17" s="114"/>
      <c r="AF17" s="115"/>
      <c r="AH17" s="114"/>
      <c r="AI17" s="114"/>
      <c r="AJ17" s="114"/>
      <c r="AM17">
        <f>Optimize!O23</f>
        <v>1562412.5999999999</v>
      </c>
      <c r="AN17" s="21">
        <f>Optimize!U23</f>
        <v>0.39999999999999986</v>
      </c>
      <c r="AO17">
        <f>Optimize!Q23</f>
        <v>4606175.1370422682</v>
      </c>
      <c r="AP17" s="70">
        <f t="shared" si="0"/>
        <v>0</v>
      </c>
    </row>
    <row r="18" spans="2:42" x14ac:dyDescent="0.3">
      <c r="B18" s="37" t="s">
        <v>173</v>
      </c>
      <c r="C18" s="115">
        <v>881744</v>
      </c>
      <c r="D18" s="115">
        <v>700396.16213675716</v>
      </c>
      <c r="F18" s="115">
        <v>529046.4</v>
      </c>
      <c r="G18" s="114">
        <v>-0.39999999999999997</v>
      </c>
      <c r="H18" s="115">
        <v>489834.79648679512</v>
      </c>
      <c r="J18" s="115">
        <v>529046.4</v>
      </c>
      <c r="K18" s="114">
        <v>-0.39999999999999997</v>
      </c>
      <c r="L18" s="115">
        <v>489834.79648679512</v>
      </c>
      <c r="N18" s="115">
        <v>881586.50600923027</v>
      </c>
      <c r="O18" s="114">
        <v>1.4227928835617216E-3</v>
      </c>
      <c r="P18" s="115">
        <v>700308.58819279261</v>
      </c>
      <c r="R18" s="115">
        <v>529046.4</v>
      </c>
      <c r="S18" s="114">
        <v>-0.39999999999999997</v>
      </c>
      <c r="T18" s="115">
        <v>489834.79648679512</v>
      </c>
      <c r="V18" s="115">
        <v>876579.40252331377</v>
      </c>
      <c r="W18" s="114">
        <v>-5.8571927339686808E-3</v>
      </c>
      <c r="X18" s="115">
        <v>697521.95454248006</v>
      </c>
      <c r="Z18" s="115"/>
      <c r="AA18" s="114"/>
      <c r="AB18" s="115"/>
      <c r="AD18" s="115"/>
      <c r="AE18" s="114"/>
      <c r="AF18" s="115"/>
      <c r="AH18" s="114"/>
      <c r="AI18" s="114"/>
      <c r="AJ18" s="114"/>
      <c r="AM18">
        <f>Optimize!O24</f>
        <v>876579.45544997952</v>
      </c>
      <c r="AN18" s="21">
        <f>Optimize!U24</f>
        <v>-5.8571927339686808E-3</v>
      </c>
      <c r="AO18">
        <f>Optimize!Q24</f>
        <v>697521.98402327497</v>
      </c>
      <c r="AP18" s="70">
        <f t="shared" si="0"/>
        <v>347533.0554499795</v>
      </c>
    </row>
    <row r="19" spans="2:42" x14ac:dyDescent="0.3">
      <c r="B19" s="37" t="s">
        <v>174</v>
      </c>
      <c r="C19" s="115">
        <v>291283</v>
      </c>
      <c r="D19" s="115">
        <v>821096.38676137594</v>
      </c>
      <c r="F19" s="115">
        <v>407796.19999999995</v>
      </c>
      <c r="G19" s="114">
        <v>0.39999999999999986</v>
      </c>
      <c r="H19" s="115">
        <v>1039163.2176453375</v>
      </c>
      <c r="J19" s="115">
        <v>407796.19999999995</v>
      </c>
      <c r="K19" s="114">
        <v>0.39999999999999986</v>
      </c>
      <c r="L19" s="115">
        <v>1039163.2176453375</v>
      </c>
      <c r="N19" s="115">
        <v>407796.19999999995</v>
      </c>
      <c r="O19" s="114">
        <v>0.39999999999999986</v>
      </c>
      <c r="P19" s="115">
        <v>1039163.2176453375</v>
      </c>
      <c r="R19" s="115">
        <v>242304.93929986088</v>
      </c>
      <c r="S19" s="114">
        <v>-0.20357454417423254</v>
      </c>
      <c r="T19" s="115">
        <v>721817.04092831246</v>
      </c>
      <c r="V19" s="115">
        <v>407796.19999999995</v>
      </c>
      <c r="W19" s="114">
        <v>0.39999999999999986</v>
      </c>
      <c r="X19" s="115">
        <v>1039163.2176453375</v>
      </c>
      <c r="Z19" s="115"/>
      <c r="AA19" s="114"/>
      <c r="AB19" s="115"/>
      <c r="AD19" s="115"/>
      <c r="AE19" s="114"/>
      <c r="AF19" s="115"/>
      <c r="AH19" s="114"/>
      <c r="AI19" s="114"/>
      <c r="AJ19" s="114"/>
      <c r="AM19">
        <f>Optimize!O25</f>
        <v>407796.19999999995</v>
      </c>
      <c r="AN19" s="21">
        <f>Optimize!U25</f>
        <v>0.39999999999999986</v>
      </c>
      <c r="AO19">
        <f>Optimize!Q25</f>
        <v>1039163.2176453375</v>
      </c>
      <c r="AP19" s="70">
        <f t="shared" si="0"/>
        <v>0</v>
      </c>
    </row>
    <row r="20" spans="2:42" x14ac:dyDescent="0.3">
      <c r="B20" s="37" t="s">
        <v>175</v>
      </c>
      <c r="C20" s="115">
        <v>312651</v>
      </c>
      <c r="D20" s="115">
        <v>123018.11580126245</v>
      </c>
      <c r="F20" s="115">
        <v>187590.6</v>
      </c>
      <c r="G20" s="114">
        <v>-0.39999999999999997</v>
      </c>
      <c r="H20" s="115">
        <v>86034.957036121647</v>
      </c>
      <c r="J20" s="115">
        <v>187590.6</v>
      </c>
      <c r="K20" s="114">
        <v>-0.39999999999999997</v>
      </c>
      <c r="L20" s="115">
        <v>86034.957036121647</v>
      </c>
      <c r="N20" s="115">
        <v>187590.6</v>
      </c>
      <c r="O20" s="114">
        <v>-0.39999999999999997</v>
      </c>
      <c r="P20" s="115">
        <v>86034.957036121647</v>
      </c>
      <c r="R20" s="115">
        <v>187590.6</v>
      </c>
      <c r="S20" s="114">
        <v>-0.39999999999999997</v>
      </c>
      <c r="T20" s="115">
        <v>86034.957036121647</v>
      </c>
      <c r="V20" s="115">
        <v>187590.6</v>
      </c>
      <c r="W20" s="114">
        <v>-0.39999999999999997</v>
      </c>
      <c r="X20" s="115">
        <v>86034.957036121647</v>
      </c>
      <c r="Z20" s="115"/>
      <c r="AA20" s="114"/>
      <c r="AB20" s="115"/>
      <c r="AD20" s="115"/>
      <c r="AE20" s="114"/>
      <c r="AF20" s="115"/>
      <c r="AH20" s="114"/>
      <c r="AI20" s="114"/>
      <c r="AJ20" s="114"/>
      <c r="AM20">
        <f>Optimize!O26</f>
        <v>187590.6</v>
      </c>
      <c r="AN20" s="21">
        <f>Optimize!U26</f>
        <v>-0.39999999999999997</v>
      </c>
      <c r="AO20">
        <f>Optimize!Q26</f>
        <v>86034.957036121647</v>
      </c>
      <c r="AP20" s="70">
        <f t="shared" si="0"/>
        <v>0</v>
      </c>
    </row>
    <row r="21" spans="2:42" x14ac:dyDescent="0.3">
      <c r="B21" s="37" t="s">
        <v>99</v>
      </c>
      <c r="C21" s="115">
        <v>313745</v>
      </c>
      <c r="D21" s="115">
        <v>567878.45000000007</v>
      </c>
      <c r="F21" s="115">
        <v>439243</v>
      </c>
      <c r="G21" s="114">
        <v>0.4</v>
      </c>
      <c r="H21" s="115">
        <v>718695.64505213697</v>
      </c>
      <c r="J21" s="115">
        <v>439243</v>
      </c>
      <c r="K21" s="114">
        <v>0.4</v>
      </c>
      <c r="L21" s="115">
        <v>718695.64505213697</v>
      </c>
      <c r="N21" s="115">
        <v>439243</v>
      </c>
      <c r="O21" s="114">
        <v>0.4</v>
      </c>
      <c r="P21" s="115">
        <v>718695.64505213697</v>
      </c>
      <c r="R21" s="115">
        <v>188247</v>
      </c>
      <c r="S21" s="114">
        <v>-0.4</v>
      </c>
      <c r="T21" s="115">
        <v>397156.12395185104</v>
      </c>
      <c r="V21" s="115">
        <v>439242.99999999988</v>
      </c>
      <c r="W21" s="114">
        <v>0.4</v>
      </c>
      <c r="X21" s="115">
        <v>718695.64505213697</v>
      </c>
      <c r="Z21" s="115"/>
      <c r="AA21" s="114"/>
      <c r="AB21" s="115"/>
      <c r="AD21" s="115"/>
      <c r="AE21" s="114"/>
      <c r="AF21" s="115"/>
      <c r="AH21" s="114"/>
      <c r="AI21" s="114"/>
      <c r="AJ21" s="114"/>
      <c r="AM21">
        <f>Optimize!O27</f>
        <v>439243</v>
      </c>
      <c r="AN21" s="21">
        <f>Optimize!U27</f>
        <v>0.4</v>
      </c>
      <c r="AO21">
        <f>Optimize!Q27</f>
        <v>718695.64505213697</v>
      </c>
      <c r="AP21" s="70">
        <f t="shared" si="0"/>
        <v>0</v>
      </c>
    </row>
    <row r="22" spans="2:42" x14ac:dyDescent="0.3">
      <c r="B22" s="151" t="s">
        <v>155</v>
      </c>
      <c r="C22" s="152">
        <v>4520030.54</v>
      </c>
      <c r="D22" s="152">
        <v>7205786.4149356652</v>
      </c>
      <c r="F22" s="152">
        <v>4240413.5965442546</v>
      </c>
      <c r="G22" s="153">
        <v>-7.07950676086639E-2</v>
      </c>
      <c r="H22" s="152">
        <v>7988752.9393960545</v>
      </c>
      <c r="J22" s="152">
        <v>4088847.9240000001</v>
      </c>
      <c r="K22" s="153">
        <v>-9.5393739529910399E-2</v>
      </c>
      <c r="L22" s="152">
        <v>7886723.1346764555</v>
      </c>
      <c r="N22" s="153">
        <v>5424037.648</v>
      </c>
      <c r="O22" s="154">
        <v>0.2000002212374434</v>
      </c>
      <c r="P22" s="152">
        <v>8699595.0422453061</v>
      </c>
      <c r="R22" s="152">
        <v>3616024.432</v>
      </c>
      <c r="S22" s="154">
        <v>-0.19999999999999976</v>
      </c>
      <c r="T22" s="153">
        <v>7130938.5407679779</v>
      </c>
      <c r="V22" s="152">
        <v>5424037.648</v>
      </c>
      <c r="W22" s="153">
        <v>0.20000022123744321</v>
      </c>
      <c r="X22" s="152">
        <v>8699598.5012363978</v>
      </c>
      <c r="Z22" s="153"/>
      <c r="AA22" s="154"/>
      <c r="AB22" s="152"/>
      <c r="AD22" s="152"/>
      <c r="AE22" s="153"/>
      <c r="AF22" s="152"/>
      <c r="AH22" s="114"/>
      <c r="AI22" s="114"/>
      <c r="AJ22" s="114"/>
      <c r="AM22">
        <f>Optimize!O28</f>
        <v>5424037.648</v>
      </c>
      <c r="AN22" s="21">
        <f>Optimize!U28</f>
        <v>0.20000022123744321</v>
      </c>
      <c r="AO22">
        <f>Optimize!Q28</f>
        <v>8699598.5012363978</v>
      </c>
      <c r="AP22" s="70">
        <f t="shared" si="0"/>
        <v>1183624.0514557455</v>
      </c>
    </row>
    <row r="23" spans="2:42" x14ac:dyDescent="0.3">
      <c r="B23" s="37" t="s">
        <v>67</v>
      </c>
      <c r="C23" s="115">
        <v>1538884.19</v>
      </c>
      <c r="D23" s="115">
        <v>2244139.6025530989</v>
      </c>
      <c r="F23" s="115">
        <v>2154437.8659999999</v>
      </c>
      <c r="G23" s="114">
        <v>0.4</v>
      </c>
      <c r="H23" s="115">
        <v>2840138.3416538313</v>
      </c>
      <c r="J23" s="115">
        <v>1648716.178255951</v>
      </c>
      <c r="K23" s="114">
        <v>8.3161826540480613E-2</v>
      </c>
      <c r="L23" s="115">
        <v>2355091.8145724707</v>
      </c>
      <c r="N23" s="115">
        <v>2154437.8659999999</v>
      </c>
      <c r="O23" s="155">
        <v>0.4</v>
      </c>
      <c r="P23" s="115">
        <v>2840138.3416538313</v>
      </c>
      <c r="R23" s="115">
        <v>1514534.8606083763</v>
      </c>
      <c r="S23" s="155">
        <v>-6.888380875414781E-3</v>
      </c>
      <c r="T23" s="115">
        <v>2219224.3307831162</v>
      </c>
      <c r="V23" s="115">
        <v>2154437.8659999999</v>
      </c>
      <c r="W23" s="114">
        <v>0.4</v>
      </c>
      <c r="X23" s="115">
        <v>2840138.3416538313</v>
      </c>
      <c r="Z23" s="115"/>
      <c r="AA23" s="155"/>
      <c r="AB23" s="115"/>
      <c r="AD23" s="115"/>
      <c r="AE23" s="114"/>
      <c r="AF23" s="115"/>
      <c r="AH23" s="114"/>
      <c r="AI23" s="114"/>
      <c r="AJ23" s="114"/>
      <c r="AM23">
        <f>Optimize!O29</f>
        <v>2154437.8659999999</v>
      </c>
      <c r="AN23" s="21">
        <f>Optimize!U29</f>
        <v>0.4</v>
      </c>
      <c r="AO23">
        <f>Optimize!Q29</f>
        <v>2840138.3416538313</v>
      </c>
      <c r="AP23" s="70">
        <f t="shared" si="0"/>
        <v>0</v>
      </c>
    </row>
    <row r="24" spans="2:42" x14ac:dyDescent="0.3">
      <c r="B24" s="37" t="s">
        <v>4</v>
      </c>
      <c r="C24" s="115">
        <v>1539278</v>
      </c>
      <c r="D24" s="115">
        <v>2069792.5284734324</v>
      </c>
      <c r="F24" s="115">
        <v>1980973.9619999998</v>
      </c>
      <c r="G24" s="114">
        <v>0.28695009088676615</v>
      </c>
      <c r="H24" s="115">
        <v>2469562.4232654781</v>
      </c>
      <c r="J24" s="115">
        <v>1290384.0327440491</v>
      </c>
      <c r="K24" s="114">
        <v>-0.17348289202773665</v>
      </c>
      <c r="L24" s="115">
        <v>1829397.8215676034</v>
      </c>
      <c r="N24" s="115">
        <v>1980973.9620000003</v>
      </c>
      <c r="O24" s="155">
        <v>0.28695009088676626</v>
      </c>
      <c r="P24" s="115">
        <v>2469562.4232654781</v>
      </c>
      <c r="R24" s="115">
        <v>1095200.2913916234</v>
      </c>
      <c r="S24" s="155">
        <v>-0.29742945561238904</v>
      </c>
      <c r="T24" s="115">
        <v>1630986.4641231413</v>
      </c>
      <c r="V24" s="115">
        <v>1980973.9620000003</v>
      </c>
      <c r="W24" s="114">
        <v>0.28695009088676582</v>
      </c>
      <c r="X24" s="115">
        <v>2469562.4232654781</v>
      </c>
      <c r="Z24" s="115"/>
      <c r="AA24" s="155"/>
      <c r="AB24" s="115"/>
      <c r="AD24" s="115"/>
      <c r="AE24" s="114"/>
      <c r="AF24" s="115"/>
      <c r="AH24" s="114"/>
      <c r="AI24" s="114"/>
      <c r="AJ24" s="114"/>
      <c r="AM24">
        <f>Optimize!O30</f>
        <v>1980973.9619999991</v>
      </c>
      <c r="AN24" s="21">
        <f>Optimize!U30</f>
        <v>0.28695009088676582</v>
      </c>
      <c r="AO24">
        <f>Optimize!Q30</f>
        <v>2469562.4232654781</v>
      </c>
      <c r="AP24" s="70">
        <f t="shared" si="0"/>
        <v>0</v>
      </c>
    </row>
    <row r="25" spans="2:42" x14ac:dyDescent="0.3">
      <c r="B25" s="37" t="s">
        <v>101</v>
      </c>
      <c r="C25" s="115">
        <v>736027</v>
      </c>
      <c r="D25" s="115">
        <v>688340.87289052387</v>
      </c>
      <c r="F25" s="115">
        <v>441616.2</v>
      </c>
      <c r="G25" s="114">
        <v>-0.39999999999999997</v>
      </c>
      <c r="H25" s="115">
        <v>481403.71066173445</v>
      </c>
      <c r="J25" s="115">
        <v>441616.2</v>
      </c>
      <c r="K25" s="114">
        <v>-0.39999999999999997</v>
      </c>
      <c r="L25" s="115">
        <v>481403.71066173445</v>
      </c>
      <c r="N25" s="115">
        <v>441616.2</v>
      </c>
      <c r="O25" s="155">
        <v>-0.39999999999999997</v>
      </c>
      <c r="P25" s="115">
        <v>481403.71066173445</v>
      </c>
      <c r="R25" s="115">
        <v>441616.2</v>
      </c>
      <c r="S25" s="155">
        <v>-0.39999999999999997</v>
      </c>
      <c r="T25" s="115">
        <v>481403.71066173445</v>
      </c>
      <c r="V25" s="115">
        <v>441616.2</v>
      </c>
      <c r="W25" s="114">
        <v>-0.39999999999999997</v>
      </c>
      <c r="X25" s="115">
        <v>481403.71066173445</v>
      </c>
      <c r="Z25" s="115"/>
      <c r="AA25" s="155"/>
      <c r="AB25" s="115"/>
      <c r="AD25" s="115"/>
      <c r="AE25" s="114"/>
      <c r="AF25" s="115"/>
      <c r="AH25" s="114"/>
      <c r="AI25" s="114"/>
      <c r="AJ25" s="114"/>
      <c r="AM25">
        <f>Optimize!O31</f>
        <v>441616.2</v>
      </c>
      <c r="AN25" s="21">
        <f>Optimize!U31</f>
        <v>-0.39999999999999997</v>
      </c>
      <c r="AO25">
        <f>Optimize!Q31</f>
        <v>481403.71066173445</v>
      </c>
      <c r="AP25" s="70">
        <f t="shared" si="0"/>
        <v>0</v>
      </c>
    </row>
    <row r="26" spans="2:42" x14ac:dyDescent="0.3">
      <c r="B26" s="151" t="s">
        <v>156</v>
      </c>
      <c r="C26" s="152">
        <v>3814189.19</v>
      </c>
      <c r="D26" s="152">
        <v>5002273.0039170552</v>
      </c>
      <c r="F26" s="152">
        <v>4577028.0279999999</v>
      </c>
      <c r="G26" s="153">
        <v>0.20000026217891922</v>
      </c>
      <c r="H26" s="152">
        <v>5791104.4755810434</v>
      </c>
      <c r="J26" s="152">
        <v>3380716.4110000003</v>
      </c>
      <c r="K26" s="153">
        <v>-0.11364742476237849</v>
      </c>
      <c r="L26" s="152">
        <v>4665893.3468018081</v>
      </c>
      <c r="N26" s="153">
        <v>4577028.0279999999</v>
      </c>
      <c r="O26" s="154">
        <v>0.20000026217891928</v>
      </c>
      <c r="P26" s="152">
        <v>5791104.4755810434</v>
      </c>
      <c r="R26" s="152">
        <v>3051351.352</v>
      </c>
      <c r="S26" s="154">
        <v>-0.20000000000000032</v>
      </c>
      <c r="T26" s="153">
        <v>4331614.5055679921</v>
      </c>
      <c r="V26" s="152">
        <v>4577028.0279999999</v>
      </c>
      <c r="W26" s="153">
        <v>0.20000026217891909</v>
      </c>
      <c r="X26" s="152">
        <v>5791104.4755810434</v>
      </c>
      <c r="Z26" s="153"/>
      <c r="AA26" s="154"/>
      <c r="AB26" s="152"/>
      <c r="AD26" s="152"/>
      <c r="AE26" s="153"/>
      <c r="AF26" s="152"/>
      <c r="AH26" s="114"/>
      <c r="AI26" s="114"/>
      <c r="AJ26" s="114"/>
      <c r="AM26">
        <f>Optimize!O32</f>
        <v>4577028.027999999</v>
      </c>
      <c r="AN26" s="21">
        <f>Optimize!U32</f>
        <v>0.20000026217891909</v>
      </c>
      <c r="AO26">
        <f>Optimize!Q32</f>
        <v>5791104.4755810434</v>
      </c>
      <c r="AP26" s="70">
        <f t="shared" si="0"/>
        <v>0</v>
      </c>
    </row>
    <row r="27" spans="2:42" x14ac:dyDescent="0.3">
      <c r="B27" s="37" t="s">
        <v>113</v>
      </c>
      <c r="C27" s="115">
        <v>1361913.37</v>
      </c>
      <c r="D27" s="115">
        <v>8861578.5578584839</v>
      </c>
      <c r="F27" s="115">
        <v>1609036.034</v>
      </c>
      <c r="G27" s="114">
        <v>0.18145255744130029</v>
      </c>
      <c r="H27" s="115">
        <v>9958696.3968029134</v>
      </c>
      <c r="J27" s="115">
        <v>1609036.034</v>
      </c>
      <c r="K27" s="114">
        <v>0.18145255744130029</v>
      </c>
      <c r="L27" s="115">
        <v>9958696.3968029134</v>
      </c>
      <c r="N27" s="115">
        <v>1609036.034</v>
      </c>
      <c r="O27" s="155">
        <v>0.18145255744130029</v>
      </c>
      <c r="P27" s="115">
        <v>9958696.3968029134</v>
      </c>
      <c r="R27" s="115">
        <v>1013748.6660003477</v>
      </c>
      <c r="S27" s="155">
        <v>-0.25564379619802541</v>
      </c>
      <c r="T27" s="115">
        <v>7207052.0814747596</v>
      </c>
      <c r="V27" s="115">
        <v>1609036.034</v>
      </c>
      <c r="W27" s="114">
        <v>0.18145255744130029</v>
      </c>
      <c r="X27" s="115">
        <v>9958696.3968029134</v>
      </c>
      <c r="Z27" s="115"/>
      <c r="AA27" s="155"/>
      <c r="AB27" s="115"/>
      <c r="AD27" s="115"/>
      <c r="AE27" s="114"/>
      <c r="AF27" s="115"/>
      <c r="AH27" s="114"/>
      <c r="AI27" s="114"/>
      <c r="AJ27" s="114"/>
      <c r="AM27">
        <f>Optimize!O33</f>
        <v>1609036.034</v>
      </c>
      <c r="AN27" s="21">
        <f>Optimize!U33</f>
        <v>0.18145255744130029</v>
      </c>
      <c r="AO27">
        <f>Optimize!Q33</f>
        <v>9958696.3968029134</v>
      </c>
      <c r="AP27" s="70">
        <f t="shared" si="0"/>
        <v>0</v>
      </c>
    </row>
    <row r="28" spans="2:42" x14ac:dyDescent="0.3">
      <c r="B28" s="37" t="s">
        <v>114</v>
      </c>
      <c r="C28" s="115">
        <v>126305.05</v>
      </c>
      <c r="D28" s="115">
        <v>2346339.5299383798</v>
      </c>
      <c r="F28" s="115">
        <v>176827.07</v>
      </c>
      <c r="G28" s="114">
        <v>0.4</v>
      </c>
      <c r="H28" s="115">
        <v>2969480.5322871371</v>
      </c>
      <c r="J28" s="115">
        <v>176827.07</v>
      </c>
      <c r="K28" s="114">
        <v>0.4</v>
      </c>
      <c r="L28" s="115">
        <v>2969480.5322871371</v>
      </c>
      <c r="N28" s="115">
        <v>176827.07</v>
      </c>
      <c r="O28" s="155">
        <v>0.4</v>
      </c>
      <c r="P28" s="115">
        <v>2969480.5322871371</v>
      </c>
      <c r="R28" s="115">
        <v>176827.07</v>
      </c>
      <c r="S28" s="155">
        <v>0.4</v>
      </c>
      <c r="T28" s="115">
        <v>2969480.5322871371</v>
      </c>
      <c r="V28" s="115">
        <v>176827.07</v>
      </c>
      <c r="W28" s="114">
        <v>0.4</v>
      </c>
      <c r="X28" s="115">
        <v>2969480.5322871371</v>
      </c>
      <c r="Z28" s="115"/>
      <c r="AA28" s="155"/>
      <c r="AB28" s="115"/>
      <c r="AD28" s="115"/>
      <c r="AE28" s="114"/>
      <c r="AF28" s="115"/>
      <c r="AH28" s="114"/>
      <c r="AI28" s="114"/>
      <c r="AJ28" s="114"/>
      <c r="AM28">
        <f>Optimize!O34</f>
        <v>176827.07</v>
      </c>
      <c r="AN28" s="21">
        <f>Optimize!U34</f>
        <v>0.4</v>
      </c>
      <c r="AO28">
        <f>Optimize!Q34</f>
        <v>2969480.5322871371</v>
      </c>
      <c r="AP28" s="70">
        <f t="shared" si="0"/>
        <v>0</v>
      </c>
    </row>
    <row r="29" spans="2:42" x14ac:dyDescent="0.3">
      <c r="B29" s="151" t="s">
        <v>157</v>
      </c>
      <c r="C29" s="152">
        <v>1488218.4200000002</v>
      </c>
      <c r="D29" s="152">
        <v>11207918.087796863</v>
      </c>
      <c r="F29" s="152">
        <v>1785863.1040000001</v>
      </c>
      <c r="G29" s="153">
        <v>0.20000067194437754</v>
      </c>
      <c r="H29" s="152">
        <v>12928176.929090051</v>
      </c>
      <c r="J29" s="152">
        <v>1785863.1040000001</v>
      </c>
      <c r="K29" s="153">
        <v>0.20000067194437754</v>
      </c>
      <c r="L29" s="152">
        <v>12928176.929090051</v>
      </c>
      <c r="N29" s="153">
        <v>1785863.1040000001</v>
      </c>
      <c r="O29" s="154">
        <v>0.20000067194437754</v>
      </c>
      <c r="P29" s="152">
        <v>12928176.929090051</v>
      </c>
      <c r="R29" s="152">
        <v>1190575.7360003476</v>
      </c>
      <c r="S29" s="154">
        <v>-0.19999932805538448</v>
      </c>
      <c r="T29" s="153">
        <v>10176532.613761896</v>
      </c>
      <c r="V29" s="152">
        <v>1785863.1040000001</v>
      </c>
      <c r="W29" s="153">
        <v>0.20000067194437754</v>
      </c>
      <c r="X29" s="152">
        <v>12928176.929090051</v>
      </c>
      <c r="Z29" s="153"/>
      <c r="AA29" s="154"/>
      <c r="AB29" s="152"/>
      <c r="AD29" s="152"/>
      <c r="AE29" s="153"/>
      <c r="AF29" s="152"/>
      <c r="AH29" s="114"/>
      <c r="AI29" s="114"/>
      <c r="AJ29" s="114"/>
      <c r="AM29">
        <f>Optimize!O35</f>
        <v>1785863.1040000001</v>
      </c>
      <c r="AN29" s="21">
        <f>Optimize!U35</f>
        <v>0.20000067194437754</v>
      </c>
      <c r="AO29">
        <f>Optimize!Q35</f>
        <v>12928176.929090051</v>
      </c>
      <c r="AP29" s="70">
        <f t="shared" si="0"/>
        <v>0</v>
      </c>
    </row>
    <row r="30" spans="2:42" ht="15.6" x14ac:dyDescent="0.3">
      <c r="B30" s="120" t="s">
        <v>125</v>
      </c>
      <c r="C30" s="121">
        <f>Optimize!D36</f>
        <v>13974759.189999999</v>
      </c>
      <c r="D30" s="121">
        <f>Optimize!H36</f>
        <v>25408443.783491548</v>
      </c>
      <c r="E30" s="117"/>
      <c r="F30" s="121">
        <f>F15+F22+F26+F29</f>
        <v>13974760.189999998</v>
      </c>
      <c r="G30" s="118">
        <f>(F30-$C$30)/$C$30</f>
        <v>7.15575835362466E-8</v>
      </c>
      <c r="H30" s="121">
        <f>H15+H22+H26+H29</f>
        <v>28830954.764947437</v>
      </c>
      <c r="I30" s="117"/>
      <c r="J30" s="121">
        <f>J15+J22+J26+J29</f>
        <v>12577284.271000002</v>
      </c>
      <c r="K30" s="118">
        <f>(J30-$C$30)/$C$30</f>
        <v>-9.9999928442416189E-2</v>
      </c>
      <c r="L30" s="121">
        <f>L15+L22+L26+L29</f>
        <v>27570700.640491821</v>
      </c>
      <c r="N30" s="121">
        <f>N15+N22+N26+N29</f>
        <v>15372236.109000003</v>
      </c>
      <c r="O30" s="118">
        <f>(N30-$C$30)/$C$30</f>
        <v>0.10000007155758392</v>
      </c>
      <c r="P30" s="121">
        <f>P15+P22+P26+P29</f>
        <v>29678693.15200793</v>
      </c>
      <c r="R30" s="121">
        <f>R15+R22+R26+R29</f>
        <v>11179808.352000348</v>
      </c>
      <c r="S30" s="118">
        <f>(R30-$C$30)/$C$30</f>
        <v>-0.19999992844239137</v>
      </c>
      <c r="T30" s="121">
        <f>T15+T22+T26+T29</f>
        <v>23728873.422195621</v>
      </c>
      <c r="V30" s="121">
        <f>V15+V22+V26+V29</f>
        <v>16769712.027999999</v>
      </c>
      <c r="W30" s="118">
        <f>(V30-$C$30)/$C$30</f>
        <v>0.20000007155758365</v>
      </c>
      <c r="X30" s="121">
        <f>X15+X22+X26+X29</f>
        <v>29905776.535323568</v>
      </c>
      <c r="Z30" s="121">
        <f>Z15+Z22+Z26+Z29</f>
        <v>0</v>
      </c>
      <c r="AA30" s="118">
        <f>(Z30-$C$30)/$C$30</f>
        <v>-1</v>
      </c>
      <c r="AB30" s="121">
        <f>AB15+AB22+AB26+AB29</f>
        <v>0</v>
      </c>
      <c r="AD30" s="121">
        <f>AD15+AD22+AD26+AD29</f>
        <v>0</v>
      </c>
      <c r="AE30" s="118">
        <f>(AD30-$C$30)/$C$30</f>
        <v>-1</v>
      </c>
      <c r="AF30" s="121">
        <f>AF15+AF22+AF26+AF29</f>
        <v>0</v>
      </c>
      <c r="AG30" s="117"/>
      <c r="AH30" s="114"/>
      <c r="AI30" s="114"/>
      <c r="AJ30" s="114"/>
      <c r="AM30">
        <f>SUM(AM29+AM26+AM22+AM15)</f>
        <v>16769712.028000997</v>
      </c>
    </row>
    <row r="31" spans="2:42" x14ac:dyDescent="0.3">
      <c r="D31">
        <f>ROUND((D30-D29)/(C30-C29),2)</f>
        <v>1.1399999999999999</v>
      </c>
      <c r="F31" s="70"/>
      <c r="H31">
        <f>ROUND((H30-H29)/(F30-F29),2)</f>
        <v>1.3</v>
      </c>
      <c r="L31">
        <f>ROUND((L30-L29)/(J30-J29),2)</f>
        <v>1.36</v>
      </c>
      <c r="P31">
        <f>ROUND((P30-P29)/(N30-N29),2)</f>
        <v>1.23</v>
      </c>
      <c r="T31">
        <f>ROUND((T30-T29)/(R30-R29),2)</f>
        <v>1.36</v>
      </c>
      <c r="X31">
        <f>ROUND((X30-X29)/(V30-V29),2)</f>
        <v>1.1299999999999999</v>
      </c>
      <c r="AB31" t="e">
        <f>ROUND((AB30-AB29)/(Z30-Z29),2)</f>
        <v>#DIV/0!</v>
      </c>
      <c r="AF31" t="e">
        <f>ROUND((AF30-AF29)/(AD30-AD29),2)</f>
        <v>#DIV/0!</v>
      </c>
    </row>
    <row r="32" spans="2:42" x14ac:dyDescent="0.3">
      <c r="H32" s="70">
        <f>H30-D30</f>
        <v>3422510.9814558886</v>
      </c>
    </row>
    <row r="33" spans="2:40" ht="15.6" x14ac:dyDescent="0.3">
      <c r="N33" s="249" t="s">
        <v>128</v>
      </c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</row>
    <row r="34" spans="2:40" ht="37.950000000000003" customHeight="1" x14ac:dyDescent="0.3">
      <c r="B34" s="156"/>
      <c r="C34" s="244" t="str">
        <f>C4</f>
        <v>Current 2023 Budget ($14.0)</v>
      </c>
      <c r="D34" s="245"/>
      <c r="E34" s="156"/>
      <c r="F34" s="246" t="str">
        <f>F4</f>
        <v>Optimal Current Budget ($14.0)</v>
      </c>
      <c r="G34" s="247"/>
      <c r="H34" s="248"/>
      <c r="I34" s="156"/>
      <c r="J34" s="246" t="str">
        <f>J4</f>
        <v>-%10 Decrease Optimal ($12.6)</v>
      </c>
      <c r="K34" s="247"/>
      <c r="L34" s="248"/>
      <c r="M34" s="156"/>
      <c r="N34" s="246" t="str">
        <f>N4</f>
        <v>%10 Increase Optimal ($15.4)</v>
      </c>
      <c r="O34" s="247"/>
      <c r="P34" s="248"/>
      <c r="Q34" s="157"/>
      <c r="R34" s="246" t="str">
        <f>R4</f>
        <v>-%20 Decrease Optimal ($11.2)</v>
      </c>
      <c r="S34" s="247"/>
      <c r="T34" s="248"/>
      <c r="U34" s="157"/>
      <c r="V34" s="246" t="str">
        <f>V4</f>
        <v>%20 Increase Optimal ($16.8)</v>
      </c>
      <c r="W34" s="247"/>
      <c r="X34" s="248"/>
      <c r="Y34" s="156"/>
      <c r="Z34" s="246" t="str">
        <f>Z4</f>
        <v>-%100 Decrease Optimal ($0.0)</v>
      </c>
      <c r="AA34" s="247"/>
      <c r="AB34" s="248"/>
      <c r="AC34" s="156"/>
      <c r="AD34" s="246" t="str">
        <f>AD4</f>
        <v>-%100 Increase Optimal ($0.0)</v>
      </c>
      <c r="AE34" s="247"/>
      <c r="AF34" s="248"/>
      <c r="AG34" s="98"/>
      <c r="AH34" s="241"/>
      <c r="AI34" s="242"/>
      <c r="AJ34" s="243"/>
    </row>
    <row r="35" spans="2:40" ht="62.4" x14ac:dyDescent="0.3">
      <c r="B35" s="176" t="s">
        <v>119</v>
      </c>
      <c r="C35" s="176" t="s">
        <v>126</v>
      </c>
      <c r="D35" s="176" t="s">
        <v>127</v>
      </c>
      <c r="E35" s="177"/>
      <c r="F35" s="176" t="s">
        <v>126</v>
      </c>
      <c r="G35" s="176" t="s">
        <v>123</v>
      </c>
      <c r="H35" s="176" t="s">
        <v>127</v>
      </c>
      <c r="I35" s="177"/>
      <c r="J35" s="176" t="s">
        <v>126</v>
      </c>
      <c r="K35" s="176" t="s">
        <v>123</v>
      </c>
      <c r="L35" s="176" t="s">
        <v>127</v>
      </c>
      <c r="M35" s="177"/>
      <c r="N35" s="176" t="s">
        <v>126</v>
      </c>
      <c r="O35" s="176" t="s">
        <v>123</v>
      </c>
      <c r="P35" s="176" t="s">
        <v>127</v>
      </c>
      <c r="Q35" s="177"/>
      <c r="R35" s="176" t="s">
        <v>126</v>
      </c>
      <c r="S35" s="176" t="s">
        <v>123</v>
      </c>
      <c r="T35" s="176" t="s">
        <v>127</v>
      </c>
      <c r="U35" s="178"/>
      <c r="V35" s="176" t="s">
        <v>126</v>
      </c>
      <c r="W35" s="176" t="s">
        <v>123</v>
      </c>
      <c r="X35" s="176" t="s">
        <v>127</v>
      </c>
      <c r="Y35" s="156"/>
      <c r="Z35" s="176" t="s">
        <v>126</v>
      </c>
      <c r="AA35" s="176" t="s">
        <v>123</v>
      </c>
      <c r="AB35" s="176" t="s">
        <v>127</v>
      </c>
      <c r="AC35" s="156"/>
      <c r="AD35" s="176" t="s">
        <v>126</v>
      </c>
      <c r="AE35" s="176" t="s">
        <v>123</v>
      </c>
      <c r="AF35" s="176" t="s">
        <v>127</v>
      </c>
      <c r="AG35" s="98"/>
      <c r="AH35" s="116"/>
      <c r="AI35" s="116"/>
      <c r="AJ35" s="116"/>
      <c r="AL35" s="116"/>
      <c r="AM35" s="116"/>
      <c r="AN35" s="116"/>
    </row>
    <row r="36" spans="2:40" ht="15.6" x14ac:dyDescent="0.3">
      <c r="B36" s="160" t="str">
        <f>B6</f>
        <v>PatientPoint HCP</v>
      </c>
      <c r="C36" s="160">
        <f>C6/1000000</f>
        <v>0.34723201000000004</v>
      </c>
      <c r="D36" s="161">
        <f>D6/1000000</f>
        <v>0.48699650807455275</v>
      </c>
      <c r="E36" s="158"/>
      <c r="F36" s="162">
        <f>F6/1000000</f>
        <v>0.48612481399999996</v>
      </c>
      <c r="G36" s="163">
        <f>G6</f>
        <v>0.39999999999999986</v>
      </c>
      <c r="H36" s="164">
        <f>H6/1000000</f>
        <v>0.61633307181982244</v>
      </c>
      <c r="I36" s="158"/>
      <c r="J36" s="162">
        <f>J6/1000000</f>
        <v>0.48612481399999996</v>
      </c>
      <c r="K36" s="163">
        <f>K6</f>
        <v>0.39999999999999986</v>
      </c>
      <c r="L36" s="164">
        <f>L6/1000000</f>
        <v>0.61633307181982244</v>
      </c>
      <c r="M36" s="165"/>
      <c r="N36" s="162">
        <f>N6/1000000</f>
        <v>0.48612481399999996</v>
      </c>
      <c r="O36" s="163">
        <f>O6</f>
        <v>0.39999999999999986</v>
      </c>
      <c r="P36" s="164">
        <f>P6/1000000</f>
        <v>0.61633307181982244</v>
      </c>
      <c r="Q36" s="165"/>
      <c r="R36" s="162">
        <f>R6/1000000</f>
        <v>0.48612481399999996</v>
      </c>
      <c r="S36" s="163">
        <f>S6</f>
        <v>0.39999999999999986</v>
      </c>
      <c r="T36" s="164">
        <f>T6/1000000</f>
        <v>0.61633307181982244</v>
      </c>
      <c r="U36" s="165"/>
      <c r="V36" s="162">
        <f>V6/1000000</f>
        <v>0.48612481399999996</v>
      </c>
      <c r="W36" s="163">
        <f>W6</f>
        <v>0.39999999999999986</v>
      </c>
      <c r="X36" s="164">
        <f>X6/1000000</f>
        <v>0.61633307181982244</v>
      </c>
      <c r="Y36" s="165"/>
      <c r="Z36" s="162">
        <f>Z6/1000000</f>
        <v>0</v>
      </c>
      <c r="AA36" s="163">
        <f>AA6</f>
        <v>0</v>
      </c>
      <c r="AB36" s="166">
        <f>AB6/1000000</f>
        <v>0</v>
      </c>
      <c r="AC36" s="165"/>
      <c r="AD36" s="162">
        <f>AD6/1000000</f>
        <v>0</v>
      </c>
      <c r="AE36" s="163">
        <f>AE6</f>
        <v>0</v>
      </c>
      <c r="AF36" s="166">
        <f>AF6/1000000</f>
        <v>0</v>
      </c>
      <c r="AG36" s="98"/>
      <c r="AH36" s="147"/>
      <c r="AI36" s="109"/>
      <c r="AJ36" s="147"/>
      <c r="AL36" s="136"/>
      <c r="AM36" s="136"/>
      <c r="AN36" s="136"/>
    </row>
    <row r="37" spans="2:40" ht="15.6" x14ac:dyDescent="0.3">
      <c r="B37" s="160" t="str">
        <f t="shared" ref="B37:B60" si="1">B7</f>
        <v>DEEPINTENT</v>
      </c>
      <c r="C37" s="160">
        <f t="shared" ref="C37:D37" si="2">C7/1000000</f>
        <v>5.8414229999999998E-2</v>
      </c>
      <c r="D37" s="161">
        <f t="shared" si="2"/>
        <v>5.5354090253651324E-2</v>
      </c>
      <c r="E37" s="158"/>
      <c r="F37" s="162">
        <f t="shared" ref="F37:F60" si="3">F7/1000000</f>
        <v>5.9737188656208272E-2</v>
      </c>
      <c r="G37" s="163">
        <f t="shared" ref="G37:G60" si="4">G7</f>
        <v>3.2921910340767038E-2</v>
      </c>
      <c r="H37" s="164">
        <f t="shared" ref="H37:H60" si="5">H7/1000000</f>
        <v>5.6228694992806381E-2</v>
      </c>
      <c r="I37" s="158"/>
      <c r="J37" s="162">
        <f t="shared" ref="J37:J60" si="6">J7/1000000</f>
        <v>5.2727785640301256E-2</v>
      </c>
      <c r="K37" s="163">
        <f t="shared" ref="K37:K60" si="7">K7</f>
        <v>-2.8428450512201973E-2</v>
      </c>
      <c r="L37" s="164">
        <f t="shared" ref="L37:L60" si="8">L7/1000000</f>
        <v>5.1524564683064503E-2</v>
      </c>
      <c r="M37" s="165"/>
      <c r="N37" s="162">
        <f t="shared" ref="N37:N60" si="9">N7/1000000</f>
        <v>7.065560541852528E-2</v>
      </c>
      <c r="O37" s="163">
        <f t="shared" ref="O37:O60" si="10">O7</f>
        <v>0.20601438115187079</v>
      </c>
      <c r="P37" s="164">
        <f t="shared" ref="P37:P60" si="11">P7/1000000</f>
        <v>6.3239626098083312E-2</v>
      </c>
      <c r="Q37" s="165"/>
      <c r="R37" s="162">
        <f t="shared" ref="R37:R60" si="12">R7/1000000</f>
        <v>6.2673848241783195E-2</v>
      </c>
      <c r="S37" s="163">
        <f t="shared" ref="S37:S60" si="13">S7</f>
        <v>-1.9863823245775646E-3</v>
      </c>
      <c r="T37" s="164">
        <f t="shared" ref="T37:T60" si="14">T7/1000000</f>
        <v>5.8149650828415694E-2</v>
      </c>
      <c r="U37" s="165"/>
      <c r="V37" s="162">
        <f t="shared" ref="V37:V60" si="15">V7/1000000</f>
        <v>8.1779921999999991E-2</v>
      </c>
      <c r="W37" s="163">
        <f t="shared" ref="W37:W60" si="16">W7</f>
        <v>0.40000000001711894</v>
      </c>
      <c r="X37" s="164">
        <f t="shared" ref="X37:X60" si="17">X7/1000000</f>
        <v>7.0055033081678195E-2</v>
      </c>
      <c r="Y37" s="165"/>
      <c r="Z37" s="162"/>
      <c r="AA37" s="163"/>
      <c r="AB37" s="166"/>
      <c r="AC37" s="165"/>
      <c r="AD37" s="162"/>
      <c r="AE37" s="163"/>
      <c r="AF37" s="166"/>
      <c r="AG37" s="98"/>
      <c r="AH37" s="147"/>
      <c r="AI37" s="109"/>
      <c r="AJ37" s="147"/>
      <c r="AL37" s="136"/>
      <c r="AM37" s="136"/>
      <c r="AN37" s="136"/>
    </row>
    <row r="38" spans="2:40" ht="15.6" x14ac:dyDescent="0.3">
      <c r="B38" s="160" t="str">
        <f t="shared" si="1"/>
        <v>DG CONNECT</v>
      </c>
      <c r="C38" s="160">
        <f t="shared" ref="C38:D38" si="18">C8/1000000</f>
        <v>3.2000000000000001E-2</v>
      </c>
      <c r="D38" s="161">
        <f t="shared" si="18"/>
        <v>3.04E-2</v>
      </c>
      <c r="E38" s="158"/>
      <c r="F38" s="162">
        <f t="shared" si="3"/>
        <v>3.29868518029236E-2</v>
      </c>
      <c r="G38" s="163">
        <f t="shared" si="4"/>
        <v>6.9718998156741915E-3</v>
      </c>
      <c r="H38" s="164">
        <f t="shared" si="5"/>
        <v>3.1053260556972002E-2</v>
      </c>
      <c r="I38" s="158"/>
      <c r="J38" s="162">
        <f t="shared" si="6"/>
        <v>3.0947001516878271E-2</v>
      </c>
      <c r="K38" s="163">
        <f t="shared" si="7"/>
        <v>-2.0082461903460854E-2</v>
      </c>
      <c r="L38" s="164">
        <f t="shared" si="8"/>
        <v>2.9696249414452782E-2</v>
      </c>
      <c r="M38" s="165"/>
      <c r="N38" s="162">
        <f t="shared" si="9"/>
        <v>3.9091652967357698E-2</v>
      </c>
      <c r="O38" s="163">
        <f t="shared" si="10"/>
        <v>0.21149442045940303</v>
      </c>
      <c r="P38" s="164">
        <f t="shared" si="11"/>
        <v>3.4972559930952635E-2</v>
      </c>
      <c r="Q38" s="165"/>
      <c r="R38" s="162">
        <f t="shared" si="12"/>
        <v>3.6108436637859703E-2</v>
      </c>
      <c r="S38" s="163">
        <f t="shared" si="13"/>
        <v>0.12564928423826041</v>
      </c>
      <c r="T38" s="164">
        <f t="shared" si="14"/>
        <v>3.3082222529221182E-2</v>
      </c>
      <c r="U38" s="165"/>
      <c r="V38" s="162">
        <f t="shared" si="15"/>
        <v>4.48E-2</v>
      </c>
      <c r="W38" s="163">
        <f t="shared" si="16"/>
        <v>0.4</v>
      </c>
      <c r="X38" s="164">
        <f t="shared" si="17"/>
        <v>3.8473633943293603E-2</v>
      </c>
      <c r="Y38" s="165"/>
      <c r="Z38" s="162"/>
      <c r="AA38" s="163"/>
      <c r="AB38" s="166"/>
      <c r="AC38" s="165"/>
      <c r="AD38" s="162"/>
      <c r="AE38" s="163"/>
      <c r="AF38" s="166"/>
      <c r="AG38" s="98"/>
      <c r="AH38" s="147"/>
      <c r="AI38" s="109"/>
      <c r="AJ38" s="147"/>
      <c r="AL38" s="136"/>
      <c r="AM38" s="136"/>
      <c r="AN38" s="136"/>
    </row>
    <row r="39" spans="2:40" ht="15.6" x14ac:dyDescent="0.3">
      <c r="B39" s="160" t="str">
        <f t="shared" si="1"/>
        <v>DOXIMITY</v>
      </c>
      <c r="C39" s="160">
        <f t="shared" ref="C39:D39" si="19">C9/1000000</f>
        <v>0.16500000000000001</v>
      </c>
      <c r="D39" s="161">
        <f t="shared" si="19"/>
        <v>1.5896959692341915E-2</v>
      </c>
      <c r="E39" s="158"/>
      <c r="F39" s="162">
        <f t="shared" si="3"/>
        <v>9.9000000000000005E-2</v>
      </c>
      <c r="G39" s="163">
        <f t="shared" si="4"/>
        <v>-0.4</v>
      </c>
      <c r="H39" s="164">
        <f t="shared" si="5"/>
        <v>1.1117827933124288E-2</v>
      </c>
      <c r="I39" s="158"/>
      <c r="J39" s="162">
        <f t="shared" si="6"/>
        <v>9.9000000000000005E-2</v>
      </c>
      <c r="K39" s="163">
        <f t="shared" si="7"/>
        <v>-0.4</v>
      </c>
      <c r="L39" s="164">
        <f t="shared" si="8"/>
        <v>1.1117827933124288E-2</v>
      </c>
      <c r="M39" s="165"/>
      <c r="N39" s="162">
        <f t="shared" si="9"/>
        <v>9.9000000000000005E-2</v>
      </c>
      <c r="O39" s="163">
        <f t="shared" si="10"/>
        <v>-0.4</v>
      </c>
      <c r="P39" s="164">
        <f t="shared" si="11"/>
        <v>1.1117827933124288E-2</v>
      </c>
      <c r="Q39" s="165"/>
      <c r="R39" s="162">
        <f t="shared" si="12"/>
        <v>9.9000000000000005E-2</v>
      </c>
      <c r="S39" s="163">
        <f t="shared" si="13"/>
        <v>-0.4</v>
      </c>
      <c r="T39" s="164">
        <f t="shared" si="14"/>
        <v>1.1117827933124288E-2</v>
      </c>
      <c r="U39" s="165"/>
      <c r="V39" s="162">
        <f t="shared" si="15"/>
        <v>0.23099999999999998</v>
      </c>
      <c r="W39" s="163">
        <f t="shared" si="16"/>
        <v>0.3999999999999998</v>
      </c>
      <c r="X39" s="164">
        <f t="shared" si="17"/>
        <v>2.0118875263633422E-2</v>
      </c>
      <c r="Y39" s="165"/>
      <c r="Z39" s="162"/>
      <c r="AA39" s="163"/>
      <c r="AB39" s="166"/>
      <c r="AC39" s="165"/>
      <c r="AD39" s="162"/>
      <c r="AE39" s="163"/>
      <c r="AF39" s="166"/>
      <c r="AG39" s="98"/>
      <c r="AH39" s="147"/>
      <c r="AI39" s="109"/>
      <c r="AJ39" s="147"/>
      <c r="AL39" s="136"/>
      <c r="AM39" s="136"/>
      <c r="AN39" s="136"/>
    </row>
    <row r="40" spans="2:40" ht="15.6" x14ac:dyDescent="0.3">
      <c r="B40" s="160" t="str">
        <f t="shared" si="1"/>
        <v>EDH</v>
      </c>
      <c r="C40" s="160">
        <f t="shared" ref="C40:D40" si="20">C10/1000000</f>
        <v>0.19472600000000001</v>
      </c>
      <c r="D40" s="161">
        <f t="shared" si="20"/>
        <v>0.15420520495191678</v>
      </c>
      <c r="E40" s="158"/>
      <c r="F40" s="162">
        <f t="shared" si="3"/>
        <v>0.1168356</v>
      </c>
      <c r="G40" s="163">
        <f t="shared" si="4"/>
        <v>-0.4</v>
      </c>
      <c r="H40" s="164">
        <f t="shared" si="5"/>
        <v>0.10784621513970806</v>
      </c>
      <c r="I40" s="158"/>
      <c r="J40" s="162">
        <f t="shared" si="6"/>
        <v>0.1168356</v>
      </c>
      <c r="K40" s="163">
        <f t="shared" si="7"/>
        <v>-0.4</v>
      </c>
      <c r="L40" s="164">
        <f t="shared" si="8"/>
        <v>0.10784621513970806</v>
      </c>
      <c r="M40" s="165"/>
      <c r="N40" s="162">
        <f t="shared" si="9"/>
        <v>0.13207057919998813</v>
      </c>
      <c r="O40" s="163">
        <f t="shared" si="10"/>
        <v>-0.32425382137242142</v>
      </c>
      <c r="P40" s="164">
        <f t="shared" si="11"/>
        <v>0.11750775541790993</v>
      </c>
      <c r="Q40" s="165"/>
      <c r="R40" s="162">
        <f t="shared" si="12"/>
        <v>0.1168356</v>
      </c>
      <c r="S40" s="163">
        <f t="shared" si="13"/>
        <v>-0.4</v>
      </c>
      <c r="T40" s="164">
        <f t="shared" si="14"/>
        <v>0.10784621513970806</v>
      </c>
      <c r="U40" s="165"/>
      <c r="V40" s="162">
        <f t="shared" si="15"/>
        <v>0.27261639999999998</v>
      </c>
      <c r="W40" s="163">
        <f t="shared" si="16"/>
        <v>0.3999999999999998</v>
      </c>
      <c r="X40" s="164">
        <f t="shared" si="17"/>
        <v>0.19515903314048069</v>
      </c>
      <c r="Y40" s="165"/>
      <c r="Z40" s="162">
        <f>Z7/1000000</f>
        <v>0</v>
      </c>
      <c r="AA40" s="163">
        <f>AA7</f>
        <v>0</v>
      </c>
      <c r="AB40" s="166">
        <f>AB7/1000000</f>
        <v>0</v>
      </c>
      <c r="AC40" s="165"/>
      <c r="AD40" s="162">
        <f>AD7/1000000</f>
        <v>0</v>
      </c>
      <c r="AE40" s="163">
        <f>AE7</f>
        <v>0</v>
      </c>
      <c r="AF40" s="166">
        <f>AF7/1000000</f>
        <v>0</v>
      </c>
      <c r="AG40" s="98"/>
      <c r="AH40" s="147"/>
      <c r="AI40" s="109"/>
      <c r="AJ40" s="147"/>
    </row>
    <row r="41" spans="2:40" ht="15.6" x14ac:dyDescent="0.3">
      <c r="B41" s="160" t="str">
        <f t="shared" si="1"/>
        <v>MEDSCAPE</v>
      </c>
      <c r="C41" s="160">
        <f t="shared" ref="C41:D41" si="21">C11/1000000</f>
        <v>0.82585568999999992</v>
      </c>
      <c r="D41" s="161">
        <f t="shared" si="21"/>
        <v>0.78519194402966619</v>
      </c>
      <c r="E41" s="158"/>
      <c r="F41" s="162">
        <f t="shared" si="3"/>
        <v>0.85401049953930452</v>
      </c>
      <c r="G41" s="163">
        <f t="shared" si="4"/>
        <v>8.0674745664965061E-2</v>
      </c>
      <c r="H41" s="164">
        <f t="shared" si="5"/>
        <v>0.80383547100945785</v>
      </c>
      <c r="I41" s="158"/>
      <c r="J41" s="162">
        <f t="shared" si="6"/>
        <v>0.8200706076925468</v>
      </c>
      <c r="K41" s="163">
        <f t="shared" si="7"/>
        <v>-1.7562820968113815E-2</v>
      </c>
      <c r="L41" s="164">
        <f t="shared" si="8"/>
        <v>0.78133772196026385</v>
      </c>
      <c r="M41" s="165"/>
      <c r="N41" s="162">
        <f t="shared" si="9"/>
        <v>1.0280080425855231</v>
      </c>
      <c r="O41" s="163">
        <f t="shared" si="10"/>
        <v>0.2461473145292131</v>
      </c>
      <c r="P41" s="164">
        <f t="shared" si="11"/>
        <v>0.91525156056527801</v>
      </c>
      <c r="Q41" s="165"/>
      <c r="R41" s="162">
        <f t="shared" si="12"/>
        <v>0.79606264975129604</v>
      </c>
      <c r="S41" s="163">
        <f t="shared" si="13"/>
        <v>-3.2765484120127898E-2</v>
      </c>
      <c r="T41" s="164">
        <f t="shared" si="14"/>
        <v>0.76525467761326504</v>
      </c>
      <c r="U41" s="165"/>
      <c r="V41" s="162">
        <f t="shared" si="15"/>
        <v>1.1561979659999997</v>
      </c>
      <c r="W41" s="163">
        <f t="shared" si="16"/>
        <v>0.39999999999999986</v>
      </c>
      <c r="X41" s="164">
        <f t="shared" si="17"/>
        <v>0.99372327071777988</v>
      </c>
      <c r="Y41" s="165"/>
      <c r="Z41" s="162">
        <f>Z8/1000000</f>
        <v>0</v>
      </c>
      <c r="AA41" s="163">
        <f>AA8</f>
        <v>0</v>
      </c>
      <c r="AB41" s="166">
        <f>AB8/1000000</f>
        <v>0</v>
      </c>
      <c r="AC41" s="165"/>
      <c r="AD41" s="162">
        <f>AD8/1000000</f>
        <v>0</v>
      </c>
      <c r="AE41" s="163">
        <f>AE8</f>
        <v>0</v>
      </c>
      <c r="AF41" s="166">
        <f>AF8/1000000</f>
        <v>0</v>
      </c>
      <c r="AG41" s="98"/>
      <c r="AH41" s="147"/>
      <c r="AI41" s="109"/>
      <c r="AJ41" s="147"/>
    </row>
    <row r="42" spans="2:40" ht="15.6" x14ac:dyDescent="0.3">
      <c r="B42" s="160" t="str">
        <f t="shared" si="1"/>
        <v>TRENDMD</v>
      </c>
      <c r="C42" s="160">
        <f t="shared" ref="C42:D42" si="22">C12/1000000</f>
        <v>4.4999999999999998E-2</v>
      </c>
      <c r="D42" s="161">
        <f t="shared" si="22"/>
        <v>4.2642590023258202E-2</v>
      </c>
      <c r="E42" s="158"/>
      <c r="F42" s="162">
        <f t="shared" si="3"/>
        <v>4.6044641457306641E-2</v>
      </c>
      <c r="G42" s="163">
        <f t="shared" si="4"/>
        <v>6.9250646422758133E-2</v>
      </c>
      <c r="H42" s="164">
        <f t="shared" si="5"/>
        <v>4.3333142219356496E-2</v>
      </c>
      <c r="I42" s="158"/>
      <c r="J42" s="162">
        <f t="shared" si="6"/>
        <v>3.9435157150274326E-2</v>
      </c>
      <c r="K42" s="163">
        <f t="shared" si="7"/>
        <v>-2.8483278741272645E-2</v>
      </c>
      <c r="L42" s="164">
        <f t="shared" si="8"/>
        <v>3.8878841764028012E-2</v>
      </c>
      <c r="M42" s="165"/>
      <c r="N42" s="162">
        <f t="shared" si="9"/>
        <v>5.3640768828607868E-2</v>
      </c>
      <c r="O42" s="163">
        <f t="shared" si="10"/>
        <v>0.18949389866187266</v>
      </c>
      <c r="P42" s="164">
        <f t="shared" si="11"/>
        <v>4.8221566117315325E-2</v>
      </c>
      <c r="Q42" s="165"/>
      <c r="R42" s="162">
        <f t="shared" si="12"/>
        <v>4.833561736906155E-2</v>
      </c>
      <c r="S42" s="163">
        <f t="shared" si="13"/>
        <v>0.1125655421014353</v>
      </c>
      <c r="T42" s="164">
        <f t="shared" si="14"/>
        <v>4.4831359025159077E-2</v>
      </c>
      <c r="U42" s="165"/>
      <c r="V42" s="162">
        <f t="shared" si="15"/>
        <v>6.2999999999999987E-2</v>
      </c>
      <c r="W42" s="163">
        <f t="shared" si="16"/>
        <v>0.39999999999999986</v>
      </c>
      <c r="X42" s="164">
        <f t="shared" si="17"/>
        <v>5.3967611807525691E-2</v>
      </c>
      <c r="Y42" s="165"/>
      <c r="Z42" s="162">
        <f>Z9/1000000</f>
        <v>0</v>
      </c>
      <c r="AA42" s="163">
        <f>AA9</f>
        <v>0</v>
      </c>
      <c r="AB42" s="166">
        <f>AB9/1000000</f>
        <v>0</v>
      </c>
      <c r="AC42" s="165"/>
      <c r="AD42" s="162">
        <f>AD9/1000000</f>
        <v>0</v>
      </c>
      <c r="AE42" s="163">
        <f>AE9</f>
        <v>0</v>
      </c>
      <c r="AF42" s="166">
        <f>AF9/1000000</f>
        <v>0</v>
      </c>
      <c r="AG42" s="98"/>
      <c r="AH42" s="147"/>
      <c r="AI42" s="109"/>
      <c r="AJ42" s="147"/>
    </row>
    <row r="43" spans="2:40" ht="15.6" x14ac:dyDescent="0.3">
      <c r="B43" s="160" t="str">
        <f t="shared" si="1"/>
        <v>PHYSICIANS WEEKLY</v>
      </c>
      <c r="C43" s="160">
        <f t="shared" ref="C43:D43" si="23">C13/1000000</f>
        <v>0.232825</v>
      </c>
      <c r="D43" s="161">
        <f t="shared" si="23"/>
        <v>0.27939000000000003</v>
      </c>
      <c r="E43" s="158"/>
      <c r="F43" s="162">
        <f t="shared" si="3"/>
        <v>0.32595499999999999</v>
      </c>
      <c r="G43" s="163">
        <f t="shared" si="4"/>
        <v>0.4</v>
      </c>
      <c r="H43" s="164">
        <f t="shared" si="5"/>
        <v>0.35359041405976377</v>
      </c>
      <c r="I43" s="158"/>
      <c r="J43" s="162">
        <f t="shared" si="6"/>
        <v>0.32595499999999999</v>
      </c>
      <c r="K43" s="163">
        <f t="shared" si="7"/>
        <v>0.4</v>
      </c>
      <c r="L43" s="164">
        <f t="shared" si="8"/>
        <v>0.35359041405976377</v>
      </c>
      <c r="M43" s="165"/>
      <c r="N43" s="162">
        <f t="shared" si="9"/>
        <v>0.32595499999999999</v>
      </c>
      <c r="O43" s="163">
        <f t="shared" si="10"/>
        <v>0.4</v>
      </c>
      <c r="P43" s="164">
        <f t="shared" si="11"/>
        <v>0.35359041405976377</v>
      </c>
      <c r="Q43" s="165"/>
      <c r="R43" s="162">
        <f t="shared" si="12"/>
        <v>0.32595499999999999</v>
      </c>
      <c r="S43" s="163">
        <f t="shared" si="13"/>
        <v>0.4</v>
      </c>
      <c r="T43" s="164">
        <f t="shared" si="14"/>
        <v>0.35359041405976377</v>
      </c>
      <c r="U43" s="165"/>
      <c r="V43" s="162">
        <f t="shared" si="15"/>
        <v>0.32595499999999999</v>
      </c>
      <c r="W43" s="163">
        <f t="shared" si="16"/>
        <v>0.4</v>
      </c>
      <c r="X43" s="164">
        <f t="shared" si="17"/>
        <v>0.35359041405976377</v>
      </c>
      <c r="Y43" s="165"/>
      <c r="Z43" s="162">
        <f>Z14/1000000</f>
        <v>0</v>
      </c>
      <c r="AA43" s="163">
        <f>AA14</f>
        <v>0</v>
      </c>
      <c r="AB43" s="166">
        <f>AB14/1000000</f>
        <v>0</v>
      </c>
      <c r="AC43" s="165"/>
      <c r="AD43" s="162">
        <f>AD14/1000000</f>
        <v>0</v>
      </c>
      <c r="AE43" s="163">
        <f>AE14</f>
        <v>0</v>
      </c>
      <c r="AF43" s="166">
        <f>AF14/1000000</f>
        <v>0</v>
      </c>
      <c r="AG43" s="98"/>
      <c r="AH43" s="147"/>
      <c r="AI43" s="109"/>
      <c r="AJ43" s="147"/>
    </row>
    <row r="44" spans="2:40" ht="15.6" x14ac:dyDescent="0.3">
      <c r="B44" s="266" t="str">
        <f t="shared" si="1"/>
        <v>MMF</v>
      </c>
      <c r="C44" s="266">
        <f t="shared" ref="C44:D44" si="24">C14/1000000</f>
        <v>2.2512681099999998</v>
      </c>
      <c r="D44" s="267">
        <f t="shared" si="24"/>
        <v>0.14238897981657769</v>
      </c>
      <c r="E44" s="158"/>
      <c r="F44" s="270">
        <f t="shared" si="3"/>
        <v>1.3507608659999999</v>
      </c>
      <c r="G44" s="271">
        <f t="shared" si="4"/>
        <v>-0.4</v>
      </c>
      <c r="H44" s="272">
        <f t="shared" si="5"/>
        <v>9.9582323149276633E-2</v>
      </c>
      <c r="I44" s="158"/>
      <c r="J44" s="270">
        <f t="shared" si="6"/>
        <v>1.3507608659999999</v>
      </c>
      <c r="K44" s="271">
        <f t="shared" si="7"/>
        <v>-0.4</v>
      </c>
      <c r="L44" s="272">
        <f t="shared" si="8"/>
        <v>9.9582323149276633E-2</v>
      </c>
      <c r="M44" s="165"/>
      <c r="N44" s="270">
        <f t="shared" si="9"/>
        <v>1.3507608659999999</v>
      </c>
      <c r="O44" s="271">
        <f t="shared" si="10"/>
        <v>-0.4</v>
      </c>
      <c r="P44" s="272">
        <f t="shared" si="11"/>
        <v>9.9582323149276633E-2</v>
      </c>
      <c r="Q44" s="165"/>
      <c r="R44" s="270">
        <f t="shared" si="12"/>
        <v>1.3507608659999999</v>
      </c>
      <c r="S44" s="271">
        <f t="shared" si="13"/>
        <v>-0.4</v>
      </c>
      <c r="T44" s="272">
        <f t="shared" si="14"/>
        <v>9.9582323149276633E-2</v>
      </c>
      <c r="U44" s="165"/>
      <c r="V44" s="270">
        <f t="shared" si="15"/>
        <v>2.3213091459999968</v>
      </c>
      <c r="W44" s="271">
        <f t="shared" si="16"/>
        <v>3.111181457636247E-2</v>
      </c>
      <c r="X44" s="272">
        <f t="shared" si="17"/>
        <v>0.14547568558209914</v>
      </c>
      <c r="Y44" s="165"/>
      <c r="Z44" s="162">
        <f>Z10/1000000</f>
        <v>0</v>
      </c>
      <c r="AA44" s="163">
        <f t="shared" ref="AA44" si="25">AA10</f>
        <v>0</v>
      </c>
      <c r="AB44" s="166">
        <f>AB10/1000000</f>
        <v>0</v>
      </c>
      <c r="AC44" s="165"/>
      <c r="AD44" s="162">
        <f>AD10/1000000</f>
        <v>0</v>
      </c>
      <c r="AE44" s="163">
        <f t="shared" ref="AE44" si="26">AE10</f>
        <v>0</v>
      </c>
      <c r="AF44" s="166">
        <f>AF10/1000000</f>
        <v>0</v>
      </c>
      <c r="AG44" s="98"/>
      <c r="AH44" s="147"/>
      <c r="AI44" s="109"/>
      <c r="AJ44" s="147"/>
    </row>
    <row r="45" spans="2:40" s="287" customFormat="1" ht="18.600000000000001" thickBot="1" x14ac:dyDescent="0.4">
      <c r="B45" s="276" t="str">
        <f t="shared" si="1"/>
        <v>HCP MCM Total</v>
      </c>
      <c r="C45" s="276">
        <f t="shared" ref="C45:D45" si="27">C15/1000000</f>
        <v>4.1523210399999995</v>
      </c>
      <c r="D45" s="276">
        <f t="shared" si="27"/>
        <v>1.992466276841965</v>
      </c>
      <c r="E45" s="277"/>
      <c r="F45" s="278">
        <f t="shared" si="3"/>
        <v>3.371455461455743</v>
      </c>
      <c r="G45" s="279">
        <f t="shared" si="4"/>
        <v>-0.17833078107262035</v>
      </c>
      <c r="H45" s="280">
        <f t="shared" si="5"/>
        <v>2.1229204208802881</v>
      </c>
      <c r="I45" s="277"/>
      <c r="J45" s="278">
        <f t="shared" si="6"/>
        <v>3.3218568320000004</v>
      </c>
      <c r="K45" s="279">
        <f t="shared" si="7"/>
        <v>-0.19999999999999987</v>
      </c>
      <c r="L45" s="280">
        <f t="shared" si="8"/>
        <v>2.0899072299235044</v>
      </c>
      <c r="M45" s="277"/>
      <c r="N45" s="278">
        <f t="shared" si="9"/>
        <v>3.5853073290000022</v>
      </c>
      <c r="O45" s="279">
        <f t="shared" si="10"/>
        <v>-0.13655343735175102</v>
      </c>
      <c r="P45" s="280">
        <f t="shared" si="11"/>
        <v>2.2598167050915263</v>
      </c>
      <c r="Q45" s="277"/>
      <c r="R45" s="278">
        <f t="shared" si="12"/>
        <v>3.3218568320000004</v>
      </c>
      <c r="S45" s="279">
        <f t="shared" si="13"/>
        <v>-0.19999999999999979</v>
      </c>
      <c r="T45" s="280">
        <f t="shared" si="14"/>
        <v>2.0897877620977563</v>
      </c>
      <c r="U45" s="277"/>
      <c r="V45" s="278">
        <f t="shared" si="15"/>
        <v>4.9827832479999969</v>
      </c>
      <c r="W45" s="279">
        <f t="shared" si="16"/>
        <v>0.19999951834191454</v>
      </c>
      <c r="X45" s="280">
        <f t="shared" si="17"/>
        <v>2.4868966294160768</v>
      </c>
      <c r="Y45" s="277"/>
      <c r="Z45" s="281">
        <f t="shared" ref="Z45:Z59" si="28">Z15/1000000</f>
        <v>0</v>
      </c>
      <c r="AA45" s="282">
        <f t="shared" ref="AA45:AA59" si="29">AA15</f>
        <v>0</v>
      </c>
      <c r="AB45" s="283">
        <f t="shared" ref="AB45:AB59" si="30">AB15/1000000</f>
        <v>0</v>
      </c>
      <c r="AC45" s="277"/>
      <c r="AD45" s="281">
        <f t="shared" ref="AD45:AD59" si="31">AD15/1000000</f>
        <v>0</v>
      </c>
      <c r="AE45" s="282">
        <f t="shared" ref="AE45:AE59" si="32">AE15</f>
        <v>0</v>
      </c>
      <c r="AF45" s="283">
        <f t="shared" ref="AF45:AF59" si="33">AF15/1000000</f>
        <v>0</v>
      </c>
      <c r="AG45" s="284"/>
      <c r="AH45" s="285"/>
      <c r="AI45" s="286"/>
      <c r="AJ45" s="285"/>
    </row>
    <row r="46" spans="2:40" ht="16.2" thickTop="1" x14ac:dyDescent="0.3">
      <c r="B46" s="268" t="str">
        <f t="shared" si="1"/>
        <v>PatientPoint</v>
      </c>
      <c r="C46" s="268">
        <f t="shared" ref="C46:D46" si="34">C16/1000000</f>
        <v>1.60459854</v>
      </c>
      <c r="D46" s="269">
        <f t="shared" si="34"/>
        <v>1.3538210550478902</v>
      </c>
      <c r="E46" s="158"/>
      <c r="F46" s="273">
        <f t="shared" si="3"/>
        <v>1.1143247965442551</v>
      </c>
      <c r="G46" s="274">
        <f t="shared" si="4"/>
        <v>-0.33070743518969259</v>
      </c>
      <c r="H46" s="275">
        <f t="shared" si="5"/>
        <v>1.0488491861333944</v>
      </c>
      <c r="I46" s="158"/>
      <c r="J46" s="273">
        <f t="shared" si="6"/>
        <v>0.96275912399999997</v>
      </c>
      <c r="K46" s="274">
        <f t="shared" si="7"/>
        <v>-0.4</v>
      </c>
      <c r="L46" s="275">
        <f t="shared" si="8"/>
        <v>0.9468193814137964</v>
      </c>
      <c r="M46" s="165"/>
      <c r="N46" s="273">
        <f t="shared" si="9"/>
        <v>1.9454087419907697</v>
      </c>
      <c r="O46" s="274">
        <f t="shared" si="10"/>
        <v>0.21151594024987569</v>
      </c>
      <c r="P46" s="275">
        <f t="shared" si="11"/>
        <v>1.5492174972766486</v>
      </c>
      <c r="Q46" s="165"/>
      <c r="R46" s="273">
        <f t="shared" si="12"/>
        <v>0.96275912399999997</v>
      </c>
      <c r="S46" s="274">
        <f t="shared" si="13"/>
        <v>-0.4</v>
      </c>
      <c r="T46" s="275">
        <f t="shared" si="14"/>
        <v>0.9468193814137964</v>
      </c>
      <c r="U46" s="165"/>
      <c r="V46" s="273">
        <f t="shared" si="15"/>
        <v>1.9504158454766862</v>
      </c>
      <c r="W46" s="274">
        <f t="shared" si="16"/>
        <v>0.21551636993887616</v>
      </c>
      <c r="X46" s="275">
        <f t="shared" si="17"/>
        <v>1.5520075899180517</v>
      </c>
      <c r="Y46" s="165"/>
      <c r="Z46" s="162">
        <f t="shared" si="28"/>
        <v>0</v>
      </c>
      <c r="AA46" s="163">
        <f t="shared" si="29"/>
        <v>0</v>
      </c>
      <c r="AB46" s="166">
        <f t="shared" si="30"/>
        <v>0</v>
      </c>
      <c r="AC46" s="165"/>
      <c r="AD46" s="162">
        <f t="shared" si="31"/>
        <v>0</v>
      </c>
      <c r="AE46" s="163">
        <f t="shared" si="32"/>
        <v>0</v>
      </c>
      <c r="AF46" s="166">
        <f t="shared" si="33"/>
        <v>0</v>
      </c>
      <c r="AG46" s="98"/>
      <c r="AH46" s="147"/>
      <c r="AI46" s="109"/>
      <c r="AJ46" s="147"/>
    </row>
    <row r="47" spans="2:40" ht="15.6" x14ac:dyDescent="0.3">
      <c r="B47" s="160" t="str">
        <f t="shared" si="1"/>
        <v>Health Monitor</v>
      </c>
      <c r="C47" s="160">
        <f t="shared" ref="C47:D47" si="35">C17/1000000</f>
        <v>1.116009</v>
      </c>
      <c r="D47" s="161">
        <f t="shared" si="35"/>
        <v>3.6395762451883793</v>
      </c>
      <c r="E47" s="158"/>
      <c r="F47" s="162">
        <f t="shared" si="3"/>
        <v>1.5624125999999998</v>
      </c>
      <c r="G47" s="163">
        <f t="shared" si="4"/>
        <v>0.39999999999999986</v>
      </c>
      <c r="H47" s="164">
        <f t="shared" si="5"/>
        <v>4.6061751370422686</v>
      </c>
      <c r="I47" s="158"/>
      <c r="J47" s="162">
        <f t="shared" si="6"/>
        <v>1.5624125999999998</v>
      </c>
      <c r="K47" s="163">
        <f t="shared" si="7"/>
        <v>0.39999999999999986</v>
      </c>
      <c r="L47" s="164">
        <f t="shared" si="8"/>
        <v>4.6061751370422686</v>
      </c>
      <c r="M47" s="165"/>
      <c r="N47" s="162">
        <f t="shared" si="9"/>
        <v>1.5624125999999998</v>
      </c>
      <c r="O47" s="163">
        <f t="shared" si="10"/>
        <v>0.39999999999999986</v>
      </c>
      <c r="P47" s="164">
        <f t="shared" si="11"/>
        <v>4.6061751370422686</v>
      </c>
      <c r="Q47" s="165"/>
      <c r="R47" s="162">
        <f t="shared" si="12"/>
        <v>1.5060763687001393</v>
      </c>
      <c r="S47" s="163">
        <f t="shared" si="13"/>
        <v>0.35876692029428447</v>
      </c>
      <c r="T47" s="164">
        <f t="shared" si="14"/>
        <v>4.4892762409511011</v>
      </c>
      <c r="U47" s="165"/>
      <c r="V47" s="162">
        <f t="shared" si="15"/>
        <v>1.5624125999999998</v>
      </c>
      <c r="W47" s="163">
        <f t="shared" si="16"/>
        <v>0.39999999999999986</v>
      </c>
      <c r="X47" s="164">
        <f t="shared" si="17"/>
        <v>4.6061751370422686</v>
      </c>
      <c r="Y47" s="165"/>
      <c r="Z47" s="162">
        <f t="shared" si="28"/>
        <v>0</v>
      </c>
      <c r="AA47" s="163">
        <f t="shared" si="29"/>
        <v>0</v>
      </c>
      <c r="AB47" s="166">
        <f t="shared" si="30"/>
        <v>0</v>
      </c>
      <c r="AC47" s="165"/>
      <c r="AD47" s="162">
        <f t="shared" si="31"/>
        <v>0</v>
      </c>
      <c r="AE47" s="163">
        <f t="shared" si="32"/>
        <v>0</v>
      </c>
      <c r="AF47" s="166">
        <f t="shared" si="33"/>
        <v>0</v>
      </c>
      <c r="AG47" s="98"/>
      <c r="AH47" s="147"/>
      <c r="AI47" s="109"/>
      <c r="AJ47" s="147"/>
    </row>
    <row r="48" spans="2:40" ht="15.6" x14ac:dyDescent="0.3">
      <c r="B48" s="160" t="str">
        <f t="shared" si="1"/>
        <v>Phys Weekly</v>
      </c>
      <c r="C48" s="160">
        <f t="shared" ref="C48:D48" si="36">C18/1000000</f>
        <v>0.88174399999999997</v>
      </c>
      <c r="D48" s="161">
        <f t="shared" si="36"/>
        <v>0.70039616213675715</v>
      </c>
      <c r="E48" s="158"/>
      <c r="F48" s="162">
        <f t="shared" si="3"/>
        <v>0.52904640000000003</v>
      </c>
      <c r="G48" s="163">
        <f t="shared" si="4"/>
        <v>-0.39999999999999997</v>
      </c>
      <c r="H48" s="164">
        <f t="shared" si="5"/>
        <v>0.48983479648679512</v>
      </c>
      <c r="I48" s="158"/>
      <c r="J48" s="162">
        <f t="shared" si="6"/>
        <v>0.52904640000000003</v>
      </c>
      <c r="K48" s="163">
        <f t="shared" si="7"/>
        <v>-0.39999999999999997</v>
      </c>
      <c r="L48" s="164">
        <f t="shared" si="8"/>
        <v>0.48983479648679512</v>
      </c>
      <c r="M48" s="165"/>
      <c r="N48" s="162">
        <f t="shared" si="9"/>
        <v>0.88158650600923028</v>
      </c>
      <c r="O48" s="163">
        <f t="shared" si="10"/>
        <v>1.4227928835617216E-3</v>
      </c>
      <c r="P48" s="164">
        <f t="shared" si="11"/>
        <v>0.70030858819279262</v>
      </c>
      <c r="Q48" s="165"/>
      <c r="R48" s="162">
        <f t="shared" si="12"/>
        <v>0.52904640000000003</v>
      </c>
      <c r="S48" s="163">
        <f t="shared" si="13"/>
        <v>-0.39999999999999997</v>
      </c>
      <c r="T48" s="164">
        <f t="shared" si="14"/>
        <v>0.48983479648679512</v>
      </c>
      <c r="U48" s="165"/>
      <c r="V48" s="162">
        <f t="shared" si="15"/>
        <v>0.87657940252331379</v>
      </c>
      <c r="W48" s="163">
        <f t="shared" si="16"/>
        <v>-5.8571927339686808E-3</v>
      </c>
      <c r="X48" s="164">
        <f t="shared" si="17"/>
        <v>0.69752195454248</v>
      </c>
      <c r="Y48" s="165"/>
      <c r="Z48" s="162">
        <f t="shared" si="28"/>
        <v>0</v>
      </c>
      <c r="AA48" s="163">
        <f t="shared" si="29"/>
        <v>0</v>
      </c>
      <c r="AB48" s="166">
        <f t="shared" si="30"/>
        <v>0</v>
      </c>
      <c r="AC48" s="165"/>
      <c r="AD48" s="162">
        <f t="shared" si="31"/>
        <v>0</v>
      </c>
      <c r="AE48" s="163">
        <f t="shared" si="32"/>
        <v>0</v>
      </c>
      <c r="AF48" s="166">
        <f t="shared" si="33"/>
        <v>0</v>
      </c>
      <c r="AG48" s="98"/>
      <c r="AH48" s="147"/>
      <c r="AI48" s="109"/>
      <c r="AJ48" s="147"/>
    </row>
    <row r="49" spans="2:36" ht="15.6" x14ac:dyDescent="0.3">
      <c r="B49" s="160" t="str">
        <f t="shared" si="1"/>
        <v>Coverwrap</v>
      </c>
      <c r="C49" s="160">
        <f t="shared" ref="C49:D49" si="37">C19/1000000</f>
        <v>0.29128300000000001</v>
      </c>
      <c r="D49" s="161">
        <f t="shared" si="37"/>
        <v>0.82109638676137597</v>
      </c>
      <c r="E49" s="158"/>
      <c r="F49" s="162">
        <f t="shared" si="3"/>
        <v>0.40779619999999994</v>
      </c>
      <c r="G49" s="163">
        <f t="shared" si="4"/>
        <v>0.39999999999999986</v>
      </c>
      <c r="H49" s="164">
        <f t="shared" si="5"/>
        <v>1.0391632176453374</v>
      </c>
      <c r="I49" s="158"/>
      <c r="J49" s="162">
        <f t="shared" si="6"/>
        <v>0.40779619999999994</v>
      </c>
      <c r="K49" s="163">
        <f t="shared" si="7"/>
        <v>0.39999999999999986</v>
      </c>
      <c r="L49" s="164">
        <f t="shared" si="8"/>
        <v>1.0391632176453374</v>
      </c>
      <c r="M49" s="165"/>
      <c r="N49" s="162">
        <f t="shared" si="9"/>
        <v>0.40779619999999994</v>
      </c>
      <c r="O49" s="163">
        <f t="shared" si="10"/>
        <v>0.39999999999999986</v>
      </c>
      <c r="P49" s="164">
        <f t="shared" si="11"/>
        <v>1.0391632176453374</v>
      </c>
      <c r="Q49" s="165"/>
      <c r="R49" s="162">
        <f t="shared" si="12"/>
        <v>0.24230493929986088</v>
      </c>
      <c r="S49" s="163">
        <f t="shared" si="13"/>
        <v>-0.20357454417423254</v>
      </c>
      <c r="T49" s="164">
        <f t="shared" si="14"/>
        <v>0.72181704092831245</v>
      </c>
      <c r="U49" s="165"/>
      <c r="V49" s="162">
        <f t="shared" si="15"/>
        <v>0.40779619999999994</v>
      </c>
      <c r="W49" s="163">
        <f t="shared" si="16"/>
        <v>0.39999999999999986</v>
      </c>
      <c r="X49" s="164">
        <f t="shared" si="17"/>
        <v>1.0391632176453374</v>
      </c>
      <c r="Y49" s="165"/>
      <c r="Z49" s="162">
        <f t="shared" si="28"/>
        <v>0</v>
      </c>
      <c r="AA49" s="163">
        <f t="shared" si="29"/>
        <v>0</v>
      </c>
      <c r="AB49" s="166">
        <f t="shared" si="30"/>
        <v>0</v>
      </c>
      <c r="AC49" s="165"/>
      <c r="AD49" s="162">
        <f t="shared" si="31"/>
        <v>0</v>
      </c>
      <c r="AE49" s="163">
        <f t="shared" si="32"/>
        <v>0</v>
      </c>
      <c r="AF49" s="166">
        <f t="shared" si="33"/>
        <v>0</v>
      </c>
      <c r="AG49" s="98"/>
      <c r="AH49" s="147"/>
      <c r="AI49" s="109"/>
      <c r="AJ49" s="147"/>
    </row>
    <row r="50" spans="2:36" ht="15.6" x14ac:dyDescent="0.3">
      <c r="B50" s="160" t="str">
        <f t="shared" si="1"/>
        <v>TMH</v>
      </c>
      <c r="C50" s="160">
        <f t="shared" ref="C50:D50" si="38">C20/1000000</f>
        <v>0.31265100000000001</v>
      </c>
      <c r="D50" s="161">
        <f t="shared" si="38"/>
        <v>0.12301811580126246</v>
      </c>
      <c r="E50" s="158"/>
      <c r="F50" s="162">
        <f t="shared" si="3"/>
        <v>0.1875906</v>
      </c>
      <c r="G50" s="163">
        <f t="shared" si="4"/>
        <v>-0.39999999999999997</v>
      </c>
      <c r="H50" s="164">
        <f t="shared" si="5"/>
        <v>8.6034957036121643E-2</v>
      </c>
      <c r="I50" s="158"/>
      <c r="J50" s="162">
        <f t="shared" si="6"/>
        <v>0.1875906</v>
      </c>
      <c r="K50" s="163">
        <f t="shared" si="7"/>
        <v>-0.39999999999999997</v>
      </c>
      <c r="L50" s="164">
        <f t="shared" si="8"/>
        <v>8.6034957036121643E-2</v>
      </c>
      <c r="M50" s="165"/>
      <c r="N50" s="162">
        <f t="shared" si="9"/>
        <v>0.1875906</v>
      </c>
      <c r="O50" s="163">
        <f t="shared" si="10"/>
        <v>-0.39999999999999997</v>
      </c>
      <c r="P50" s="164">
        <f t="shared" si="11"/>
        <v>8.6034957036121643E-2</v>
      </c>
      <c r="Q50" s="165"/>
      <c r="R50" s="162">
        <f t="shared" si="12"/>
        <v>0.1875906</v>
      </c>
      <c r="S50" s="163">
        <f t="shared" si="13"/>
        <v>-0.39999999999999997</v>
      </c>
      <c r="T50" s="164">
        <f t="shared" si="14"/>
        <v>8.6034957036121643E-2</v>
      </c>
      <c r="U50" s="165"/>
      <c r="V50" s="162">
        <f t="shared" si="15"/>
        <v>0.1875906</v>
      </c>
      <c r="W50" s="163">
        <f t="shared" si="16"/>
        <v>-0.39999999999999997</v>
      </c>
      <c r="X50" s="164">
        <f t="shared" si="17"/>
        <v>8.6034957036121643E-2</v>
      </c>
      <c r="Y50" s="165"/>
      <c r="Z50" s="162">
        <f t="shared" si="28"/>
        <v>0</v>
      </c>
      <c r="AA50" s="163">
        <f t="shared" si="29"/>
        <v>0</v>
      </c>
      <c r="AB50" s="166">
        <f t="shared" si="30"/>
        <v>0</v>
      </c>
      <c r="AC50" s="165"/>
      <c r="AD50" s="162">
        <f t="shared" si="31"/>
        <v>0</v>
      </c>
      <c r="AE50" s="163">
        <f t="shared" si="32"/>
        <v>0</v>
      </c>
      <c r="AF50" s="166">
        <f t="shared" si="33"/>
        <v>0</v>
      </c>
      <c r="AG50" s="98"/>
      <c r="AH50" s="147"/>
      <c r="AI50" s="109"/>
      <c r="AJ50" s="147"/>
    </row>
    <row r="51" spans="2:36" ht="15.6" x14ac:dyDescent="0.3">
      <c r="B51" s="160" t="str">
        <f t="shared" si="1"/>
        <v>Mesmerize</v>
      </c>
      <c r="C51" s="160">
        <f t="shared" ref="C51:D51" si="39">C21/1000000</f>
        <v>0.313745</v>
      </c>
      <c r="D51" s="161">
        <f t="shared" si="39"/>
        <v>0.56787845000000003</v>
      </c>
      <c r="E51" s="158"/>
      <c r="F51" s="162">
        <f t="shared" si="3"/>
        <v>0.43924299999999999</v>
      </c>
      <c r="G51" s="163">
        <f t="shared" si="4"/>
        <v>0.4</v>
      </c>
      <c r="H51" s="164">
        <f t="shared" si="5"/>
        <v>0.71869564505213701</v>
      </c>
      <c r="I51" s="158"/>
      <c r="J51" s="162">
        <f t="shared" si="6"/>
        <v>0.43924299999999999</v>
      </c>
      <c r="K51" s="163">
        <f t="shared" si="7"/>
        <v>0.4</v>
      </c>
      <c r="L51" s="164">
        <f t="shared" si="8"/>
        <v>0.71869564505213701</v>
      </c>
      <c r="M51" s="165"/>
      <c r="N51" s="162">
        <f t="shared" si="9"/>
        <v>0.43924299999999999</v>
      </c>
      <c r="O51" s="163">
        <f t="shared" si="10"/>
        <v>0.4</v>
      </c>
      <c r="P51" s="164">
        <f t="shared" si="11"/>
        <v>0.71869564505213701</v>
      </c>
      <c r="Q51" s="165"/>
      <c r="R51" s="162">
        <f t="shared" si="12"/>
        <v>0.188247</v>
      </c>
      <c r="S51" s="163">
        <f t="shared" si="13"/>
        <v>-0.4</v>
      </c>
      <c r="T51" s="164">
        <f t="shared" si="14"/>
        <v>0.39715612395185101</v>
      </c>
      <c r="U51" s="165"/>
      <c r="V51" s="162">
        <f t="shared" si="15"/>
        <v>0.43924299999999988</v>
      </c>
      <c r="W51" s="163">
        <f t="shared" si="16"/>
        <v>0.4</v>
      </c>
      <c r="X51" s="164">
        <f t="shared" si="17"/>
        <v>0.71869564505213701</v>
      </c>
      <c r="Y51" s="165"/>
      <c r="Z51" s="162">
        <f t="shared" si="28"/>
        <v>0</v>
      </c>
      <c r="AA51" s="163">
        <f t="shared" si="29"/>
        <v>0</v>
      </c>
      <c r="AB51" s="166">
        <f t="shared" si="30"/>
        <v>0</v>
      </c>
      <c r="AC51" s="165"/>
      <c r="AD51" s="162">
        <f t="shared" si="31"/>
        <v>0</v>
      </c>
      <c r="AE51" s="163">
        <f t="shared" si="32"/>
        <v>0</v>
      </c>
      <c r="AF51" s="166">
        <f t="shared" si="33"/>
        <v>0</v>
      </c>
      <c r="AG51" s="98"/>
      <c r="AH51" s="147"/>
      <c r="AI51" s="109"/>
      <c r="AJ51" s="147"/>
    </row>
    <row r="52" spans="2:36" s="287" customFormat="1" ht="18.600000000000001" thickBot="1" x14ac:dyDescent="0.4">
      <c r="B52" s="276" t="str">
        <f t="shared" si="1"/>
        <v>POC Total</v>
      </c>
      <c r="C52" s="276">
        <f t="shared" ref="C52:D52" si="40">C22/1000000</f>
        <v>4.5200305399999996</v>
      </c>
      <c r="D52" s="276">
        <f t="shared" si="40"/>
        <v>7.2057864149356652</v>
      </c>
      <c r="E52" s="277"/>
      <c r="F52" s="278">
        <f t="shared" si="3"/>
        <v>4.2404135965442542</v>
      </c>
      <c r="G52" s="279">
        <f t="shared" si="4"/>
        <v>-7.07950676086639E-2</v>
      </c>
      <c r="H52" s="280">
        <f t="shared" si="5"/>
        <v>7.9887529393960541</v>
      </c>
      <c r="I52" s="277"/>
      <c r="J52" s="278">
        <f t="shared" si="6"/>
        <v>4.0888479240000004</v>
      </c>
      <c r="K52" s="279">
        <f t="shared" si="7"/>
        <v>-9.5393739529910399E-2</v>
      </c>
      <c r="L52" s="280">
        <f t="shared" si="8"/>
        <v>7.8867231346764557</v>
      </c>
      <c r="M52" s="277"/>
      <c r="N52" s="278">
        <f t="shared" si="9"/>
        <v>5.4240376479999997</v>
      </c>
      <c r="O52" s="279">
        <f t="shared" si="10"/>
        <v>0.2000002212374434</v>
      </c>
      <c r="P52" s="280">
        <f t="shared" si="11"/>
        <v>8.6995950422453063</v>
      </c>
      <c r="Q52" s="277"/>
      <c r="R52" s="278">
        <f t="shared" si="12"/>
        <v>3.6160244320000001</v>
      </c>
      <c r="S52" s="279">
        <f t="shared" si="13"/>
        <v>-0.19999999999999976</v>
      </c>
      <c r="T52" s="280">
        <f t="shared" si="14"/>
        <v>7.1309385407679775</v>
      </c>
      <c r="U52" s="277"/>
      <c r="V52" s="278">
        <f t="shared" si="15"/>
        <v>5.4240376479999997</v>
      </c>
      <c r="W52" s="279">
        <f t="shared" si="16"/>
        <v>0.20000022123744321</v>
      </c>
      <c r="X52" s="280">
        <f t="shared" si="17"/>
        <v>8.6995985012363981</v>
      </c>
      <c r="Y52" s="277"/>
      <c r="Z52" s="281">
        <f t="shared" si="28"/>
        <v>0</v>
      </c>
      <c r="AA52" s="282">
        <f t="shared" si="29"/>
        <v>0</v>
      </c>
      <c r="AB52" s="283">
        <f t="shared" si="30"/>
        <v>0</v>
      </c>
      <c r="AC52" s="277"/>
      <c r="AD52" s="281">
        <f t="shared" si="31"/>
        <v>0</v>
      </c>
      <c r="AE52" s="282">
        <f t="shared" si="32"/>
        <v>0</v>
      </c>
      <c r="AF52" s="283">
        <f t="shared" si="33"/>
        <v>0</v>
      </c>
      <c r="AG52" s="284"/>
      <c r="AH52" s="285"/>
      <c r="AI52" s="286"/>
      <c r="AJ52" s="285"/>
    </row>
    <row r="53" spans="2:36" ht="16.2" thickTop="1" x14ac:dyDescent="0.3">
      <c r="B53" s="160" t="str">
        <f t="shared" si="1"/>
        <v>Display</v>
      </c>
      <c r="C53" s="160">
        <f t="shared" ref="C53:D53" si="41">C23/1000000</f>
        <v>1.5388841899999999</v>
      </c>
      <c r="D53" s="161">
        <f t="shared" si="41"/>
        <v>2.2441396025530991</v>
      </c>
      <c r="E53" s="158"/>
      <c r="F53" s="162">
        <f t="shared" si="3"/>
        <v>2.1544378659999999</v>
      </c>
      <c r="G53" s="163">
        <f t="shared" si="4"/>
        <v>0.4</v>
      </c>
      <c r="H53" s="164">
        <f t="shared" si="5"/>
        <v>2.8401383416538315</v>
      </c>
      <c r="I53" s="158"/>
      <c r="J53" s="162">
        <f t="shared" si="6"/>
        <v>1.648716178255951</v>
      </c>
      <c r="K53" s="163">
        <f t="shared" si="7"/>
        <v>8.3161826540480613E-2</v>
      </c>
      <c r="L53" s="164">
        <f t="shared" si="8"/>
        <v>2.3550918145724706</v>
      </c>
      <c r="M53" s="165"/>
      <c r="N53" s="162">
        <f t="shared" si="9"/>
        <v>2.1544378659999999</v>
      </c>
      <c r="O53" s="163">
        <f t="shared" si="10"/>
        <v>0.4</v>
      </c>
      <c r="P53" s="164">
        <f t="shared" si="11"/>
        <v>2.8401383416538315</v>
      </c>
      <c r="Q53" s="165"/>
      <c r="R53" s="162">
        <f t="shared" si="12"/>
        <v>1.5145348606083764</v>
      </c>
      <c r="S53" s="163">
        <f t="shared" si="13"/>
        <v>-6.888380875414781E-3</v>
      </c>
      <c r="T53" s="164">
        <f t="shared" si="14"/>
        <v>2.2192243307831161</v>
      </c>
      <c r="U53" s="165"/>
      <c r="V53" s="162">
        <f t="shared" si="15"/>
        <v>2.1544378659999999</v>
      </c>
      <c r="W53" s="163">
        <f t="shared" si="16"/>
        <v>0.4</v>
      </c>
      <c r="X53" s="164">
        <f t="shared" si="17"/>
        <v>2.8401383416538315</v>
      </c>
      <c r="Y53" s="165"/>
      <c r="Z53" s="162">
        <f t="shared" si="28"/>
        <v>0</v>
      </c>
      <c r="AA53" s="163">
        <f t="shared" si="29"/>
        <v>0</v>
      </c>
      <c r="AB53" s="166">
        <f t="shared" si="30"/>
        <v>0</v>
      </c>
      <c r="AC53" s="165"/>
      <c r="AD53" s="162">
        <f t="shared" si="31"/>
        <v>0</v>
      </c>
      <c r="AE53" s="163">
        <f t="shared" si="32"/>
        <v>0</v>
      </c>
      <c r="AF53" s="166">
        <f t="shared" si="33"/>
        <v>0</v>
      </c>
      <c r="AG53" s="98"/>
      <c r="AH53" s="147"/>
      <c r="AI53" s="109"/>
      <c r="AJ53" s="147"/>
    </row>
    <row r="54" spans="2:36" ht="15.6" x14ac:dyDescent="0.3">
      <c r="B54" s="160" t="str">
        <f t="shared" si="1"/>
        <v>Paid Search</v>
      </c>
      <c r="C54" s="160">
        <f t="shared" ref="C54:D54" si="42">C24/1000000</f>
        <v>1.5392779999999999</v>
      </c>
      <c r="D54" s="161">
        <f t="shared" si="42"/>
        <v>2.0697925284734322</v>
      </c>
      <c r="E54" s="158"/>
      <c r="F54" s="162">
        <f t="shared" si="3"/>
        <v>1.9809739619999998</v>
      </c>
      <c r="G54" s="163">
        <f t="shared" si="4"/>
        <v>0.28695009088676615</v>
      </c>
      <c r="H54" s="164">
        <f t="shared" si="5"/>
        <v>2.469562423265478</v>
      </c>
      <c r="I54" s="158"/>
      <c r="J54" s="162">
        <f t="shared" si="6"/>
        <v>1.290384032744049</v>
      </c>
      <c r="K54" s="163">
        <f t="shared" si="7"/>
        <v>-0.17348289202773665</v>
      </c>
      <c r="L54" s="164">
        <f t="shared" si="8"/>
        <v>1.8293978215676034</v>
      </c>
      <c r="M54" s="165"/>
      <c r="N54" s="162">
        <f t="shared" si="9"/>
        <v>1.9809739620000002</v>
      </c>
      <c r="O54" s="163">
        <f t="shared" si="10"/>
        <v>0.28695009088676626</v>
      </c>
      <c r="P54" s="164">
        <f t="shared" si="11"/>
        <v>2.469562423265478</v>
      </c>
      <c r="Q54" s="165"/>
      <c r="R54" s="162">
        <f t="shared" si="12"/>
        <v>1.0952002913916234</v>
      </c>
      <c r="S54" s="163">
        <f t="shared" si="13"/>
        <v>-0.29742945561238904</v>
      </c>
      <c r="T54" s="164">
        <f t="shared" si="14"/>
        <v>1.6309864641231413</v>
      </c>
      <c r="U54" s="165"/>
      <c r="V54" s="162">
        <f t="shared" si="15"/>
        <v>1.9809739620000002</v>
      </c>
      <c r="W54" s="163">
        <f t="shared" si="16"/>
        <v>0.28695009088676582</v>
      </c>
      <c r="X54" s="164">
        <f t="shared" si="17"/>
        <v>2.469562423265478</v>
      </c>
      <c r="Y54" s="165"/>
      <c r="Z54" s="162">
        <f t="shared" si="28"/>
        <v>0</v>
      </c>
      <c r="AA54" s="163">
        <f t="shared" si="29"/>
        <v>0</v>
      </c>
      <c r="AB54" s="166">
        <f t="shared" si="30"/>
        <v>0</v>
      </c>
      <c r="AC54" s="165"/>
      <c r="AD54" s="162">
        <f t="shared" si="31"/>
        <v>0</v>
      </c>
      <c r="AE54" s="163">
        <f t="shared" si="32"/>
        <v>0</v>
      </c>
      <c r="AF54" s="166">
        <f t="shared" si="33"/>
        <v>0</v>
      </c>
      <c r="AG54" s="98"/>
      <c r="AH54" s="147"/>
      <c r="AI54" s="109"/>
      <c r="AJ54" s="147"/>
    </row>
    <row r="55" spans="2:36" ht="15.6" x14ac:dyDescent="0.3">
      <c r="B55" s="160" t="str">
        <f t="shared" si="1"/>
        <v xml:space="preserve">Social </v>
      </c>
      <c r="C55" s="160">
        <f t="shared" ref="C55:D55" si="43">C25/1000000</f>
        <v>0.73602699999999999</v>
      </c>
      <c r="D55" s="161">
        <f t="shared" si="43"/>
        <v>0.68834087289052381</v>
      </c>
      <c r="E55" s="158"/>
      <c r="F55" s="162">
        <f t="shared" si="3"/>
        <v>0.44161620000000001</v>
      </c>
      <c r="G55" s="163">
        <f t="shared" si="4"/>
        <v>-0.39999999999999997</v>
      </c>
      <c r="H55" s="164">
        <f t="shared" si="5"/>
        <v>0.48140371066173443</v>
      </c>
      <c r="I55" s="158"/>
      <c r="J55" s="162">
        <f t="shared" si="6"/>
        <v>0.44161620000000001</v>
      </c>
      <c r="K55" s="163">
        <f t="shared" si="7"/>
        <v>-0.39999999999999997</v>
      </c>
      <c r="L55" s="164">
        <f t="shared" si="8"/>
        <v>0.48140371066173443</v>
      </c>
      <c r="M55" s="165"/>
      <c r="N55" s="162">
        <f t="shared" si="9"/>
        <v>0.44161620000000001</v>
      </c>
      <c r="O55" s="163">
        <f t="shared" si="10"/>
        <v>-0.39999999999999997</v>
      </c>
      <c r="P55" s="164">
        <f t="shared" si="11"/>
        <v>0.48140371066173443</v>
      </c>
      <c r="Q55" s="165"/>
      <c r="R55" s="162">
        <f t="shared" si="12"/>
        <v>0.44161620000000001</v>
      </c>
      <c r="S55" s="163">
        <f t="shared" si="13"/>
        <v>-0.39999999999999997</v>
      </c>
      <c r="T55" s="164">
        <f t="shared" si="14"/>
        <v>0.48140371066173443</v>
      </c>
      <c r="U55" s="165"/>
      <c r="V55" s="162">
        <f t="shared" si="15"/>
        <v>0.44161620000000001</v>
      </c>
      <c r="W55" s="163">
        <f t="shared" si="16"/>
        <v>-0.39999999999999997</v>
      </c>
      <c r="X55" s="164">
        <f t="shared" si="17"/>
        <v>0.48140371066173443</v>
      </c>
      <c r="Y55" s="165"/>
      <c r="Z55" s="162">
        <f t="shared" si="28"/>
        <v>0</v>
      </c>
      <c r="AA55" s="163">
        <f t="shared" si="29"/>
        <v>0</v>
      </c>
      <c r="AB55" s="166">
        <f t="shared" si="30"/>
        <v>0</v>
      </c>
      <c r="AC55" s="165"/>
      <c r="AD55" s="162">
        <f t="shared" si="31"/>
        <v>0</v>
      </c>
      <c r="AE55" s="163">
        <f t="shared" si="32"/>
        <v>0</v>
      </c>
      <c r="AF55" s="166">
        <f t="shared" si="33"/>
        <v>0</v>
      </c>
      <c r="AG55" s="98"/>
      <c r="AH55" s="147"/>
      <c r="AI55" s="109"/>
      <c r="AJ55" s="147"/>
    </row>
    <row r="56" spans="2:36" s="287" customFormat="1" ht="18.600000000000001" thickBot="1" x14ac:dyDescent="0.4">
      <c r="B56" s="276" t="str">
        <f t="shared" si="1"/>
        <v>HCC Total</v>
      </c>
      <c r="C56" s="276">
        <f t="shared" ref="C56:D56" si="44">C26/1000000</f>
        <v>3.81418919</v>
      </c>
      <c r="D56" s="276">
        <f t="shared" si="44"/>
        <v>5.0022730039170549</v>
      </c>
      <c r="E56" s="277"/>
      <c r="F56" s="278">
        <f t="shared" si="3"/>
        <v>4.577028028</v>
      </c>
      <c r="G56" s="279">
        <f t="shared" si="4"/>
        <v>0.20000026217891922</v>
      </c>
      <c r="H56" s="280">
        <f t="shared" si="5"/>
        <v>5.7911044755810437</v>
      </c>
      <c r="I56" s="277"/>
      <c r="J56" s="278">
        <f t="shared" si="6"/>
        <v>3.3807164110000003</v>
      </c>
      <c r="K56" s="279">
        <f t="shared" si="7"/>
        <v>-0.11364742476237849</v>
      </c>
      <c r="L56" s="280">
        <f t="shared" si="8"/>
        <v>4.6658933468018082</v>
      </c>
      <c r="M56" s="277"/>
      <c r="N56" s="278">
        <f t="shared" si="9"/>
        <v>4.577028028</v>
      </c>
      <c r="O56" s="279">
        <f t="shared" si="10"/>
        <v>0.20000026217891928</v>
      </c>
      <c r="P56" s="280">
        <f t="shared" si="11"/>
        <v>5.7911044755810437</v>
      </c>
      <c r="Q56" s="277"/>
      <c r="R56" s="278">
        <f t="shared" si="12"/>
        <v>3.0513513519999997</v>
      </c>
      <c r="S56" s="279">
        <f t="shared" si="13"/>
        <v>-0.20000000000000032</v>
      </c>
      <c r="T56" s="280">
        <f t="shared" si="14"/>
        <v>4.331614505567992</v>
      </c>
      <c r="U56" s="277"/>
      <c r="V56" s="278">
        <f t="shared" si="15"/>
        <v>4.577028028</v>
      </c>
      <c r="W56" s="279">
        <f t="shared" si="16"/>
        <v>0.20000026217891909</v>
      </c>
      <c r="X56" s="280">
        <f t="shared" si="17"/>
        <v>5.7911044755810437</v>
      </c>
      <c r="Y56" s="277"/>
      <c r="Z56" s="281">
        <f t="shared" si="28"/>
        <v>0</v>
      </c>
      <c r="AA56" s="282">
        <f t="shared" si="29"/>
        <v>0</v>
      </c>
      <c r="AB56" s="283">
        <f t="shared" si="30"/>
        <v>0</v>
      </c>
      <c r="AC56" s="277"/>
      <c r="AD56" s="281">
        <f t="shared" si="31"/>
        <v>0</v>
      </c>
      <c r="AE56" s="282">
        <f t="shared" si="32"/>
        <v>0</v>
      </c>
      <c r="AF56" s="283">
        <f t="shared" si="33"/>
        <v>0</v>
      </c>
      <c r="AG56" s="284"/>
      <c r="AH56" s="285"/>
      <c r="AI56" s="286"/>
      <c r="AJ56" s="285"/>
    </row>
    <row r="57" spans="2:36" ht="16.2" thickTop="1" x14ac:dyDescent="0.3">
      <c r="B57" s="160" t="str">
        <f t="shared" si="1"/>
        <v>Samples</v>
      </c>
      <c r="C57" s="160">
        <f t="shared" ref="C57:D57" si="45">C27/1000000</f>
        <v>1.3619133700000001</v>
      </c>
      <c r="D57" s="161">
        <f t="shared" si="45"/>
        <v>8.8615785578584845</v>
      </c>
      <c r="E57" s="158"/>
      <c r="F57" s="162">
        <f t="shared" si="3"/>
        <v>1.6090360340000001</v>
      </c>
      <c r="G57" s="163">
        <f t="shared" si="4"/>
        <v>0.18145255744130029</v>
      </c>
      <c r="H57" s="164">
        <f t="shared" si="5"/>
        <v>9.9586963968029139</v>
      </c>
      <c r="I57" s="158"/>
      <c r="J57" s="162">
        <f t="shared" si="6"/>
        <v>1.6090360340000001</v>
      </c>
      <c r="K57" s="163">
        <f t="shared" si="7"/>
        <v>0.18145255744130029</v>
      </c>
      <c r="L57" s="164">
        <f t="shared" si="8"/>
        <v>9.9586963968029139</v>
      </c>
      <c r="M57" s="165"/>
      <c r="N57" s="162">
        <f t="shared" si="9"/>
        <v>1.6090360340000001</v>
      </c>
      <c r="O57" s="163">
        <f t="shared" si="10"/>
        <v>0.18145255744130029</v>
      </c>
      <c r="P57" s="164">
        <f t="shared" si="11"/>
        <v>9.9586963968029139</v>
      </c>
      <c r="Q57" s="165"/>
      <c r="R57" s="162">
        <f t="shared" si="12"/>
        <v>1.0137486660003476</v>
      </c>
      <c r="S57" s="163">
        <f t="shared" si="13"/>
        <v>-0.25564379619802541</v>
      </c>
      <c r="T57" s="164">
        <f t="shared" si="14"/>
        <v>7.2070520814747594</v>
      </c>
      <c r="U57" s="165"/>
      <c r="V57" s="162">
        <f t="shared" si="15"/>
        <v>1.6090360340000001</v>
      </c>
      <c r="W57" s="163">
        <f t="shared" si="16"/>
        <v>0.18145255744130029</v>
      </c>
      <c r="X57" s="164">
        <f t="shared" si="17"/>
        <v>9.9586963968029139</v>
      </c>
      <c r="Y57" s="165"/>
      <c r="Z57" s="162">
        <f t="shared" si="28"/>
        <v>0</v>
      </c>
      <c r="AA57" s="163">
        <f t="shared" si="29"/>
        <v>0</v>
      </c>
      <c r="AB57" s="166">
        <f t="shared" si="30"/>
        <v>0</v>
      </c>
      <c r="AC57" s="165"/>
      <c r="AD57" s="162">
        <f t="shared" si="31"/>
        <v>0</v>
      </c>
      <c r="AE57" s="163">
        <f t="shared" si="32"/>
        <v>0</v>
      </c>
      <c r="AF57" s="166">
        <f t="shared" si="33"/>
        <v>0</v>
      </c>
      <c r="AG57" s="98"/>
      <c r="AH57" s="147"/>
      <c r="AI57" s="109"/>
      <c r="AJ57" s="147"/>
    </row>
    <row r="58" spans="2:36" ht="15.6" x14ac:dyDescent="0.3">
      <c r="B58" s="160" t="str">
        <f t="shared" si="1"/>
        <v>Vouchers</v>
      </c>
      <c r="C58" s="160">
        <f t="shared" ref="C58:D58" si="46">C28/1000000</f>
        <v>0.12630505</v>
      </c>
      <c r="D58" s="161">
        <f t="shared" si="46"/>
        <v>2.3463395299383798</v>
      </c>
      <c r="E58" s="158"/>
      <c r="F58" s="162">
        <f t="shared" si="3"/>
        <v>0.17682707</v>
      </c>
      <c r="G58" s="163">
        <f t="shared" si="4"/>
        <v>0.4</v>
      </c>
      <c r="H58" s="164">
        <f t="shared" si="5"/>
        <v>2.9694805322871369</v>
      </c>
      <c r="I58" s="158"/>
      <c r="J58" s="162">
        <f t="shared" si="6"/>
        <v>0.17682707</v>
      </c>
      <c r="K58" s="163">
        <f t="shared" si="7"/>
        <v>0.4</v>
      </c>
      <c r="L58" s="164">
        <f t="shared" si="8"/>
        <v>2.9694805322871369</v>
      </c>
      <c r="M58" s="165"/>
      <c r="N58" s="162">
        <f t="shared" si="9"/>
        <v>0.17682707</v>
      </c>
      <c r="O58" s="163">
        <f t="shared" si="10"/>
        <v>0.4</v>
      </c>
      <c r="P58" s="164">
        <f t="shared" si="11"/>
        <v>2.9694805322871369</v>
      </c>
      <c r="Q58" s="165"/>
      <c r="R58" s="162">
        <f t="shared" si="12"/>
        <v>0.17682707</v>
      </c>
      <c r="S58" s="163">
        <f t="shared" si="13"/>
        <v>0.4</v>
      </c>
      <c r="T58" s="164">
        <f t="shared" si="14"/>
        <v>2.9694805322871369</v>
      </c>
      <c r="U58" s="165"/>
      <c r="V58" s="162">
        <f t="shared" si="15"/>
        <v>0.17682707</v>
      </c>
      <c r="W58" s="163">
        <f t="shared" si="16"/>
        <v>0.4</v>
      </c>
      <c r="X58" s="164">
        <f t="shared" si="17"/>
        <v>2.9694805322871369</v>
      </c>
      <c r="Y58" s="165"/>
      <c r="Z58" s="162">
        <f t="shared" si="28"/>
        <v>0</v>
      </c>
      <c r="AA58" s="163">
        <f t="shared" si="29"/>
        <v>0</v>
      </c>
      <c r="AB58" s="166">
        <f t="shared" si="30"/>
        <v>0</v>
      </c>
      <c r="AC58" s="165"/>
      <c r="AD58" s="162">
        <f t="shared" si="31"/>
        <v>0</v>
      </c>
      <c r="AE58" s="163">
        <f t="shared" si="32"/>
        <v>0</v>
      </c>
      <c r="AF58" s="166">
        <f t="shared" si="33"/>
        <v>0</v>
      </c>
      <c r="AG58" s="98"/>
      <c r="AH58" s="147"/>
      <c r="AI58" s="109"/>
      <c r="AJ58" s="147"/>
    </row>
    <row r="59" spans="2:36" s="287" customFormat="1" ht="18.600000000000001" thickBot="1" x14ac:dyDescent="0.4">
      <c r="B59" s="276" t="str">
        <f t="shared" si="1"/>
        <v>PP HCP Total</v>
      </c>
      <c r="C59" s="276">
        <f t="shared" ref="C59:D59" si="47">C29/1000000</f>
        <v>1.4882184200000002</v>
      </c>
      <c r="D59" s="276">
        <f t="shared" si="47"/>
        <v>11.207918087796862</v>
      </c>
      <c r="E59" s="277"/>
      <c r="F59" s="278">
        <f t="shared" si="3"/>
        <v>1.7858631040000001</v>
      </c>
      <c r="G59" s="279">
        <f t="shared" si="4"/>
        <v>0.20000067194437754</v>
      </c>
      <c r="H59" s="280">
        <f t="shared" si="5"/>
        <v>12.928176929090052</v>
      </c>
      <c r="I59" s="277"/>
      <c r="J59" s="278">
        <f t="shared" si="6"/>
        <v>1.7858631040000001</v>
      </c>
      <c r="K59" s="279">
        <f t="shared" si="7"/>
        <v>0.20000067194437754</v>
      </c>
      <c r="L59" s="280">
        <f t="shared" si="8"/>
        <v>12.928176929090052</v>
      </c>
      <c r="M59" s="277"/>
      <c r="N59" s="278">
        <f t="shared" si="9"/>
        <v>1.7858631040000001</v>
      </c>
      <c r="O59" s="279">
        <f t="shared" si="10"/>
        <v>0.20000067194437754</v>
      </c>
      <c r="P59" s="280">
        <f t="shared" si="11"/>
        <v>12.928176929090052</v>
      </c>
      <c r="Q59" s="277"/>
      <c r="R59" s="278">
        <f t="shared" si="12"/>
        <v>1.1905757360003477</v>
      </c>
      <c r="S59" s="279">
        <f t="shared" si="13"/>
        <v>-0.19999932805538448</v>
      </c>
      <c r="T59" s="280">
        <f t="shared" si="14"/>
        <v>10.176532613761896</v>
      </c>
      <c r="U59" s="277"/>
      <c r="V59" s="278">
        <f t="shared" si="15"/>
        <v>1.7858631040000001</v>
      </c>
      <c r="W59" s="279">
        <f t="shared" si="16"/>
        <v>0.20000067194437754</v>
      </c>
      <c r="X59" s="280">
        <f t="shared" si="17"/>
        <v>12.928176929090052</v>
      </c>
      <c r="Y59" s="277"/>
      <c r="Z59" s="281">
        <f t="shared" si="28"/>
        <v>0</v>
      </c>
      <c r="AA59" s="282">
        <f t="shared" si="29"/>
        <v>0</v>
      </c>
      <c r="AB59" s="283">
        <f t="shared" si="30"/>
        <v>0</v>
      </c>
      <c r="AC59" s="277"/>
      <c r="AD59" s="281">
        <f t="shared" si="31"/>
        <v>0</v>
      </c>
      <c r="AE59" s="282">
        <f t="shared" si="32"/>
        <v>0</v>
      </c>
      <c r="AF59" s="283">
        <f t="shared" si="33"/>
        <v>0</v>
      </c>
      <c r="AG59" s="284"/>
      <c r="AH59" s="285"/>
      <c r="AI59" s="286"/>
      <c r="AJ59" s="285"/>
    </row>
    <row r="60" spans="2:36" ht="16.2" thickTop="1" x14ac:dyDescent="0.3">
      <c r="B60" s="167" t="str">
        <f t="shared" si="1"/>
        <v>Total InScope Budget</v>
      </c>
      <c r="C60" s="168">
        <f t="shared" ref="C60:D60" si="48">C30/1000000</f>
        <v>13.97475919</v>
      </c>
      <c r="D60" s="169">
        <f t="shared" si="48"/>
        <v>25.408443783491549</v>
      </c>
      <c r="E60" s="159"/>
      <c r="F60" s="170">
        <f t="shared" si="3"/>
        <v>13.974760189999998</v>
      </c>
      <c r="G60" s="171">
        <f t="shared" si="4"/>
        <v>7.15575835362466E-8</v>
      </c>
      <c r="H60" s="172">
        <f t="shared" si="5"/>
        <v>28.830954764947435</v>
      </c>
      <c r="I60" s="159"/>
      <c r="J60" s="170">
        <f t="shared" si="6"/>
        <v>12.577284271000002</v>
      </c>
      <c r="K60" s="171">
        <f t="shared" si="7"/>
        <v>-9.9999928442416189E-2</v>
      </c>
      <c r="L60" s="172">
        <f t="shared" si="8"/>
        <v>27.570700640491822</v>
      </c>
      <c r="M60" s="159"/>
      <c r="N60" s="170">
        <f t="shared" si="9"/>
        <v>15.372236109000003</v>
      </c>
      <c r="O60" s="171">
        <f t="shared" si="10"/>
        <v>0.10000007155758392</v>
      </c>
      <c r="P60" s="172">
        <f t="shared" si="11"/>
        <v>29.678693152007931</v>
      </c>
      <c r="Q60" s="159"/>
      <c r="R60" s="170">
        <f t="shared" si="12"/>
        <v>11.179808352000348</v>
      </c>
      <c r="S60" s="171">
        <f t="shared" si="13"/>
        <v>-0.19999992844239137</v>
      </c>
      <c r="T60" s="172">
        <f t="shared" si="14"/>
        <v>23.728873422195623</v>
      </c>
      <c r="U60" s="159"/>
      <c r="V60" s="170">
        <f t="shared" si="15"/>
        <v>16.769712028000001</v>
      </c>
      <c r="W60" s="171">
        <f t="shared" si="16"/>
        <v>0.20000007155758365</v>
      </c>
      <c r="X60" s="172">
        <f t="shared" si="17"/>
        <v>29.905776535323568</v>
      </c>
      <c r="Y60" s="159"/>
      <c r="Z60" s="170">
        <f t="shared" ref="Z60" si="49">Z30/1000000</f>
        <v>0</v>
      </c>
      <c r="AA60" s="171">
        <f t="shared" ref="AA60" si="50">AA30</f>
        <v>-1</v>
      </c>
      <c r="AB60" s="172">
        <f t="shared" ref="AB60" si="51">AB30/1000000</f>
        <v>0</v>
      </c>
      <c r="AC60" s="159"/>
      <c r="AD60" s="170">
        <f t="shared" ref="AD60" si="52">AD30/1000000</f>
        <v>0</v>
      </c>
      <c r="AE60" s="171">
        <f t="shared" ref="AE60" si="53">AE30</f>
        <v>-1</v>
      </c>
      <c r="AF60" s="172">
        <f t="shared" ref="AF60" si="54">AF30/1000000</f>
        <v>0</v>
      </c>
      <c r="AG60" s="98"/>
      <c r="AH60" s="147"/>
      <c r="AI60" s="109"/>
      <c r="AJ60" s="147"/>
    </row>
    <row r="61" spans="2:36" ht="31.2" x14ac:dyDescent="0.3">
      <c r="B61" s="167" t="s">
        <v>129</v>
      </c>
      <c r="C61" s="170" t="str">
        <f>_xlfn.CONCAT("ROI"," ", ,TEXT(C62,"0.0"))</f>
        <v>ROI 1.1</v>
      </c>
      <c r="D61" s="169"/>
      <c r="E61" s="159"/>
      <c r="F61" s="170" t="str">
        <f>_xlfn.CONCAT("ROI"," ", ,TEXT(F62,"0.0"))</f>
        <v>ROI 1.3</v>
      </c>
      <c r="G61" s="173"/>
      <c r="H61" s="174" t="str">
        <f>CONCATENATE(TEXT(H62,"$#,##0.0"),"(",TEXT(H63,"#%"),")")</f>
        <v>$3.4(12%)</v>
      </c>
      <c r="I61" s="159"/>
      <c r="J61" s="170" t="str">
        <f>_xlfn.CONCAT("ROI"," ", ,TEXT(J62,"0.0"))</f>
        <v>ROI 1.4</v>
      </c>
      <c r="K61" s="173"/>
      <c r="L61" s="174" t="str">
        <f>CONCATENATE(TEXT(L62,"$#,##0.0"),"(",TEXT(L63,"#%"),")")</f>
        <v>$2.2(8%)</v>
      </c>
      <c r="M61" s="159"/>
      <c r="N61" s="170" t="str">
        <f>_xlfn.CONCAT("ROI"," ", ,N62)</f>
        <v>ROI 1.23</v>
      </c>
      <c r="O61" s="173"/>
      <c r="P61" s="174" t="str">
        <f>CONCATENATE(TEXT(P62,"$#,##0.0"),"(",TEXT(P63,"#%"),")")</f>
        <v>$4.3(14%)</v>
      </c>
      <c r="Q61" s="159"/>
      <c r="R61" s="170" t="str">
        <f>_xlfn.CONCAT("ROI"," ", ,TEXT(R62,"0.0"))</f>
        <v>ROI 1.4</v>
      </c>
      <c r="S61" s="173"/>
      <c r="T61" s="175" t="str">
        <f>CONCATENATE(TEXT(T62,"$#,##0.0"),"(",TEXT(T63,"#%"),")")</f>
        <v>-$1.7(-7%)</v>
      </c>
      <c r="U61" s="159"/>
      <c r="V61" s="170" t="str">
        <f>_xlfn.CONCAT("ROI"," ", ,TEXT(V62,"0.0"))</f>
        <v>ROI 1.1</v>
      </c>
      <c r="W61" s="173"/>
      <c r="X61" s="174" t="str">
        <f>CONCATENATE(TEXT(X62,"$#,##0.0"),"(",TEXT(X63,"#%"),")")</f>
        <v>$4.5(15%)</v>
      </c>
      <c r="Y61" s="159"/>
      <c r="Z61" s="170" t="e">
        <f>_xlfn.CONCAT("ROI"," ", ,TEXT(Z62,"0.0"))</f>
        <v>#DIV/0!</v>
      </c>
      <c r="AA61" s="173"/>
      <c r="AB61" s="175" t="s">
        <v>158</v>
      </c>
      <c r="AC61" s="159"/>
      <c r="AD61" s="170" t="e">
        <f>_xlfn.CONCAT("ROI"," ", ,TEXT(AD62,"0.0"))</f>
        <v>#DIV/0!</v>
      </c>
      <c r="AE61" s="173"/>
      <c r="AF61" s="174" t="s">
        <v>145</v>
      </c>
      <c r="AG61" s="98"/>
      <c r="AH61" s="147"/>
      <c r="AI61" s="109"/>
      <c r="AJ61" s="122"/>
    </row>
    <row r="62" spans="2:36" s="262" customFormat="1" x14ac:dyDescent="0.3">
      <c r="B62" s="262" t="s">
        <v>187</v>
      </c>
      <c r="C62" s="264">
        <f>ROUND((D60-D59)/(C60-C59),2)</f>
        <v>1.1399999999999999</v>
      </c>
      <c r="F62" s="262">
        <f>ROUND((H60-H59)/(F60-F59),2)</f>
        <v>1.3</v>
      </c>
      <c r="H62" s="265">
        <f>H60-$D$60</f>
        <v>3.4225109814558863</v>
      </c>
      <c r="J62" s="264">
        <f>ROUND((L60-L59)/(J60-J59),2)</f>
        <v>1.36</v>
      </c>
      <c r="L62" s="265">
        <f>L60-$D$60</f>
        <v>2.1622568570002727</v>
      </c>
      <c r="N62" s="264">
        <f>ROUND((P60-P59)/(N60-N59),2)</f>
        <v>1.23</v>
      </c>
      <c r="P62" s="265">
        <f>P60-$D$60</f>
        <v>4.2702493685163816</v>
      </c>
      <c r="R62" s="264">
        <f>ROUND((T60-T59)/(R60-R59),2)</f>
        <v>1.36</v>
      </c>
      <c r="T62" s="265">
        <f>T60-$D$60</f>
        <v>-1.6795703612959265</v>
      </c>
      <c r="V62" s="264">
        <f>ROUND((X60-X59)/(V60-V59),2)</f>
        <v>1.1299999999999999</v>
      </c>
      <c r="X62" s="265">
        <f>X60-$D$60</f>
        <v>4.497332751832019</v>
      </c>
      <c r="Z62" s="262" t="e">
        <f>ROUND((AB60-AB59)/(Z60-Z59),2)</f>
        <v>#DIV/0!</v>
      </c>
      <c r="AB62" s="265">
        <f>AB60-$D$60</f>
        <v>-25.408443783491549</v>
      </c>
      <c r="AD62" s="262" t="e">
        <f>ROUND((AF60-AF59)/(AD60-AD59),2)</f>
        <v>#DIV/0!</v>
      </c>
      <c r="AF62" s="263">
        <f>AF60-$D$60</f>
        <v>-25.408443783491549</v>
      </c>
      <c r="AJ62" s="263"/>
    </row>
    <row r="63" spans="2:36" x14ac:dyDescent="0.3">
      <c r="H63" s="119">
        <f>H62/H60</f>
        <v>0.11870959561897555</v>
      </c>
      <c r="L63" s="119">
        <f>L62/L60</f>
        <v>7.8425894401271234E-2</v>
      </c>
      <c r="P63" s="119">
        <f>P62/P60</f>
        <v>0.14388266176832909</v>
      </c>
      <c r="T63" s="119">
        <f>T62/T60</f>
        <v>-7.0781715229888756E-2</v>
      </c>
      <c r="X63" s="119">
        <f>X62/X60</f>
        <v>0.15038341326866869</v>
      </c>
      <c r="AB63" s="119" t="e">
        <f>AB62/AB60</f>
        <v>#DIV/0!</v>
      </c>
      <c r="AF63" s="119" t="e">
        <f>AF62/AF60</f>
        <v>#DIV/0!</v>
      </c>
      <c r="AJ63" s="119"/>
    </row>
  </sheetData>
  <mergeCells count="20">
    <mergeCell ref="AH34:AJ34"/>
    <mergeCell ref="N3:AJ3"/>
    <mergeCell ref="N33:AJ33"/>
    <mergeCell ref="AD4:AF4"/>
    <mergeCell ref="Z34:AB34"/>
    <mergeCell ref="AD34:AF34"/>
    <mergeCell ref="R4:T4"/>
    <mergeCell ref="R2:T2"/>
    <mergeCell ref="F4:H4"/>
    <mergeCell ref="N4:P4"/>
    <mergeCell ref="Z4:AB4"/>
    <mergeCell ref="C34:D34"/>
    <mergeCell ref="R34:T34"/>
    <mergeCell ref="J34:L34"/>
    <mergeCell ref="F34:H34"/>
    <mergeCell ref="N34:P34"/>
    <mergeCell ref="V4:X4"/>
    <mergeCell ref="V34:X34"/>
    <mergeCell ref="J4:L4"/>
    <mergeCell ref="C4:E4"/>
  </mergeCells>
  <conditionalFormatting sqref="AI36:AI61">
    <cfRule type="cellIs" dxfId="192" priority="596" operator="greaterThan">
      <formula>0</formula>
    </cfRule>
    <cfRule type="cellIs" dxfId="191" priority="597" operator="lessThan">
      <formula>0</formula>
    </cfRule>
  </conditionalFormatting>
  <conditionalFormatting sqref="G36:G44">
    <cfRule type="cellIs" dxfId="190" priority="245" operator="lessThan">
      <formula>0</formula>
    </cfRule>
    <cfRule type="cellIs" dxfId="189" priority="246" operator="greaterThan">
      <formula>0</formula>
    </cfRule>
  </conditionalFormatting>
  <conditionalFormatting sqref="AA36:AA44">
    <cfRule type="cellIs" dxfId="188" priority="235" operator="lessThan">
      <formula>0</formula>
    </cfRule>
    <cfRule type="cellIs" dxfId="187" priority="236" operator="greaterThan">
      <formula>0</formula>
    </cfRule>
  </conditionalFormatting>
  <conditionalFormatting sqref="AE36:AE44">
    <cfRule type="cellIs" dxfId="186" priority="233" operator="lessThan">
      <formula>0</formula>
    </cfRule>
    <cfRule type="cellIs" dxfId="185" priority="234" operator="greaterThan">
      <formula>0</formula>
    </cfRule>
  </conditionalFormatting>
  <conditionalFormatting sqref="G46:G51">
    <cfRule type="cellIs" dxfId="184" priority="231" operator="lessThan">
      <formula>0</formula>
    </cfRule>
    <cfRule type="cellIs" dxfId="183" priority="232" operator="greaterThan">
      <formula>0</formula>
    </cfRule>
  </conditionalFormatting>
  <conditionalFormatting sqref="AA46:AA51">
    <cfRule type="cellIs" dxfId="182" priority="221" operator="lessThan">
      <formula>0</formula>
    </cfRule>
    <cfRule type="cellIs" dxfId="181" priority="222" operator="greaterThan">
      <formula>0</formula>
    </cfRule>
  </conditionalFormatting>
  <conditionalFormatting sqref="AE46:AE51">
    <cfRule type="cellIs" dxfId="180" priority="219" operator="lessThan">
      <formula>0</formula>
    </cfRule>
    <cfRule type="cellIs" dxfId="179" priority="220" operator="greaterThan">
      <formula>0</formula>
    </cfRule>
  </conditionalFormatting>
  <conditionalFormatting sqref="G53:G55">
    <cfRule type="cellIs" dxfId="178" priority="217" operator="lessThan">
      <formula>0</formula>
    </cfRule>
    <cfRule type="cellIs" dxfId="177" priority="218" operator="greaterThan">
      <formula>0</formula>
    </cfRule>
  </conditionalFormatting>
  <conditionalFormatting sqref="AA53:AA55">
    <cfRule type="cellIs" dxfId="176" priority="207" operator="lessThan">
      <formula>0</formula>
    </cfRule>
    <cfRule type="cellIs" dxfId="175" priority="208" operator="greaterThan">
      <formula>0</formula>
    </cfRule>
  </conditionalFormatting>
  <conditionalFormatting sqref="AE53:AE55">
    <cfRule type="cellIs" dxfId="174" priority="205" operator="lessThan">
      <formula>0</formula>
    </cfRule>
    <cfRule type="cellIs" dxfId="173" priority="206" operator="greaterThan">
      <formula>0</formula>
    </cfRule>
  </conditionalFormatting>
  <conditionalFormatting sqref="G57:G58">
    <cfRule type="cellIs" dxfId="172" priority="203" operator="lessThan">
      <formula>0</formula>
    </cfRule>
    <cfRule type="cellIs" dxfId="171" priority="204" operator="greaterThan">
      <formula>0</formula>
    </cfRule>
  </conditionalFormatting>
  <conditionalFormatting sqref="AA57:AA58">
    <cfRule type="cellIs" dxfId="170" priority="193" operator="lessThan">
      <formula>0</formula>
    </cfRule>
    <cfRule type="cellIs" dxfId="169" priority="194" operator="greaterThan">
      <formula>0</formula>
    </cfRule>
  </conditionalFormatting>
  <conditionalFormatting sqref="AE57:AE58">
    <cfRule type="cellIs" dxfId="168" priority="191" operator="lessThan">
      <formula>0</formula>
    </cfRule>
    <cfRule type="cellIs" dxfId="167" priority="192" operator="greaterThan">
      <formula>0</formula>
    </cfRule>
  </conditionalFormatting>
  <conditionalFormatting sqref="G45">
    <cfRule type="cellIs" dxfId="166" priority="189" operator="lessThan">
      <formula>0</formula>
    </cfRule>
    <cfRule type="cellIs" dxfId="165" priority="190" operator="greaterThan">
      <formula>0</formula>
    </cfRule>
  </conditionalFormatting>
  <conditionalFormatting sqref="AA45">
    <cfRule type="cellIs" dxfId="164" priority="179" operator="lessThan">
      <formula>0</formula>
    </cfRule>
    <cfRule type="cellIs" dxfId="163" priority="180" operator="greaterThan">
      <formula>0</formula>
    </cfRule>
  </conditionalFormatting>
  <conditionalFormatting sqref="AE45">
    <cfRule type="cellIs" dxfId="162" priority="177" operator="lessThan">
      <formula>0</formula>
    </cfRule>
    <cfRule type="cellIs" dxfId="161" priority="178" operator="greaterThan">
      <formula>0</formula>
    </cfRule>
  </conditionalFormatting>
  <conditionalFormatting sqref="AA52">
    <cfRule type="cellIs" dxfId="158" priority="165" operator="lessThan">
      <formula>0</formula>
    </cfRule>
    <cfRule type="cellIs" dxfId="157" priority="166" operator="greaterThan">
      <formula>0</formula>
    </cfRule>
  </conditionalFormatting>
  <conditionalFormatting sqref="AE52">
    <cfRule type="cellIs" dxfId="156" priority="163" operator="lessThan">
      <formula>0</formula>
    </cfRule>
    <cfRule type="cellIs" dxfId="155" priority="164" operator="greaterThan">
      <formula>0</formula>
    </cfRule>
  </conditionalFormatting>
  <conditionalFormatting sqref="AA56">
    <cfRule type="cellIs" dxfId="152" priority="151" operator="lessThan">
      <formula>0</formula>
    </cfRule>
    <cfRule type="cellIs" dxfId="151" priority="152" operator="greaterThan">
      <formula>0</formula>
    </cfRule>
  </conditionalFormatting>
  <conditionalFormatting sqref="AE56">
    <cfRule type="cellIs" dxfId="150" priority="149" operator="lessThan">
      <formula>0</formula>
    </cfRule>
    <cfRule type="cellIs" dxfId="149" priority="150" operator="greaterThan">
      <formula>0</formula>
    </cfRule>
  </conditionalFormatting>
  <conditionalFormatting sqref="AA59">
    <cfRule type="cellIs" dxfId="146" priority="137" operator="lessThan">
      <formula>0</formula>
    </cfRule>
    <cfRule type="cellIs" dxfId="145" priority="138" operator="greaterThan">
      <formula>0</formula>
    </cfRule>
  </conditionalFormatting>
  <conditionalFormatting sqref="AE59">
    <cfRule type="cellIs" dxfId="144" priority="135" operator="lessThan">
      <formula>0</formula>
    </cfRule>
    <cfRule type="cellIs" dxfId="143" priority="136" operator="greaterThan">
      <formula>0</formula>
    </cfRule>
  </conditionalFormatting>
  <conditionalFormatting sqref="G52">
    <cfRule type="cellIs" dxfId="78" priority="69" operator="lessThan">
      <formula>0</formula>
    </cfRule>
    <cfRule type="cellIs" dxfId="77" priority="70" operator="greaterThan">
      <formula>0</formula>
    </cfRule>
  </conditionalFormatting>
  <conditionalFormatting sqref="G56">
    <cfRule type="cellIs" dxfId="76" priority="67" operator="lessThan">
      <formula>0</formula>
    </cfRule>
    <cfRule type="cellIs" dxfId="75" priority="68" operator="greaterThan">
      <formula>0</formula>
    </cfRule>
  </conditionalFormatting>
  <conditionalFormatting sqref="G59">
    <cfRule type="cellIs" dxfId="74" priority="65" operator="lessThan">
      <formula>0</formula>
    </cfRule>
    <cfRule type="cellIs" dxfId="73" priority="66" operator="greaterThan">
      <formula>0</formula>
    </cfRule>
  </conditionalFormatting>
  <conditionalFormatting sqref="K36:K44">
    <cfRule type="cellIs" dxfId="72" priority="63" operator="lessThan">
      <formula>0</formula>
    </cfRule>
    <cfRule type="cellIs" dxfId="71" priority="64" operator="greaterThan">
      <formula>0</formula>
    </cfRule>
  </conditionalFormatting>
  <conditionalFormatting sqref="K46:K51">
    <cfRule type="cellIs" dxfId="70" priority="61" operator="lessThan">
      <formula>0</formula>
    </cfRule>
    <cfRule type="cellIs" dxfId="69" priority="62" operator="greaterThan">
      <formula>0</formula>
    </cfRule>
  </conditionalFormatting>
  <conditionalFormatting sqref="K53:K55">
    <cfRule type="cellIs" dxfId="68" priority="59" operator="lessThan">
      <formula>0</formula>
    </cfRule>
    <cfRule type="cellIs" dxfId="67" priority="60" operator="greaterThan">
      <formula>0</formula>
    </cfRule>
  </conditionalFormatting>
  <conditionalFormatting sqref="K57:K58">
    <cfRule type="cellIs" dxfId="66" priority="57" operator="lessThan">
      <formula>0</formula>
    </cfRule>
    <cfRule type="cellIs" dxfId="65" priority="58" operator="greaterThan">
      <formula>0</formula>
    </cfRule>
  </conditionalFormatting>
  <conditionalFormatting sqref="K45">
    <cfRule type="cellIs" dxfId="64" priority="55" operator="lessThan">
      <formula>0</formula>
    </cfRule>
    <cfRule type="cellIs" dxfId="63" priority="56" operator="greaterThan">
      <formula>0</formula>
    </cfRule>
  </conditionalFormatting>
  <conditionalFormatting sqref="K52">
    <cfRule type="cellIs" dxfId="62" priority="53" operator="lessThan">
      <formula>0</formula>
    </cfRule>
    <cfRule type="cellIs" dxfId="61" priority="54" operator="greaterThan">
      <formula>0</formula>
    </cfRule>
  </conditionalFormatting>
  <conditionalFormatting sqref="K56">
    <cfRule type="cellIs" dxfId="60" priority="51" operator="lessThan">
      <formula>0</formula>
    </cfRule>
    <cfRule type="cellIs" dxfId="59" priority="52" operator="greaterThan">
      <formula>0</formula>
    </cfRule>
  </conditionalFormatting>
  <conditionalFormatting sqref="K59">
    <cfRule type="cellIs" dxfId="58" priority="49" operator="lessThan">
      <formula>0</formula>
    </cfRule>
    <cfRule type="cellIs" dxfId="57" priority="50" operator="greaterThan">
      <formula>0</formula>
    </cfRule>
  </conditionalFormatting>
  <conditionalFormatting sqref="O36:O44">
    <cfRule type="cellIs" dxfId="56" priority="47" operator="lessThan">
      <formula>0</formula>
    </cfRule>
    <cfRule type="cellIs" dxfId="55" priority="48" operator="greaterThan">
      <formula>0</formula>
    </cfRule>
  </conditionalFormatting>
  <conditionalFormatting sqref="O46:O51">
    <cfRule type="cellIs" dxfId="54" priority="45" operator="lessThan">
      <formula>0</formula>
    </cfRule>
    <cfRule type="cellIs" dxfId="53" priority="46" operator="greaterThan">
      <formula>0</formula>
    </cfRule>
  </conditionalFormatting>
  <conditionalFormatting sqref="O53:O55">
    <cfRule type="cellIs" dxfId="52" priority="43" operator="lessThan">
      <formula>0</formula>
    </cfRule>
    <cfRule type="cellIs" dxfId="51" priority="44" operator="greaterThan">
      <formula>0</formula>
    </cfRule>
  </conditionalFormatting>
  <conditionalFormatting sqref="O57:O58">
    <cfRule type="cellIs" dxfId="50" priority="41" operator="lessThan">
      <formula>0</formula>
    </cfRule>
    <cfRule type="cellIs" dxfId="49" priority="42" operator="greaterThan">
      <formula>0</formula>
    </cfRule>
  </conditionalFormatting>
  <conditionalFormatting sqref="O45">
    <cfRule type="cellIs" dxfId="48" priority="39" operator="lessThan">
      <formula>0</formula>
    </cfRule>
    <cfRule type="cellIs" dxfId="47" priority="40" operator="greaterThan">
      <formula>0</formula>
    </cfRule>
  </conditionalFormatting>
  <conditionalFormatting sqref="O52">
    <cfRule type="cellIs" dxfId="46" priority="37" operator="lessThan">
      <formula>0</formula>
    </cfRule>
    <cfRule type="cellIs" dxfId="45" priority="38" operator="greaterThan">
      <formula>0</formula>
    </cfRule>
  </conditionalFormatting>
  <conditionalFormatting sqref="O56">
    <cfRule type="cellIs" dxfId="44" priority="35" operator="lessThan">
      <formula>0</formula>
    </cfRule>
    <cfRule type="cellIs" dxfId="43" priority="36" operator="greaterThan">
      <formula>0</formula>
    </cfRule>
  </conditionalFormatting>
  <conditionalFormatting sqref="O59">
    <cfRule type="cellIs" dxfId="42" priority="33" operator="lessThan">
      <formula>0</formula>
    </cfRule>
    <cfRule type="cellIs" dxfId="41" priority="34" operator="greaterThan">
      <formula>0</formula>
    </cfRule>
  </conditionalFormatting>
  <conditionalFormatting sqref="S36:S44">
    <cfRule type="cellIs" dxfId="40" priority="31" operator="lessThan">
      <formula>0</formula>
    </cfRule>
    <cfRule type="cellIs" dxfId="39" priority="32" operator="greaterThan">
      <formula>0</formula>
    </cfRule>
  </conditionalFormatting>
  <conditionalFormatting sqref="S46:S51">
    <cfRule type="cellIs" dxfId="38" priority="29" operator="lessThan">
      <formula>0</formula>
    </cfRule>
    <cfRule type="cellIs" dxfId="37" priority="30" operator="greaterThan">
      <formula>0</formula>
    </cfRule>
  </conditionalFormatting>
  <conditionalFormatting sqref="S53:S55">
    <cfRule type="cellIs" dxfId="36" priority="27" operator="lessThan">
      <formula>0</formula>
    </cfRule>
    <cfRule type="cellIs" dxfId="35" priority="28" operator="greaterThan">
      <formula>0</formula>
    </cfRule>
  </conditionalFormatting>
  <conditionalFormatting sqref="S57:S58">
    <cfRule type="cellIs" dxfId="34" priority="25" operator="lessThan">
      <formula>0</formula>
    </cfRule>
    <cfRule type="cellIs" dxfId="33" priority="26" operator="greaterThan">
      <formula>0</formula>
    </cfRule>
  </conditionalFormatting>
  <conditionalFormatting sqref="S45">
    <cfRule type="cellIs" dxfId="32" priority="23" operator="lessThan">
      <formula>0</formula>
    </cfRule>
    <cfRule type="cellIs" dxfId="31" priority="24" operator="greaterThan">
      <formula>0</formula>
    </cfRule>
  </conditionalFormatting>
  <conditionalFormatting sqref="S52">
    <cfRule type="cellIs" dxfId="30" priority="21" operator="lessThan">
      <formula>0</formula>
    </cfRule>
    <cfRule type="cellIs" dxfId="29" priority="22" operator="greaterThan">
      <formula>0</formula>
    </cfRule>
  </conditionalFormatting>
  <conditionalFormatting sqref="S56">
    <cfRule type="cellIs" dxfId="28" priority="19" operator="lessThan">
      <formula>0</formula>
    </cfRule>
    <cfRule type="cellIs" dxfId="27" priority="20" operator="greaterThan">
      <formula>0</formula>
    </cfRule>
  </conditionalFormatting>
  <conditionalFormatting sqref="S59">
    <cfRule type="cellIs" dxfId="26" priority="17" operator="lessThan">
      <formula>0</formula>
    </cfRule>
    <cfRule type="cellIs" dxfId="25" priority="18" operator="greaterThan">
      <formula>0</formula>
    </cfRule>
  </conditionalFormatting>
  <conditionalFormatting sqref="W36:W44">
    <cfRule type="cellIs" dxfId="24" priority="15" operator="lessThan">
      <formula>0</formula>
    </cfRule>
    <cfRule type="cellIs" dxfId="23" priority="16" operator="greaterThan">
      <formula>0</formula>
    </cfRule>
  </conditionalFormatting>
  <conditionalFormatting sqref="W46:W51">
    <cfRule type="cellIs" dxfId="22" priority="13" operator="lessThan">
      <formula>0</formula>
    </cfRule>
    <cfRule type="cellIs" dxfId="21" priority="14" operator="greaterThan">
      <formula>0</formula>
    </cfRule>
  </conditionalFormatting>
  <conditionalFormatting sqref="W53:W55">
    <cfRule type="cellIs" dxfId="20" priority="11" operator="lessThan">
      <formula>0</formula>
    </cfRule>
    <cfRule type="cellIs" dxfId="19" priority="12" operator="greaterThan">
      <formula>0</formula>
    </cfRule>
  </conditionalFormatting>
  <conditionalFormatting sqref="W57:W58">
    <cfRule type="cellIs" dxfId="18" priority="9" operator="lessThan">
      <formula>0</formula>
    </cfRule>
    <cfRule type="cellIs" dxfId="17" priority="10" operator="greaterThan">
      <formula>0</formula>
    </cfRule>
  </conditionalFormatting>
  <conditionalFormatting sqref="W45">
    <cfRule type="cellIs" dxfId="16" priority="7" operator="lessThan">
      <formula>0</formula>
    </cfRule>
    <cfRule type="cellIs" dxfId="15" priority="8" operator="greaterThan">
      <formula>0</formula>
    </cfRule>
  </conditionalFormatting>
  <conditionalFormatting sqref="W52">
    <cfRule type="cellIs" dxfId="14" priority="5" operator="lessThan">
      <formula>0</formula>
    </cfRule>
    <cfRule type="cellIs" dxfId="13" priority="6" operator="greaterThan">
      <formula>0</formula>
    </cfRule>
  </conditionalFormatting>
  <conditionalFormatting sqref="W56">
    <cfRule type="cellIs" dxfId="12" priority="3" operator="lessThan">
      <formula>0</formula>
    </cfRule>
    <cfRule type="cellIs" dxfId="11" priority="4" operator="greaterThan">
      <formula>0</formula>
    </cfRule>
  </conditionalFormatting>
  <conditionalFormatting sqref="W59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  <pageSetup paperSize="9" orientation="portrait" r:id="rId1"/>
  <headerFooter>
    <oddHeader>&amp;L&amp;"Calibri"&amp;12&amp;K8E6A00Confidential&amp;1#</oddHeader>
  </headerFooter>
  <ignoredErrors>
    <ignoredError sqref="G36:G60 K36:K60 O36:O60 W36:W60 S36:S6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1F61-440A-47FE-A6E2-988196F01141}">
  <sheetPr>
    <tabColor theme="9" tint="-0.249977111117893"/>
  </sheetPr>
  <dimension ref="A1:Y36"/>
  <sheetViews>
    <sheetView tabSelected="1" zoomScale="80" zoomScaleNormal="8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N26" sqref="N26"/>
    </sheetView>
  </sheetViews>
  <sheetFormatPr defaultRowHeight="14.4" x14ac:dyDescent="0.3"/>
  <cols>
    <col min="1" max="1" width="13.6640625" bestFit="1" customWidth="1"/>
    <col min="2" max="2" width="14.5546875" bestFit="1" customWidth="1"/>
    <col min="3" max="3" width="29" bestFit="1" customWidth="1"/>
    <col min="4" max="4" width="16.44140625" bestFit="1" customWidth="1"/>
    <col min="5" max="5" width="9.21875" bestFit="1" customWidth="1"/>
    <col min="6" max="6" width="10.21875" bestFit="1" customWidth="1"/>
    <col min="7" max="7" width="16.44140625" bestFit="1" customWidth="1"/>
    <col min="8" max="8" width="21" bestFit="1" customWidth="1"/>
    <col min="9" max="9" width="18.21875" bestFit="1" customWidth="1"/>
    <col min="10" max="10" width="16.44140625" bestFit="1" customWidth="1"/>
    <col min="11" max="11" width="9.33203125" bestFit="1" customWidth="1"/>
    <col min="12" max="13" width="15.44140625" bestFit="1" customWidth="1"/>
    <col min="14" max="14" width="16.5546875" bestFit="1" customWidth="1"/>
    <col min="15" max="15" width="16.44140625" bestFit="1" customWidth="1"/>
    <col min="16" max="16" width="12.109375" bestFit="1" customWidth="1"/>
    <col min="17" max="17" width="16.44140625" bestFit="1" customWidth="1"/>
    <col min="18" max="18" width="15.44140625" bestFit="1" customWidth="1"/>
    <col min="19" max="19" width="12.109375" bestFit="1" customWidth="1"/>
    <col min="20" max="20" width="16" bestFit="1" customWidth="1"/>
    <col min="21" max="21" width="11.77734375" bestFit="1" customWidth="1"/>
    <col min="22" max="22" width="12.109375" bestFit="1" customWidth="1"/>
    <col min="23" max="23" width="14.5546875" bestFit="1" customWidth="1"/>
    <col min="24" max="24" width="7.88671875" bestFit="1" customWidth="1"/>
    <col min="27" max="27" width="27" bestFit="1" customWidth="1"/>
  </cols>
  <sheetData>
    <row r="1" spans="1:24" x14ac:dyDescent="0.3">
      <c r="A1" s="38" t="s">
        <v>132</v>
      </c>
      <c r="B1" s="251" t="s">
        <v>63</v>
      </c>
      <c r="C1" s="251"/>
      <c r="D1" s="27"/>
      <c r="E1" s="27"/>
      <c r="F1" s="27"/>
      <c r="G1" s="27"/>
      <c r="L1" s="258" t="s">
        <v>81</v>
      </c>
      <c r="M1" s="258"/>
      <c r="N1" s="258"/>
      <c r="O1" s="258"/>
      <c r="P1" s="258"/>
      <c r="Q1" s="258"/>
    </row>
    <row r="2" spans="1:24" s="36" customFormat="1" ht="28.8" x14ac:dyDescent="0.3">
      <c r="B2" s="24" t="s">
        <v>54</v>
      </c>
      <c r="C2" s="24" t="s">
        <v>91</v>
      </c>
      <c r="D2" s="24" t="s">
        <v>70</v>
      </c>
      <c r="E2" s="24" t="s">
        <v>74</v>
      </c>
      <c r="F2" s="24" t="s">
        <v>75</v>
      </c>
      <c r="G2" s="24" t="s">
        <v>55</v>
      </c>
      <c r="H2" s="24" t="s">
        <v>56</v>
      </c>
      <c r="I2" s="61" t="s">
        <v>64</v>
      </c>
      <c r="J2" s="61" t="s">
        <v>65</v>
      </c>
      <c r="K2" s="61" t="s">
        <v>80</v>
      </c>
      <c r="L2" s="43" t="s">
        <v>59</v>
      </c>
      <c r="M2" s="43" t="s">
        <v>82</v>
      </c>
      <c r="N2" s="43" t="s">
        <v>60</v>
      </c>
      <c r="O2" s="43" t="s">
        <v>61</v>
      </c>
      <c r="P2" s="43" t="s">
        <v>77</v>
      </c>
      <c r="Q2" s="43" t="s">
        <v>62</v>
      </c>
    </row>
    <row r="3" spans="1:24" x14ac:dyDescent="0.3">
      <c r="B3" s="1" t="s">
        <v>69</v>
      </c>
      <c r="C3" s="49">
        <v>1</v>
      </c>
      <c r="D3" s="28">
        <f>D21</f>
        <v>4152321.04</v>
      </c>
      <c r="E3" s="39">
        <v>0.8</v>
      </c>
      <c r="F3" s="39">
        <v>1.2</v>
      </c>
      <c r="G3" s="28">
        <f>IF(C3=0,D3,D3*E3)</f>
        <v>3321856.8320000004</v>
      </c>
      <c r="H3" s="28">
        <f>IF(C3=0,D3,(D3*F3))+1</f>
        <v>4982786.2479999997</v>
      </c>
      <c r="I3" s="28">
        <f>O21</f>
        <v>4982783.248000998</v>
      </c>
      <c r="J3" s="28">
        <f>Q21</f>
        <v>2486896.6294166762</v>
      </c>
      <c r="K3" s="41">
        <f>P21</f>
        <v>767.36336850599116</v>
      </c>
      <c r="L3" s="42">
        <f t="shared" ref="L3:Q3" si="0">R21</f>
        <v>830462.20800099766</v>
      </c>
      <c r="M3" s="41">
        <f t="shared" si="0"/>
        <v>152.56273073655223</v>
      </c>
      <c r="N3" s="42">
        <f t="shared" si="0"/>
        <v>494430.35257471167</v>
      </c>
      <c r="O3" s="39">
        <f t="shared" si="0"/>
        <v>0.19999951834191454</v>
      </c>
      <c r="P3" s="39">
        <f t="shared" si="0"/>
        <v>0.24814992269699943</v>
      </c>
      <c r="Q3" s="39">
        <f t="shared" si="0"/>
        <v>0.24814992269699934</v>
      </c>
    </row>
    <row r="4" spans="1:24" x14ac:dyDescent="0.3">
      <c r="B4" s="1" t="s">
        <v>92</v>
      </c>
      <c r="C4" s="49">
        <v>1</v>
      </c>
      <c r="D4" s="28">
        <f>D28</f>
        <v>4520030.54</v>
      </c>
      <c r="E4" s="39">
        <v>0.8</v>
      </c>
      <c r="F4" s="39">
        <v>1.2</v>
      </c>
      <c r="G4" s="28">
        <f>IF(C4=0,D4,D4*E4)</f>
        <v>3616024.432</v>
      </c>
      <c r="H4" s="28">
        <f>IF(C4=0,D4,(D4*F4))+1</f>
        <v>5424037.648</v>
      </c>
      <c r="I4" s="28">
        <f>O28</f>
        <v>5424037.648</v>
      </c>
      <c r="J4" s="28">
        <f>Q28</f>
        <v>8699598.5012363978</v>
      </c>
      <c r="K4" s="41">
        <f>P28</f>
        <v>2684.3710074609298</v>
      </c>
      <c r="L4" s="42">
        <f t="shared" ref="L4:Q4" si="1">R28</f>
        <v>904007.10799999989</v>
      </c>
      <c r="M4" s="41">
        <f t="shared" si="1"/>
        <v>460.93458847445777</v>
      </c>
      <c r="N4" s="42">
        <f t="shared" si="1"/>
        <v>1493812.0863007323</v>
      </c>
      <c r="O4" s="39">
        <f t="shared" si="1"/>
        <v>0.20000022123744321</v>
      </c>
      <c r="P4" s="39">
        <f t="shared" si="1"/>
        <v>0.20730729448273116</v>
      </c>
      <c r="Q4" s="39">
        <f t="shared" si="1"/>
        <v>0.20730729448273127</v>
      </c>
    </row>
    <row r="5" spans="1:24" x14ac:dyDescent="0.3">
      <c r="B5" s="1" t="s">
        <v>66</v>
      </c>
      <c r="C5" s="49">
        <v>1</v>
      </c>
      <c r="D5" s="28">
        <f>D32</f>
        <v>3814189.19</v>
      </c>
      <c r="E5" s="39">
        <v>0.8</v>
      </c>
      <c r="F5" s="39">
        <v>1.2</v>
      </c>
      <c r="G5" s="28">
        <f>IF(C5=0,D5,D5*E5)</f>
        <v>3051351.352</v>
      </c>
      <c r="H5" s="28">
        <f>IF(C5=0,D5,(D5*F5))+1</f>
        <v>4577028.0279999999</v>
      </c>
      <c r="I5" s="28">
        <f>O32</f>
        <v>4577028.027999999</v>
      </c>
      <c r="J5" s="28">
        <f>Q32</f>
        <v>5791104.4755810434</v>
      </c>
      <c r="K5" s="41">
        <f>P32</f>
        <v>1786.9184368931096</v>
      </c>
      <c r="L5" s="42">
        <f t="shared" ref="L5:Q6" si="2">R32</f>
        <v>762838.83799999906</v>
      </c>
      <c r="M5" s="41">
        <f t="shared" si="2"/>
        <v>243.40391479061989</v>
      </c>
      <c r="N5" s="42">
        <f t="shared" si="2"/>
        <v>788831.47166398866</v>
      </c>
      <c r="O5" s="39">
        <f t="shared" si="2"/>
        <v>0.20000026217891909</v>
      </c>
      <c r="P5" s="39">
        <f t="shared" si="2"/>
        <v>0.15769460624126072</v>
      </c>
      <c r="Q5" s="39">
        <f t="shared" si="2"/>
        <v>0.15769460624126075</v>
      </c>
    </row>
    <row r="6" spans="1:24" x14ac:dyDescent="0.3">
      <c r="B6" s="1" t="s">
        <v>118</v>
      </c>
      <c r="C6" s="90">
        <v>1</v>
      </c>
      <c r="D6" s="28">
        <f>D35</f>
        <v>1488218.4200000002</v>
      </c>
      <c r="E6" s="39">
        <v>0.8</v>
      </c>
      <c r="F6" s="39">
        <v>1.2</v>
      </c>
      <c r="G6" s="28">
        <f>IF(C6=0,D6,D6*E6)</f>
        <v>1190574.7360000003</v>
      </c>
      <c r="H6" s="28">
        <f>IF(C6=0,D6,(D6*F6))+1</f>
        <v>1785863.1040000001</v>
      </c>
      <c r="I6" s="28">
        <f>O35</f>
        <v>1785863.1040000001</v>
      </c>
      <c r="J6" s="28">
        <f>Q35</f>
        <v>12928176.929090051</v>
      </c>
      <c r="K6" s="41">
        <f>P33</f>
        <v>3072.8815675670621</v>
      </c>
      <c r="L6" s="42">
        <f t="shared" si="2"/>
        <v>247122.66399999987</v>
      </c>
      <c r="M6" s="41">
        <f t="shared" ref="M6" si="3">S33</f>
        <v>338.5295675670618</v>
      </c>
      <c r="N6" s="42">
        <f t="shared" ref="N6" si="4">T33</f>
        <v>1097117.8389444295</v>
      </c>
      <c r="O6" s="39">
        <f t="shared" ref="O6" si="5">U33</f>
        <v>0.18145255744130029</v>
      </c>
      <c r="P6" s="39">
        <f t="shared" ref="P6" si="6">V33</f>
        <v>0.12380614038246054</v>
      </c>
      <c r="Q6" s="39">
        <f t="shared" ref="Q6" si="7">W33</f>
        <v>0.12380614038246053</v>
      </c>
    </row>
    <row r="7" spans="1:24" x14ac:dyDescent="0.3">
      <c r="B7" s="105" t="s">
        <v>13</v>
      </c>
      <c r="C7" s="105"/>
      <c r="D7" s="106">
        <f>SUM(D3:D6)</f>
        <v>13974759.189999999</v>
      </c>
      <c r="E7" s="107">
        <v>1.2</v>
      </c>
      <c r="F7" s="107">
        <v>1.2</v>
      </c>
      <c r="G7" s="106">
        <f>D7*E7</f>
        <v>16769711.027999999</v>
      </c>
      <c r="H7" s="106">
        <f>D7*F7+1</f>
        <v>16769712.027999999</v>
      </c>
      <c r="I7" s="106">
        <f>SUM(I3:I6)</f>
        <v>16769712.028000997</v>
      </c>
      <c r="J7" s="106">
        <f>SUM(J3:J6)</f>
        <v>29905776.535324171</v>
      </c>
      <c r="K7" s="108">
        <f t="shared" ref="K7:N7" si="8">SUM(K3:K6)</f>
        <v>8311.5343804270924</v>
      </c>
      <c r="L7" s="106">
        <f t="shared" si="8"/>
        <v>2744430.8180009965</v>
      </c>
      <c r="M7" s="108">
        <f t="shared" si="8"/>
        <v>1195.4308015686915</v>
      </c>
      <c r="N7" s="106">
        <f t="shared" si="8"/>
        <v>3874191.749483862</v>
      </c>
      <c r="O7" s="107">
        <f>L7/D7</f>
        <v>0.19638483788435115</v>
      </c>
      <c r="P7" s="107">
        <f>V36</f>
        <v>0.17700150352201577</v>
      </c>
      <c r="Q7" s="107">
        <f>W36</f>
        <v>0.1770015035220158</v>
      </c>
    </row>
    <row r="8" spans="1:24" x14ac:dyDescent="0.3">
      <c r="A8">
        <v>1</v>
      </c>
      <c r="B8" s="35"/>
      <c r="C8" s="35"/>
      <c r="E8" s="21"/>
      <c r="F8" s="21"/>
      <c r="G8" s="21"/>
    </row>
    <row r="9" spans="1:24" x14ac:dyDescent="0.3">
      <c r="D9" s="68"/>
      <c r="G9" s="25" t="s">
        <v>121</v>
      </c>
      <c r="H9" s="112">
        <f>'[1] Summary'!$D$70</f>
        <v>3240.8331326246521</v>
      </c>
    </row>
    <row r="10" spans="1:24" ht="29.1" customHeight="1" x14ac:dyDescent="0.3">
      <c r="B10" s="250" t="s">
        <v>19</v>
      </c>
      <c r="C10" s="250" t="s">
        <v>46</v>
      </c>
      <c r="D10" s="252" t="s">
        <v>162</v>
      </c>
      <c r="E10" s="252"/>
      <c r="F10" s="252"/>
      <c r="G10" s="252"/>
      <c r="H10" s="252"/>
      <c r="I10" s="253" t="s">
        <v>71</v>
      </c>
      <c r="J10" s="253" t="s">
        <v>58</v>
      </c>
      <c r="K10" s="255" t="s">
        <v>48</v>
      </c>
      <c r="L10" s="256"/>
      <c r="M10" s="256"/>
      <c r="N10" s="257"/>
      <c r="O10" s="254" t="s">
        <v>51</v>
      </c>
      <c r="P10" s="254"/>
      <c r="Q10" s="254"/>
      <c r="R10" s="250" t="s">
        <v>53</v>
      </c>
      <c r="S10" s="250"/>
      <c r="T10" s="250"/>
      <c r="U10" s="250"/>
      <c r="V10" s="250"/>
      <c r="W10" s="250"/>
      <c r="X10" s="250" t="s">
        <v>5</v>
      </c>
    </row>
    <row r="11" spans="1:24" ht="28.8" x14ac:dyDescent="0.3">
      <c r="B11" s="250"/>
      <c r="C11" s="250"/>
      <c r="D11" s="30" t="s">
        <v>47</v>
      </c>
      <c r="E11" s="30" t="s">
        <v>68</v>
      </c>
      <c r="F11" s="30" t="s">
        <v>122</v>
      </c>
      <c r="G11" s="40" t="s">
        <v>73</v>
      </c>
      <c r="H11" s="40" t="s">
        <v>78</v>
      </c>
      <c r="I11" s="253"/>
      <c r="J11" s="253"/>
      <c r="K11" s="30" t="s">
        <v>74</v>
      </c>
      <c r="L11" s="30" t="s">
        <v>75</v>
      </c>
      <c r="M11" s="29" t="s">
        <v>49</v>
      </c>
      <c r="N11" s="29" t="s">
        <v>50</v>
      </c>
      <c r="O11" s="31" t="s">
        <v>30</v>
      </c>
      <c r="P11" s="31" t="s">
        <v>73</v>
      </c>
      <c r="Q11" s="23" t="s">
        <v>52</v>
      </c>
      <c r="R11" s="58" t="s">
        <v>59</v>
      </c>
      <c r="S11" s="34" t="s">
        <v>76</v>
      </c>
      <c r="T11" s="29" t="s">
        <v>60</v>
      </c>
      <c r="U11" s="58" t="s">
        <v>61</v>
      </c>
      <c r="V11" s="34" t="s">
        <v>77</v>
      </c>
      <c r="W11" s="29" t="s">
        <v>62</v>
      </c>
      <c r="X11" s="250"/>
    </row>
    <row r="12" spans="1:24" x14ac:dyDescent="0.3">
      <c r="B12" s="98" t="s">
        <v>69</v>
      </c>
      <c r="C12" s="37" t="s">
        <v>177</v>
      </c>
      <c r="D12" s="26">
        <f>IFERROR(VLOOKUP(Optimize!C12,Data!$B$4:$I$30,2,0),0)</f>
        <v>347232.01</v>
      </c>
      <c r="E12" s="10">
        <v>0.7</v>
      </c>
      <c r="F12" s="57">
        <f>H12/D12</f>
        <v>1.402510408169318</v>
      </c>
      <c r="G12" s="101">
        <f>IFERROR(VLOOKUP(Optimize!C12,Data!$B$4:$I$30,6,0),0)</f>
        <v>150.2689241146301</v>
      </c>
      <c r="H12" s="26">
        <f>G12*$H$9</f>
        <v>486996.50807455275</v>
      </c>
      <c r="I12" s="33">
        <v>1</v>
      </c>
      <c r="J12" s="33">
        <f>IFERROR(H12/(POWER(D12,E12)),0)</f>
        <v>64.4305767836115</v>
      </c>
      <c r="K12" s="109">
        <v>0.6</v>
      </c>
      <c r="L12" s="109">
        <v>1.4</v>
      </c>
      <c r="M12" s="26">
        <f>IF($C$3=0,D12,D12*K12)</f>
        <v>208339.20600000001</v>
      </c>
      <c r="N12" s="26">
        <f>IF($C$3=0,D12+1,D12*L12)</f>
        <v>486124.81399999995</v>
      </c>
      <c r="O12" s="53">
        <v>486124.81399999995</v>
      </c>
      <c r="P12" s="54">
        <f>Q12/$H$9</f>
        <v>190.17735458680437</v>
      </c>
      <c r="Q12" s="53">
        <f>J12*O12^E12*I12</f>
        <v>616333.07181982242</v>
      </c>
      <c r="R12" s="60">
        <f>O12-D12</f>
        <v>138892.80399999995</v>
      </c>
      <c r="S12" s="55">
        <f>P12-G12</f>
        <v>39.908430472174274</v>
      </c>
      <c r="T12" s="53">
        <f>Q12-H12</f>
        <v>129336.56374526967</v>
      </c>
      <c r="U12" s="59">
        <f>R12/D12</f>
        <v>0.39999999999999986</v>
      </c>
      <c r="V12" s="56">
        <f>S12/G12</f>
        <v>0.2655800639241338</v>
      </c>
      <c r="W12" s="56">
        <f>T12/H12</f>
        <v>0.2655800639241338</v>
      </c>
      <c r="X12" s="135"/>
    </row>
    <row r="13" spans="1:24" x14ac:dyDescent="0.3">
      <c r="B13" s="98" t="s">
        <v>69</v>
      </c>
      <c r="C13" s="37" t="s">
        <v>168</v>
      </c>
      <c r="D13" s="26">
        <f>IFERROR(VLOOKUP(Optimize!C13,Data!$B$4:$I$30,2,0),0)</f>
        <v>58414.229999999996</v>
      </c>
      <c r="E13" s="10">
        <v>0.7</v>
      </c>
      <c r="F13" s="57">
        <f>H13/D13</f>
        <v>0.94761311162795991</v>
      </c>
      <c r="G13" s="101">
        <f>IFERROR(VLOOKUP(Optimize!C13,Data!$B$4:$I$30,6,0),0)</f>
        <v>17.080203758846952</v>
      </c>
      <c r="H13" s="26">
        <f>G13*$H$9</f>
        <v>55354.090253651324</v>
      </c>
      <c r="I13" s="33">
        <v>1</v>
      </c>
      <c r="J13" s="33">
        <f t="shared" ref="J13:J19" si="9">IFERROR(H13/(POWER(D13,E13)),0)</f>
        <v>25.502729124599519</v>
      </c>
      <c r="K13" s="109">
        <v>0.6</v>
      </c>
      <c r="L13" s="109">
        <v>1.4</v>
      </c>
      <c r="M13" s="26">
        <f>IF($C$3=0,D13,D13*K13)</f>
        <v>35048.537999999993</v>
      </c>
      <c r="N13" s="26">
        <f>IF($C$3=0,D13+1,D13*L13)</f>
        <v>81779.921999999991</v>
      </c>
      <c r="O13" s="53">
        <v>81779.922000999984</v>
      </c>
      <c r="P13" s="54">
        <f>Q13/$H$9</f>
        <v>21.616365365143757</v>
      </c>
      <c r="Q13" s="53">
        <f>J13*O13^E13*I13</f>
        <v>70055.033082277878</v>
      </c>
      <c r="R13" s="60">
        <f>O13-D13</f>
        <v>23365.692000999989</v>
      </c>
      <c r="S13" s="55">
        <f>P13-G13</f>
        <v>4.5361616062968046</v>
      </c>
      <c r="T13" s="53">
        <f>Q13-H13</f>
        <v>14700.942828626554</v>
      </c>
      <c r="U13" s="59">
        <f>R13/D13</f>
        <v>0.40000000001711894</v>
      </c>
      <c r="V13" s="56">
        <f>S13/G13</f>
        <v>0.26558006393496508</v>
      </c>
      <c r="W13" s="56">
        <f>T13/H13</f>
        <v>0.26558006393496519</v>
      </c>
      <c r="X13" s="69"/>
    </row>
    <row r="14" spans="1:24" ht="13.2" customHeight="1" x14ac:dyDescent="0.3">
      <c r="B14" s="98" t="s">
        <v>69</v>
      </c>
      <c r="C14" s="37" t="s">
        <v>169</v>
      </c>
      <c r="D14" s="26">
        <f>IFERROR(VLOOKUP(Optimize!C14,Data!$B$4:$I$30,2,0),0)</f>
        <v>32000</v>
      </c>
      <c r="E14" s="10">
        <v>0.7</v>
      </c>
      <c r="F14" s="57">
        <f t="shared" ref="F14:F32" si="10">H14/D14</f>
        <v>0.95</v>
      </c>
      <c r="G14" s="101">
        <f>IFERROR(VLOOKUP(Optimize!C14,Data!$B$4:$I$30,6,0),0)</f>
        <v>9.380304000835725</v>
      </c>
      <c r="H14" s="26">
        <f t="shared" ref="H14:H34" si="11">G14*$H$9</f>
        <v>30400</v>
      </c>
      <c r="I14" s="33">
        <v>1</v>
      </c>
      <c r="J14" s="33">
        <f t="shared" si="9"/>
        <v>21.343645487936211</v>
      </c>
      <c r="K14" s="109">
        <v>0.6</v>
      </c>
      <c r="L14" s="109">
        <v>1.4</v>
      </c>
      <c r="M14" s="26">
        <f t="shared" ref="M14:M19" si="12">IF($C$3=0,D14,D14*K14)</f>
        <v>19200</v>
      </c>
      <c r="N14" s="26">
        <f t="shared" ref="N14:N19" si="13">IF($C$3=0,D14+1,D14*L14)</f>
        <v>44800</v>
      </c>
      <c r="O14" s="53">
        <v>44800</v>
      </c>
      <c r="P14" s="54">
        <f t="shared" ref="P14:P17" si="14">Q14/$H$9</f>
        <v>11.871525737005465</v>
      </c>
      <c r="Q14" s="53">
        <f>J14*O14^E14*I14</f>
        <v>38473.6339432936</v>
      </c>
      <c r="R14" s="60">
        <f t="shared" ref="R14:R17" si="15">O14-D14</f>
        <v>12800</v>
      </c>
      <c r="S14" s="55">
        <f t="shared" ref="S14:S17" si="16">P14-G14</f>
        <v>2.4912217361697397</v>
      </c>
      <c r="T14" s="53">
        <f t="shared" ref="T14:T17" si="17">Q14-H14</f>
        <v>8073.6339432936002</v>
      </c>
      <c r="U14" s="59">
        <f t="shared" ref="U14:U21" si="18">R14/D14</f>
        <v>0.4</v>
      </c>
      <c r="V14" s="56">
        <f t="shared" ref="V14:V21" si="19">S14/G14</f>
        <v>0.26558006392413164</v>
      </c>
      <c r="W14" s="56">
        <f t="shared" ref="W14:W21" si="20">T14/H14</f>
        <v>0.26558006392413158</v>
      </c>
      <c r="X14" s="69"/>
    </row>
    <row r="15" spans="1:24" ht="15" customHeight="1" x14ac:dyDescent="0.3">
      <c r="B15" s="98" t="s">
        <v>69</v>
      </c>
      <c r="C15" s="37" t="s">
        <v>170</v>
      </c>
      <c r="D15" s="26">
        <f>IFERROR(VLOOKUP(Optimize!C15,Data!$B$4:$I$30,2,0),0)</f>
        <v>165000</v>
      </c>
      <c r="E15" s="10">
        <v>0.7</v>
      </c>
      <c r="F15" s="57">
        <f t="shared" ref="F15:F16" si="21">H15/D15</f>
        <v>9.6345210256617658E-2</v>
      </c>
      <c r="G15" s="101">
        <f>IFERROR(VLOOKUP(Optimize!C15,Data!$B$4:$I$30,6,0),0)</f>
        <v>4.9052077172104971</v>
      </c>
      <c r="H15" s="26">
        <f t="shared" ref="H15:H16" si="22">G15*$H$9</f>
        <v>15896.959692341914</v>
      </c>
      <c r="I15" s="33">
        <v>1</v>
      </c>
      <c r="J15" s="33">
        <f t="shared" ref="J15:J16" si="23">IFERROR(H15/(POWER(D15,E15)),0)</f>
        <v>3.5405873398265331</v>
      </c>
      <c r="K15" s="109">
        <v>0.6</v>
      </c>
      <c r="L15" s="109">
        <v>1.4</v>
      </c>
      <c r="M15" s="26">
        <f t="shared" ref="M15:M16" si="24">IF($C$3=0,D15,D15*K15)</f>
        <v>99000</v>
      </c>
      <c r="N15" s="26">
        <f t="shared" ref="N15:N16" si="25">IF($C$3=0,D15+1,D15*L15)</f>
        <v>230999.99999999997</v>
      </c>
      <c r="O15" s="53">
        <v>230999.99999999997</v>
      </c>
      <c r="P15" s="54">
        <f t="shared" ref="P15:P16" si="26">Q15/$H$9</f>
        <v>6.2079330963084045</v>
      </c>
      <c r="Q15" s="53">
        <f t="shared" ref="Q15:Q16" si="27">J15*O15^E15*I15</f>
        <v>20118.875263633421</v>
      </c>
      <c r="R15" s="60">
        <f t="shared" ref="R15:R16" si="28">O15-D15</f>
        <v>65999.999999999971</v>
      </c>
      <c r="S15" s="55">
        <f t="shared" ref="S15:S16" si="29">P15-G15</f>
        <v>1.3027253790979074</v>
      </c>
      <c r="T15" s="53">
        <f t="shared" ref="T15:T16" si="30">Q15-H15</f>
        <v>4221.9155712915071</v>
      </c>
      <c r="U15" s="59">
        <f t="shared" ref="U15:U16" si="31">R15/D15</f>
        <v>0.3999999999999998</v>
      </c>
      <c r="V15" s="56">
        <f t="shared" ref="V15:V16" si="32">S15/G15</f>
        <v>0.26558006392413158</v>
      </c>
      <c r="W15" s="56">
        <f t="shared" ref="W15:W16" si="33">T15/H15</f>
        <v>0.26558006392413147</v>
      </c>
      <c r="X15" s="69"/>
    </row>
    <row r="16" spans="1:24" s="211" customFormat="1" ht="13.2" customHeight="1" x14ac:dyDescent="0.3">
      <c r="B16" s="212" t="s">
        <v>69</v>
      </c>
      <c r="C16" s="213" t="s">
        <v>22</v>
      </c>
      <c r="D16" s="214">
        <f>IFERROR(VLOOKUP(Optimize!C16,Data!$B$4:$I$30,2,0),0)</f>
        <v>194726</v>
      </c>
      <c r="E16" s="215">
        <v>0.7</v>
      </c>
      <c r="F16" s="216">
        <f t="shared" si="21"/>
        <v>0.79190865601879967</v>
      </c>
      <c r="G16" s="217">
        <f>IFERROR(VLOOKUP(Optimize!C16,Data!$B$4:$I$30,6,0),0)</f>
        <v>47.581963847373622</v>
      </c>
      <c r="H16" s="214">
        <f t="shared" si="22"/>
        <v>154205.20495191679</v>
      </c>
      <c r="I16" s="218">
        <v>1</v>
      </c>
      <c r="J16" s="218">
        <f t="shared" si="23"/>
        <v>30.584562531911086</v>
      </c>
      <c r="K16" s="219">
        <v>0.6</v>
      </c>
      <c r="L16" s="219">
        <v>1.4</v>
      </c>
      <c r="M16" s="214">
        <f t="shared" si="24"/>
        <v>116835.59999999999</v>
      </c>
      <c r="N16" s="214">
        <f t="shared" si="25"/>
        <v>272616.39999999997</v>
      </c>
      <c r="O16" s="220">
        <v>272616.39999999997</v>
      </c>
      <c r="P16" s="221">
        <f t="shared" si="26"/>
        <v>60.218784847594833</v>
      </c>
      <c r="Q16" s="220">
        <f t="shared" si="27"/>
        <v>195159.03314048069</v>
      </c>
      <c r="R16" s="220">
        <f t="shared" si="28"/>
        <v>77890.399999999965</v>
      </c>
      <c r="S16" s="222">
        <f t="shared" si="29"/>
        <v>12.636821000221211</v>
      </c>
      <c r="T16" s="220">
        <f t="shared" si="30"/>
        <v>40953.828188563901</v>
      </c>
      <c r="U16" s="223">
        <f t="shared" si="31"/>
        <v>0.3999999999999998</v>
      </c>
      <c r="V16" s="223">
        <f t="shared" si="32"/>
        <v>0.26558006392413169</v>
      </c>
      <c r="W16" s="223">
        <f t="shared" si="33"/>
        <v>0.26558006392413175</v>
      </c>
      <c r="X16" s="224"/>
    </row>
    <row r="17" spans="1:25" x14ac:dyDescent="0.3">
      <c r="B17" s="98" t="s">
        <v>69</v>
      </c>
      <c r="C17" s="37" t="s">
        <v>79</v>
      </c>
      <c r="D17" s="26">
        <f>IFERROR(VLOOKUP(Optimize!C17,Data!$B$4:$I$30,2,0),0)</f>
        <v>825855.69</v>
      </c>
      <c r="E17" s="10">
        <v>0.7</v>
      </c>
      <c r="F17" s="57">
        <f t="shared" si="10"/>
        <v>0.95076168092958979</v>
      </c>
      <c r="G17" s="101">
        <f>IFERROR(VLOOKUP(Optimize!C17,Data!$B$4:$I$30,6,0),0)</f>
        <v>242.28089256596903</v>
      </c>
      <c r="H17" s="26">
        <f t="shared" si="11"/>
        <v>785191.94402966613</v>
      </c>
      <c r="I17" s="33">
        <v>1</v>
      </c>
      <c r="J17" s="33">
        <f t="shared" si="9"/>
        <v>56.642566004191238</v>
      </c>
      <c r="K17" s="109">
        <v>0.6</v>
      </c>
      <c r="L17" s="109">
        <v>1.4</v>
      </c>
      <c r="M17" s="26">
        <f t="shared" si="12"/>
        <v>495513.41399999993</v>
      </c>
      <c r="N17" s="26">
        <f t="shared" si="13"/>
        <v>1156197.9659999998</v>
      </c>
      <c r="O17" s="53">
        <v>1156197.9659999998</v>
      </c>
      <c r="P17" s="54">
        <f t="shared" si="14"/>
        <v>306.62586750123529</v>
      </c>
      <c r="Q17" s="53">
        <f>J17*O17^E17*I17</f>
        <v>993723.27071777987</v>
      </c>
      <c r="R17" s="60">
        <f t="shared" si="15"/>
        <v>330342.27599999984</v>
      </c>
      <c r="S17" s="55">
        <f t="shared" si="16"/>
        <v>64.344974935266265</v>
      </c>
      <c r="T17" s="53">
        <f t="shared" si="17"/>
        <v>208531.32668811374</v>
      </c>
      <c r="U17" s="59">
        <f t="shared" si="18"/>
        <v>0.39999999999999986</v>
      </c>
      <c r="V17" s="56">
        <f t="shared" si="19"/>
        <v>0.26558006392413386</v>
      </c>
      <c r="W17" s="56">
        <f t="shared" si="20"/>
        <v>0.26558006392413397</v>
      </c>
      <c r="X17" s="69"/>
    </row>
    <row r="18" spans="1:25" x14ac:dyDescent="0.3">
      <c r="B18" s="98" t="s">
        <v>69</v>
      </c>
      <c r="C18" s="37" t="s">
        <v>171</v>
      </c>
      <c r="D18" s="26">
        <f>IFERROR(VLOOKUP(Optimize!C18,Data!$B$4:$I$30,2,0),0)</f>
        <v>45000</v>
      </c>
      <c r="E18" s="10">
        <v>0.7</v>
      </c>
      <c r="F18" s="57">
        <f t="shared" si="10"/>
        <v>0.94761311162796003</v>
      </c>
      <c r="G18" s="101">
        <f>IFERROR(VLOOKUP(Optimize!C18,Data!$B$4:$I$30,6,0),0)</f>
        <v>13.157909796091001</v>
      </c>
      <c r="H18" s="26">
        <f t="shared" si="11"/>
        <v>42642.590023258199</v>
      </c>
      <c r="I18" s="33">
        <v>1</v>
      </c>
      <c r="J18" s="33">
        <f t="shared" si="9"/>
        <v>23.582769996646491</v>
      </c>
      <c r="K18" s="109">
        <v>0.6</v>
      </c>
      <c r="L18" s="109">
        <v>1.4</v>
      </c>
      <c r="M18" s="26">
        <f t="shared" si="12"/>
        <v>27000</v>
      </c>
      <c r="N18" s="26">
        <f t="shared" si="13"/>
        <v>62999.999999999993</v>
      </c>
      <c r="O18" s="53">
        <v>62999.999999999993</v>
      </c>
      <c r="P18" s="54">
        <f t="shared" ref="P18:P19" si="34">Q18/$H$9</f>
        <v>16.652388320844821</v>
      </c>
      <c r="Q18" s="53">
        <f t="shared" ref="Q18:Q19" si="35">J18*O18^E18*I18</f>
        <v>53967.611807525689</v>
      </c>
      <c r="R18" s="60">
        <f t="shared" ref="R18:R19" si="36">O18-D18</f>
        <v>17999.999999999993</v>
      </c>
      <c r="S18" s="55">
        <f t="shared" ref="S18:S21" si="37">P18-G18</f>
        <v>3.4944785247538199</v>
      </c>
      <c r="T18" s="53">
        <f t="shared" ref="T18:T19" si="38">Q18-H18</f>
        <v>11325.02178426749</v>
      </c>
      <c r="U18" s="59">
        <f t="shared" si="18"/>
        <v>0.39999999999999986</v>
      </c>
      <c r="V18" s="56">
        <f t="shared" si="19"/>
        <v>0.26558006392413269</v>
      </c>
      <c r="W18" s="56">
        <f t="shared" si="20"/>
        <v>0.26558006392413258</v>
      </c>
      <c r="X18" s="69"/>
    </row>
    <row r="19" spans="1:25" x14ac:dyDescent="0.3">
      <c r="B19" s="98" t="s">
        <v>69</v>
      </c>
      <c r="C19" s="37" t="s">
        <v>172</v>
      </c>
      <c r="D19" s="26">
        <f>IFERROR(VLOOKUP(Optimize!C19,Data!$B$4:$I$30,2,0),0)</f>
        <v>232825</v>
      </c>
      <c r="E19" s="10">
        <v>0.7</v>
      </c>
      <c r="F19" s="57">
        <f t="shared" si="10"/>
        <v>1.2</v>
      </c>
      <c r="G19" s="101">
        <f>IFERROR(VLOOKUP(Optimize!C19,Data!$B$4:$I$30,6,0),0)</f>
        <v>86.209313644522808</v>
      </c>
      <c r="H19" s="26">
        <f t="shared" si="11"/>
        <v>279390</v>
      </c>
      <c r="I19" s="33">
        <v>1</v>
      </c>
      <c r="J19" s="33">
        <f t="shared" si="9"/>
        <v>48.897891161094961</v>
      </c>
      <c r="K19" s="109">
        <v>0.6</v>
      </c>
      <c r="L19" s="109">
        <v>1.4</v>
      </c>
      <c r="M19" s="26">
        <f t="shared" si="12"/>
        <v>139695</v>
      </c>
      <c r="N19" s="26">
        <f t="shared" si="13"/>
        <v>325955</v>
      </c>
      <c r="O19" s="53">
        <v>325955</v>
      </c>
      <c r="P19" s="54">
        <f t="shared" si="34"/>
        <v>109.10478867309088</v>
      </c>
      <c r="Q19" s="53">
        <f t="shared" si="35"/>
        <v>353590.41405976377</v>
      </c>
      <c r="R19" s="60">
        <f t="shared" si="36"/>
        <v>93130</v>
      </c>
      <c r="S19" s="55">
        <f t="shared" si="37"/>
        <v>22.895475028568072</v>
      </c>
      <c r="T19" s="53">
        <f t="shared" si="38"/>
        <v>74200.414059763774</v>
      </c>
      <c r="U19" s="59">
        <f t="shared" si="18"/>
        <v>0.4</v>
      </c>
      <c r="V19" s="56">
        <f t="shared" si="19"/>
        <v>0.26558006392413386</v>
      </c>
      <c r="W19" s="56">
        <f t="shared" si="20"/>
        <v>0.26558006392413391</v>
      </c>
      <c r="X19" s="69"/>
    </row>
    <row r="20" spans="1:25" s="225" customFormat="1" ht="13.2" customHeight="1" x14ac:dyDescent="0.3">
      <c r="B20" s="226" t="s">
        <v>69</v>
      </c>
      <c r="C20" s="227" t="s">
        <v>161</v>
      </c>
      <c r="D20" s="228">
        <f>IFERROR(VLOOKUP(Optimize!C20,Data!$B$4:$I$34,2,0),0)</f>
        <v>2251268.11</v>
      </c>
      <c r="E20" s="229">
        <v>0.7</v>
      </c>
      <c r="F20" s="230">
        <f>H20/D20</f>
        <v>6.3248343981818181E-2</v>
      </c>
      <c r="G20" s="231">
        <f>IFERROR(VLOOKUP(Optimize!C20,Data!$B$4:$I$34,6,0),0)</f>
        <v>43.935918323959243</v>
      </c>
      <c r="H20" s="228">
        <f>G20*$H$9</f>
        <v>142388.97981657769</v>
      </c>
      <c r="I20" s="232">
        <v>1</v>
      </c>
      <c r="J20" s="232">
        <f>IFERROR(H20/(POWER(D20,E20)),0)</f>
        <v>5.0906978948445598</v>
      </c>
      <c r="K20" s="233">
        <v>0.6</v>
      </c>
      <c r="L20" s="233">
        <v>1.4</v>
      </c>
      <c r="M20" s="228">
        <f>IF($C$3=0,D20,D20*K20)</f>
        <v>1350760.8659999999</v>
      </c>
      <c r="N20" s="228">
        <f>IF($C$3=0,D20+1,D20*L20)</f>
        <v>3151775.3539999998</v>
      </c>
      <c r="O20" s="234">
        <v>2321309.1459999979</v>
      </c>
      <c r="P20" s="235">
        <f>Q20/$H$9</f>
        <v>44.888360377963309</v>
      </c>
      <c r="Q20" s="234">
        <f>J20*O20^E20*I20</f>
        <v>145475.68558209913</v>
      </c>
      <c r="R20" s="234">
        <f>O20-D20</f>
        <v>70041.035999997985</v>
      </c>
      <c r="S20" s="236">
        <f>P20-G20</f>
        <v>0.95244205400406656</v>
      </c>
      <c r="T20" s="234">
        <f>Q20-H20</f>
        <v>3086.7057655214448</v>
      </c>
      <c r="U20" s="237">
        <f>R20/D20</f>
        <v>3.111181457636247E-2</v>
      </c>
      <c r="V20" s="237">
        <f>S20/G20</f>
        <v>2.1677982168968993E-2</v>
      </c>
      <c r="W20" s="237">
        <f>T20/H20</f>
        <v>2.1677982168968907E-2</v>
      </c>
      <c r="X20" s="238"/>
    </row>
    <row r="21" spans="1:25" x14ac:dyDescent="0.3">
      <c r="A21" s="22"/>
      <c r="B21" s="99" t="s">
        <v>69</v>
      </c>
      <c r="C21" s="75" t="s">
        <v>188</v>
      </c>
      <c r="D21" s="76">
        <f>SUM(D12:D20)</f>
        <v>4152321.04</v>
      </c>
      <c r="E21" s="77"/>
      <c r="F21" s="57">
        <f t="shared" si="10"/>
        <v>0.47984398548383067</v>
      </c>
      <c r="G21" s="102">
        <f>SUM(G12:G20)</f>
        <v>614.80063776943894</v>
      </c>
      <c r="H21" s="76">
        <f>SUM(H12:H20)</f>
        <v>1992466.2768419648</v>
      </c>
      <c r="I21" s="76"/>
      <c r="J21" s="75"/>
      <c r="K21" s="111">
        <f>E3</f>
        <v>0.8</v>
      </c>
      <c r="L21" s="111">
        <f>F3</f>
        <v>1.2</v>
      </c>
      <c r="M21" s="76">
        <f t="shared" ref="M21:R21" si="39">SUM(M12:M20)</f>
        <v>2491392.6239999998</v>
      </c>
      <c r="N21" s="76">
        <f t="shared" si="39"/>
        <v>5813249.4560000002</v>
      </c>
      <c r="O21" s="76">
        <f t="shared" si="39"/>
        <v>4982783.248000998</v>
      </c>
      <c r="P21" s="76">
        <f t="shared" si="39"/>
        <v>767.36336850599116</v>
      </c>
      <c r="Q21" s="76">
        <f t="shared" si="39"/>
        <v>2486896.6294166762</v>
      </c>
      <c r="R21" s="76">
        <f t="shared" si="39"/>
        <v>830462.20800099766</v>
      </c>
      <c r="S21" s="76">
        <f t="shared" si="37"/>
        <v>152.56273073655223</v>
      </c>
      <c r="T21" s="76">
        <f>SUM(T12:T20)</f>
        <v>494430.35257471167</v>
      </c>
      <c r="U21" s="81">
        <f t="shared" si="18"/>
        <v>0.19999951834191454</v>
      </c>
      <c r="V21" s="81">
        <f t="shared" si="19"/>
        <v>0.24814992269699943</v>
      </c>
      <c r="W21" s="81">
        <f t="shared" si="20"/>
        <v>0.24814992269699934</v>
      </c>
      <c r="X21" s="75"/>
    </row>
    <row r="22" spans="1:25" x14ac:dyDescent="0.3">
      <c r="B22" s="98" t="s">
        <v>92</v>
      </c>
      <c r="C22" s="37" t="s">
        <v>57</v>
      </c>
      <c r="D22" s="26">
        <f>IFERROR(VLOOKUP(Optimize!C22,Data!$B$5:$I$30,2,0),0)</f>
        <v>1604598.54</v>
      </c>
      <c r="E22" s="10">
        <v>0.7</v>
      </c>
      <c r="F22" s="57">
        <f t="shared" si="10"/>
        <v>0.8437132536889197</v>
      </c>
      <c r="G22" s="101">
        <f>VLOOKUP(C22,Data!$B$16:$G$21,6,0)</f>
        <v>417.73858746978181</v>
      </c>
      <c r="H22" s="26">
        <f t="shared" si="11"/>
        <v>1353821.0550478902</v>
      </c>
      <c r="I22" s="33">
        <v>1</v>
      </c>
      <c r="J22" s="33">
        <f t="shared" ref="J22:J28" si="40">IFERROR(H22/(POWER(D22,E22)),0)</f>
        <v>61.348618759621679</v>
      </c>
      <c r="K22" s="109">
        <v>0.6</v>
      </c>
      <c r="L22" s="109">
        <v>1.4</v>
      </c>
      <c r="M22" s="26">
        <f>IF($C$4=0,D22,D22*K22)</f>
        <v>962759.12399999995</v>
      </c>
      <c r="N22" s="26">
        <f>IF($C$4=0,D22+1,D22*L22)</f>
        <v>2246437.9559999998</v>
      </c>
      <c r="O22" s="53">
        <v>1950415.7925500206</v>
      </c>
      <c r="P22" s="54">
        <f>Q22/$H$9</f>
        <v>478.89153712160879</v>
      </c>
      <c r="Q22" s="53">
        <f t="shared" ref="Q22:Q27" si="41">J22*O22^E22*I22</f>
        <v>1552007.5604372583</v>
      </c>
      <c r="R22" s="60">
        <f>O22-D22</f>
        <v>345817.25255002058</v>
      </c>
      <c r="S22" s="55">
        <f>P22-G22</f>
        <v>61.152949651826987</v>
      </c>
      <c r="T22" s="53">
        <f>Q22-H22</f>
        <v>198186.50538936816</v>
      </c>
      <c r="U22" s="59">
        <f>R22/D22</f>
        <v>0.21551636993887616</v>
      </c>
      <c r="V22" s="56">
        <f>S22/G22</f>
        <v>0.14639047357876805</v>
      </c>
      <c r="W22" s="56">
        <f>T22/H22</f>
        <v>0.14639047357876814</v>
      </c>
      <c r="X22" s="69"/>
      <c r="Y22" s="37"/>
    </row>
    <row r="23" spans="1:25" x14ac:dyDescent="0.3">
      <c r="B23" s="98" t="s">
        <v>92</v>
      </c>
      <c r="C23" s="37" t="s">
        <v>94</v>
      </c>
      <c r="D23" s="26">
        <f>IFERROR(VLOOKUP(Optimize!C23,Data!$B$5:$I$30,2,0),0)</f>
        <v>1116009</v>
      </c>
      <c r="E23" s="10">
        <v>0.7</v>
      </c>
      <c r="F23" s="57">
        <f t="shared" si="10"/>
        <v>3.2612427365625001</v>
      </c>
      <c r="G23" s="101">
        <f>VLOOKUP(C23,Data!$B$16:$G$21,6,0)</f>
        <v>1123.0372241476059</v>
      </c>
      <c r="H23" s="26">
        <f t="shared" si="11"/>
        <v>3639576.2451883792</v>
      </c>
      <c r="I23" s="33">
        <v>1</v>
      </c>
      <c r="J23" s="33">
        <f t="shared" si="40"/>
        <v>212.65883674684741</v>
      </c>
      <c r="K23" s="109">
        <v>0.6</v>
      </c>
      <c r="L23" s="109">
        <v>1.4</v>
      </c>
      <c r="M23" s="26">
        <f t="shared" ref="M23:M27" si="42">IF($C$4=0,D23,D23*K23)</f>
        <v>669605.4</v>
      </c>
      <c r="N23" s="26">
        <f t="shared" ref="N23:N27" si="43">IF($C$4=0,D23+1,D23*L23)</f>
        <v>1562412.5999999999</v>
      </c>
      <c r="O23" s="53">
        <v>1562412.5999999999</v>
      </c>
      <c r="P23" s="54">
        <f t="shared" ref="P23:P27" si="44">Q23/$H$9</f>
        <v>1421.2935219259089</v>
      </c>
      <c r="Q23" s="53">
        <f t="shared" si="41"/>
        <v>4606175.1370422682</v>
      </c>
      <c r="R23" s="60">
        <f t="shared" ref="R23:R27" si="45">O23-D23</f>
        <v>446403.59999999986</v>
      </c>
      <c r="S23" s="55">
        <f t="shared" ref="S23:S27" si="46">P23-G23</f>
        <v>298.25629777830295</v>
      </c>
      <c r="T23" s="53">
        <f t="shared" ref="T23:T27" si="47">Q23-H23</f>
        <v>966598.89185388898</v>
      </c>
      <c r="U23" s="59">
        <f t="shared" ref="U23:U28" si="48">R23/D23</f>
        <v>0.39999999999999986</v>
      </c>
      <c r="V23" s="56">
        <f t="shared" ref="V23:V28" si="49">S23/G23</f>
        <v>0.2655800639241338</v>
      </c>
      <c r="W23" s="56">
        <f t="shared" ref="W23:W28" si="50">T23/H23</f>
        <v>0.26558006392413391</v>
      </c>
      <c r="X23" s="69"/>
      <c r="Y23" s="37"/>
    </row>
    <row r="24" spans="1:25" x14ac:dyDescent="0.3">
      <c r="B24" s="98" t="s">
        <v>92</v>
      </c>
      <c r="C24" s="37" t="s">
        <v>173</v>
      </c>
      <c r="D24" s="26">
        <f>IFERROR(VLOOKUP(Optimize!C24,Data!$B$5:$I$30,2,0),0)</f>
        <v>881744</v>
      </c>
      <c r="E24" s="10">
        <v>0.7</v>
      </c>
      <c r="F24" s="57">
        <f t="shared" si="10"/>
        <v>0.79433051105168528</v>
      </c>
      <c r="G24" s="101">
        <f>VLOOKUP(C24,Data!$B$16:$G$21,6,0)</f>
        <v>216.11608295596744</v>
      </c>
      <c r="H24" s="26">
        <f t="shared" si="11"/>
        <v>700396.16213675716</v>
      </c>
      <c r="I24" s="33">
        <v>1</v>
      </c>
      <c r="J24" s="33">
        <f t="shared" si="40"/>
        <v>48.261853666177878</v>
      </c>
      <c r="K24" s="109">
        <v>0.6</v>
      </c>
      <c r="L24" s="109">
        <v>1.4</v>
      </c>
      <c r="M24" s="26">
        <f t="shared" si="42"/>
        <v>529046.4</v>
      </c>
      <c r="N24" s="26">
        <f t="shared" si="43"/>
        <v>1234441.5999999999</v>
      </c>
      <c r="O24" s="53">
        <v>876579.45544997952</v>
      </c>
      <c r="P24" s="54">
        <f t="shared" si="44"/>
        <v>215.22921899356575</v>
      </c>
      <c r="Q24" s="53">
        <f t="shared" si="41"/>
        <v>697521.98402327497</v>
      </c>
      <c r="R24" s="60">
        <f t="shared" si="45"/>
        <v>-5164.5445500204805</v>
      </c>
      <c r="S24" s="55">
        <f t="shared" si="46"/>
        <v>-0.88686396240169074</v>
      </c>
      <c r="T24" s="53">
        <f t="shared" si="47"/>
        <v>-2874.178113482194</v>
      </c>
      <c r="U24" s="59">
        <f t="shared" si="48"/>
        <v>-5.8571927339686808E-3</v>
      </c>
      <c r="V24" s="56">
        <f t="shared" si="49"/>
        <v>-4.1036462917125177E-3</v>
      </c>
      <c r="W24" s="56">
        <f t="shared" si="50"/>
        <v>-4.1036462917125333E-3</v>
      </c>
      <c r="X24" s="69"/>
      <c r="Y24" s="37"/>
    </row>
    <row r="25" spans="1:25" x14ac:dyDescent="0.3">
      <c r="B25" s="98" t="s">
        <v>92</v>
      </c>
      <c r="C25" s="37" t="s">
        <v>174</v>
      </c>
      <c r="D25" s="26">
        <f>IFERROR(VLOOKUP(Optimize!C25,Data!$B$5:$I$30,2,0),0)</f>
        <v>291283</v>
      </c>
      <c r="E25" s="10">
        <v>0.7</v>
      </c>
      <c r="F25" s="57">
        <f t="shared" si="10"/>
        <v>2.8188956676543979</v>
      </c>
      <c r="G25" s="101">
        <f>VLOOKUP(C25,Data!$B$16:$G$21,6,0)</f>
        <v>253.35966190162804</v>
      </c>
      <c r="H25" s="26">
        <f t="shared" si="11"/>
        <v>821096.38676137594</v>
      </c>
      <c r="I25" s="33">
        <v>1</v>
      </c>
      <c r="J25" s="33">
        <f t="shared" si="40"/>
        <v>122.84954259582084</v>
      </c>
      <c r="K25" s="109">
        <v>0.6</v>
      </c>
      <c r="L25" s="109">
        <v>1.4</v>
      </c>
      <c r="M25" s="26">
        <f t="shared" si="42"/>
        <v>174769.8</v>
      </c>
      <c r="N25" s="26">
        <f t="shared" si="43"/>
        <v>407796.19999999995</v>
      </c>
      <c r="O25" s="53">
        <v>407796.19999999995</v>
      </c>
      <c r="P25" s="54">
        <f>Q25/$H$9</f>
        <v>320.64693710525933</v>
      </c>
      <c r="Q25" s="53">
        <f t="shared" si="41"/>
        <v>1039163.2176453375</v>
      </c>
      <c r="R25" s="60">
        <f t="shared" si="45"/>
        <v>116513.19999999995</v>
      </c>
      <c r="S25" s="55">
        <f t="shared" si="46"/>
        <v>67.287275203631282</v>
      </c>
      <c r="T25" s="53">
        <f t="shared" si="47"/>
        <v>218066.83088396152</v>
      </c>
      <c r="U25" s="59">
        <f t="shared" si="48"/>
        <v>0.39999999999999986</v>
      </c>
      <c r="V25" s="56">
        <f t="shared" si="49"/>
        <v>0.26558006392413369</v>
      </c>
      <c r="W25" s="56">
        <f t="shared" si="50"/>
        <v>0.2655800639241338</v>
      </c>
      <c r="X25" s="69"/>
      <c r="Y25" s="37"/>
    </row>
    <row r="26" spans="1:25" x14ac:dyDescent="0.3">
      <c r="B26" s="98" t="s">
        <v>92</v>
      </c>
      <c r="C26" s="37" t="s">
        <v>175</v>
      </c>
      <c r="D26" s="26">
        <f>IFERROR(VLOOKUP(Optimize!C26,Data!$B$5:$I$30,2,0),0)</f>
        <v>312651</v>
      </c>
      <c r="E26" s="10">
        <v>0.7</v>
      </c>
      <c r="F26" s="57">
        <f t="shared" si="10"/>
        <v>0.39346784690041758</v>
      </c>
      <c r="G26" s="101">
        <f>VLOOKUP(C26,Data!$B$16:$G$21,6,0)</f>
        <v>37.958793546903117</v>
      </c>
      <c r="H26" s="26">
        <f t="shared" si="11"/>
        <v>123018.11580126245</v>
      </c>
      <c r="I26" s="33">
        <v>1</v>
      </c>
      <c r="J26" s="33">
        <f t="shared" si="40"/>
        <v>17.515687788645803</v>
      </c>
      <c r="K26" s="109">
        <v>0.6</v>
      </c>
      <c r="L26" s="109">
        <v>1.4</v>
      </c>
      <c r="M26" s="26">
        <f t="shared" si="42"/>
        <v>187590.6</v>
      </c>
      <c r="N26" s="26">
        <f t="shared" si="43"/>
        <v>437711.39999999997</v>
      </c>
      <c r="O26" s="53">
        <v>187590.6</v>
      </c>
      <c r="P26" s="54">
        <f t="shared" ref="P26" si="51">Q26/$H$9</f>
        <v>26.547172753212553</v>
      </c>
      <c r="Q26" s="53">
        <f t="shared" si="41"/>
        <v>86034.957036121647</v>
      </c>
      <c r="R26" s="60">
        <f t="shared" si="45"/>
        <v>-125060.4</v>
      </c>
      <c r="S26" s="55">
        <f t="shared" si="46"/>
        <v>-11.411620793690563</v>
      </c>
      <c r="T26" s="53">
        <f t="shared" si="47"/>
        <v>-36983.158765140804</v>
      </c>
      <c r="U26" s="59">
        <f t="shared" si="48"/>
        <v>-0.39999999999999997</v>
      </c>
      <c r="V26" s="56">
        <f t="shared" si="49"/>
        <v>-0.30063180958557056</v>
      </c>
      <c r="W26" s="56">
        <f t="shared" si="50"/>
        <v>-0.30063180958557056</v>
      </c>
      <c r="X26" s="69"/>
      <c r="Y26" s="37"/>
    </row>
    <row r="27" spans="1:25" x14ac:dyDescent="0.3">
      <c r="A27" s="97"/>
      <c r="B27" s="98" t="s">
        <v>92</v>
      </c>
      <c r="C27" s="37" t="s">
        <v>99</v>
      </c>
      <c r="D27" s="26">
        <f>IFERROR(VLOOKUP(Optimize!C27,Data!$B$5:$I$30,2,0),0)</f>
        <v>313745</v>
      </c>
      <c r="E27" s="10">
        <v>0.7</v>
      </c>
      <c r="F27" s="57">
        <f t="shared" si="10"/>
        <v>1.8100000000000003</v>
      </c>
      <c r="G27" s="101">
        <f>VLOOKUP(C27,Data!$B$16:$G$21,6,0)</f>
        <v>175.22606896458524</v>
      </c>
      <c r="H27" s="26">
        <f t="shared" si="11"/>
        <v>567878.45000000007</v>
      </c>
      <c r="I27" s="33">
        <v>1</v>
      </c>
      <c r="J27" s="33">
        <f t="shared" si="40"/>
        <v>80.658774440812394</v>
      </c>
      <c r="K27" s="109">
        <v>0.6</v>
      </c>
      <c r="L27" s="109">
        <v>1.4</v>
      </c>
      <c r="M27" s="26">
        <f t="shared" si="42"/>
        <v>188247</v>
      </c>
      <c r="N27" s="26">
        <f t="shared" si="43"/>
        <v>439243</v>
      </c>
      <c r="O27" s="53">
        <v>439243</v>
      </c>
      <c r="P27" s="54">
        <f t="shared" si="44"/>
        <v>221.76261956137409</v>
      </c>
      <c r="Q27" s="53">
        <f t="shared" si="41"/>
        <v>718695.64505213697</v>
      </c>
      <c r="R27" s="60">
        <f t="shared" si="45"/>
        <v>125498</v>
      </c>
      <c r="S27" s="55">
        <f t="shared" si="46"/>
        <v>46.536550596788857</v>
      </c>
      <c r="T27" s="53">
        <f t="shared" si="47"/>
        <v>150817.1950521369</v>
      </c>
      <c r="U27" s="59">
        <f t="shared" si="48"/>
        <v>0.4</v>
      </c>
      <c r="V27" s="56">
        <f t="shared" si="49"/>
        <v>0.26558006392413169</v>
      </c>
      <c r="W27" s="56">
        <f t="shared" si="50"/>
        <v>0.2655800639241318</v>
      </c>
      <c r="X27" s="72"/>
      <c r="Y27" s="51"/>
    </row>
    <row r="28" spans="1:25" x14ac:dyDescent="0.3">
      <c r="A28" s="22"/>
      <c r="B28" s="99" t="s">
        <v>92</v>
      </c>
      <c r="C28" s="75" t="s">
        <v>189</v>
      </c>
      <c r="D28" s="76">
        <f>SUM(D22:D27)</f>
        <v>4520030.54</v>
      </c>
      <c r="E28" s="77">
        <v>0.7</v>
      </c>
      <c r="F28" s="57">
        <f t="shared" si="10"/>
        <v>1.5941897629159969</v>
      </c>
      <c r="G28" s="102">
        <f>SUM(G22:G27)</f>
        <v>2223.4364189864718</v>
      </c>
      <c r="H28" s="76">
        <f>SUM(H22:H27)</f>
        <v>7205786.4149356652</v>
      </c>
      <c r="I28" s="76"/>
      <c r="J28" s="75">
        <f t="shared" si="40"/>
        <v>158.1548180041666</v>
      </c>
      <c r="K28" s="110">
        <f>E4</f>
        <v>0.8</v>
      </c>
      <c r="L28" s="110">
        <f>F4</f>
        <v>1.2</v>
      </c>
      <c r="M28" s="76">
        <f t="shared" ref="M28:T28" si="52">SUM(M22:M27)</f>
        <v>2712018.324</v>
      </c>
      <c r="N28" s="76">
        <f t="shared" si="52"/>
        <v>6328042.7560000001</v>
      </c>
      <c r="O28" s="76">
        <f t="shared" si="52"/>
        <v>5424037.648</v>
      </c>
      <c r="P28" s="78">
        <f t="shared" si="52"/>
        <v>2684.3710074609298</v>
      </c>
      <c r="Q28" s="76">
        <f t="shared" si="52"/>
        <v>8699598.5012363978</v>
      </c>
      <c r="R28" s="79">
        <f t="shared" si="52"/>
        <v>904007.10799999989</v>
      </c>
      <c r="S28" s="80">
        <f t="shared" si="52"/>
        <v>460.93458847445777</v>
      </c>
      <c r="T28" s="76">
        <f t="shared" si="52"/>
        <v>1493812.0863007323</v>
      </c>
      <c r="U28" s="81">
        <f t="shared" si="48"/>
        <v>0.20000022123744321</v>
      </c>
      <c r="V28" s="81">
        <f t="shared" si="49"/>
        <v>0.20730729448273116</v>
      </c>
      <c r="W28" s="81">
        <f t="shared" si="50"/>
        <v>0.20730729448273127</v>
      </c>
      <c r="X28" s="75"/>
    </row>
    <row r="29" spans="1:25" x14ac:dyDescent="0.3">
      <c r="B29" s="98" t="s">
        <v>66</v>
      </c>
      <c r="C29" s="37" t="s">
        <v>67</v>
      </c>
      <c r="D29" s="32">
        <f>IFERROR(VLOOKUP(Optimize!C29,Data!$B$5:$I$30,2,0),0)</f>
        <v>1538884.19</v>
      </c>
      <c r="E29" s="10">
        <v>0.7</v>
      </c>
      <c r="F29" s="57">
        <f t="shared" si="10"/>
        <v>1.45829011509508</v>
      </c>
      <c r="G29" s="101">
        <f>VLOOKUP(C29,Data!$B$27:$G$29,6,0)</f>
        <v>692.45762145601077</v>
      </c>
      <c r="H29" s="26">
        <f t="shared" si="11"/>
        <v>2244139.6025530989</v>
      </c>
      <c r="I29" s="33">
        <v>1</v>
      </c>
      <c r="J29" s="33">
        <f>IFERROR(H29/(POWER(D29,E29)),0)</f>
        <v>104.71423235773842</v>
      </c>
      <c r="K29" s="109">
        <v>0.6</v>
      </c>
      <c r="L29" s="109">
        <v>1.4</v>
      </c>
      <c r="M29" s="26">
        <f>IF($C$5=0,D29,D29*K29)</f>
        <v>923330.51399999997</v>
      </c>
      <c r="N29" s="26">
        <f>IF($C$5=0,D29+1,D29*L29)</f>
        <v>2154437.8659999999</v>
      </c>
      <c r="O29" s="53">
        <v>2154437.8659999999</v>
      </c>
      <c r="P29" s="54">
        <f t="shared" ref="P29:P31" si="53">Q29/$H$9</f>
        <v>876.36056082705181</v>
      </c>
      <c r="Q29" s="53">
        <f>J29*O29^E29*I29</f>
        <v>2840138.3416538313</v>
      </c>
      <c r="R29" s="60">
        <f>O29-D29</f>
        <v>615553.67599999998</v>
      </c>
      <c r="S29" s="55">
        <f>P29-G29</f>
        <v>183.90293937104104</v>
      </c>
      <c r="T29" s="53">
        <f>Q29-H29</f>
        <v>595998.73910073237</v>
      </c>
      <c r="U29" s="59">
        <f>R29/D29</f>
        <v>0.4</v>
      </c>
      <c r="V29" s="56">
        <f>S29/G29</f>
        <v>0.26558006392413386</v>
      </c>
      <c r="W29" s="56">
        <f>T29/H29</f>
        <v>0.26558006392413386</v>
      </c>
      <c r="X29" s="69"/>
    </row>
    <row r="30" spans="1:25" x14ac:dyDescent="0.3">
      <c r="B30" s="98" t="s">
        <v>66</v>
      </c>
      <c r="C30" s="37" t="s">
        <v>4</v>
      </c>
      <c r="D30" s="32">
        <f>IFERROR(VLOOKUP(Optimize!C30,Data!$B$5:$I$30,2,0),0)</f>
        <v>1539278</v>
      </c>
      <c r="E30" s="10">
        <v>0.7</v>
      </c>
      <c r="F30" s="57">
        <f t="shared" si="10"/>
        <v>1.3446515369370786</v>
      </c>
      <c r="G30" s="101">
        <f>VLOOKUP(C30,Data!$B$27:$G$29,6,0)</f>
        <v>638.66062946510624</v>
      </c>
      <c r="H30" s="26">
        <f t="shared" si="11"/>
        <v>2069792.5284734324</v>
      </c>
      <c r="I30" s="33">
        <v>1</v>
      </c>
      <c r="J30" s="33">
        <f>IFERROR(H30/(POWER(D30,E30)),0)</f>
        <v>96.561692937477261</v>
      </c>
      <c r="K30" s="109">
        <v>0.6</v>
      </c>
      <c r="L30" s="109">
        <v>1.4</v>
      </c>
      <c r="M30" s="26">
        <f t="shared" ref="M30:M31" si="54">IF($C$5=0,D30,D30*K30)</f>
        <v>923566.79999999993</v>
      </c>
      <c r="N30" s="26">
        <f t="shared" ref="N30:N31" si="55">IF($C$5=0,D30+1,D30*L30)</f>
        <v>2154989.1999999997</v>
      </c>
      <c r="O30" s="53">
        <v>1980973.9619999991</v>
      </c>
      <c r="P30" s="54">
        <f t="shared" si="53"/>
        <v>762.0146802391688</v>
      </c>
      <c r="Q30" s="53">
        <f>J30*O30^E30*I30</f>
        <v>2469562.4232654781</v>
      </c>
      <c r="R30" s="60">
        <f t="shared" ref="R30:R31" si="56">O30-D30</f>
        <v>441695.96199999913</v>
      </c>
      <c r="S30" s="55">
        <f t="shared" ref="S30:S31" si="57">P30-G30</f>
        <v>123.35405077406256</v>
      </c>
      <c r="T30" s="53">
        <f t="shared" ref="T30:T31" si="58">Q30-H30</f>
        <v>399769.8947920457</v>
      </c>
      <c r="U30" s="59">
        <f t="shared" ref="U30:U32" si="59">R30/D30</f>
        <v>0.28695009088676582</v>
      </c>
      <c r="V30" s="56">
        <f t="shared" ref="V30:V32" si="60">S30/G30</f>
        <v>0.19314491152738594</v>
      </c>
      <c r="W30" s="56">
        <f t="shared" ref="W30:W32" si="61">T30/H30</f>
        <v>0.19314491152738603</v>
      </c>
      <c r="X30" s="69"/>
    </row>
    <row r="31" spans="1:25" x14ac:dyDescent="0.3">
      <c r="B31" s="98" t="s">
        <v>66</v>
      </c>
      <c r="C31" s="37" t="s">
        <v>101</v>
      </c>
      <c r="D31" s="32">
        <f>IFERROR(VLOOKUP(Optimize!C31,Data!$B$5:$I$30,2,0),0)</f>
        <v>736027</v>
      </c>
      <c r="E31" s="10">
        <v>0.7</v>
      </c>
      <c r="F31" s="57">
        <f t="shared" si="10"/>
        <v>0.93521144318146465</v>
      </c>
      <c r="G31" s="101">
        <f>VLOOKUP(C31,Data!$B$27:$G$29,6,0)</f>
        <v>212.3962711813729</v>
      </c>
      <c r="H31" s="26">
        <f t="shared" si="11"/>
        <v>688340.87289052387</v>
      </c>
      <c r="I31" s="33">
        <v>1</v>
      </c>
      <c r="J31" s="33">
        <f>IFERROR(H31/(POWER(D31,E31)),0)</f>
        <v>53.824243682038244</v>
      </c>
      <c r="K31" s="109">
        <v>0.6</v>
      </c>
      <c r="L31" s="109">
        <v>1.4</v>
      </c>
      <c r="M31" s="26">
        <f t="shared" si="54"/>
        <v>441616.2</v>
      </c>
      <c r="N31" s="26">
        <f t="shared" si="55"/>
        <v>1030437.7999999999</v>
      </c>
      <c r="O31" s="53">
        <v>441616.2</v>
      </c>
      <c r="P31" s="54">
        <f t="shared" si="53"/>
        <v>148.54319582688919</v>
      </c>
      <c r="Q31" s="53">
        <f>J31*O31^E31*I31</f>
        <v>481403.71066173445</v>
      </c>
      <c r="R31" s="60">
        <f t="shared" si="56"/>
        <v>-294410.8</v>
      </c>
      <c r="S31" s="55">
        <f t="shared" si="57"/>
        <v>-63.853075354483707</v>
      </c>
      <c r="T31" s="53">
        <f t="shared" si="58"/>
        <v>-206937.16222878941</v>
      </c>
      <c r="U31" s="59">
        <f t="shared" si="59"/>
        <v>-0.39999999999999997</v>
      </c>
      <c r="V31" s="56">
        <f t="shared" si="60"/>
        <v>-0.30063180958557056</v>
      </c>
      <c r="W31" s="56">
        <f t="shared" si="61"/>
        <v>-0.30063180958557056</v>
      </c>
      <c r="X31" s="69"/>
    </row>
    <row r="32" spans="1:25" x14ac:dyDescent="0.3">
      <c r="A32" s="22"/>
      <c r="B32" s="99" t="s">
        <v>66</v>
      </c>
      <c r="C32" s="75" t="s">
        <v>190</v>
      </c>
      <c r="D32" s="76">
        <f>SUM(D29:D31)</f>
        <v>3814189.19</v>
      </c>
      <c r="E32" s="77"/>
      <c r="F32" s="57">
        <f t="shared" si="10"/>
        <v>1.3114905304204523</v>
      </c>
      <c r="G32" s="102">
        <f>SUM(G29:G31)</f>
        <v>1543.51452210249</v>
      </c>
      <c r="H32" s="76">
        <f>SUM(H29:H31)</f>
        <v>5002273.0039170552</v>
      </c>
      <c r="I32" s="76"/>
      <c r="J32" s="75"/>
      <c r="K32" s="110">
        <f>E5</f>
        <v>0.8</v>
      </c>
      <c r="L32" s="110">
        <f>F5</f>
        <v>1.2</v>
      </c>
      <c r="M32" s="76">
        <f t="shared" ref="M32:T32" si="62">SUM(M29:M31)</f>
        <v>2288513.514</v>
      </c>
      <c r="N32" s="76">
        <f t="shared" si="62"/>
        <v>5339864.8659999995</v>
      </c>
      <c r="O32" s="76">
        <f t="shared" si="62"/>
        <v>4577028.027999999</v>
      </c>
      <c r="P32" s="78">
        <f t="shared" si="62"/>
        <v>1786.9184368931096</v>
      </c>
      <c r="Q32" s="76">
        <f t="shared" si="62"/>
        <v>5791104.4755810434</v>
      </c>
      <c r="R32" s="79">
        <f t="shared" si="62"/>
        <v>762838.83799999906</v>
      </c>
      <c r="S32" s="80">
        <f t="shared" si="62"/>
        <v>243.40391479061989</v>
      </c>
      <c r="T32" s="76">
        <f t="shared" si="62"/>
        <v>788831.47166398866</v>
      </c>
      <c r="U32" s="81">
        <f t="shared" si="59"/>
        <v>0.20000026217891909</v>
      </c>
      <c r="V32" s="81">
        <f t="shared" si="60"/>
        <v>0.15769460624126072</v>
      </c>
      <c r="W32" s="81">
        <f t="shared" si="61"/>
        <v>0.15769460624126075</v>
      </c>
      <c r="X32" s="75"/>
    </row>
    <row r="33" spans="1:24" x14ac:dyDescent="0.3">
      <c r="A33" s="22"/>
      <c r="B33" s="98" t="s">
        <v>117</v>
      </c>
      <c r="C33" s="37" t="s">
        <v>113</v>
      </c>
      <c r="D33" s="32">
        <f>'Samples Vouchers'!G2</f>
        <v>1361913.37</v>
      </c>
      <c r="E33" s="10">
        <v>0.7</v>
      </c>
      <c r="F33" s="104"/>
      <c r="G33" s="101">
        <f>'Samples Vouchers'!J2</f>
        <v>2734.3520000000003</v>
      </c>
      <c r="H33" s="26">
        <f t="shared" si="11"/>
        <v>8861578.5578584839</v>
      </c>
      <c r="I33" s="33">
        <v>1</v>
      </c>
      <c r="J33" s="33">
        <f>IFERROR(H33/(POWER(D33,E33)),0)</f>
        <v>450.40837103829472</v>
      </c>
      <c r="K33" s="109">
        <v>0.6</v>
      </c>
      <c r="L33" s="109">
        <v>1.4</v>
      </c>
      <c r="M33" s="26">
        <f t="shared" ref="M33:M34" si="63">IF($C$5=0,D33,D33*K33)</f>
        <v>817148.022</v>
      </c>
      <c r="N33" s="26">
        <f t="shared" ref="N33:N34" si="64">IF($C$5=0,D33+1,D33*L33)</f>
        <v>1906678.7180000001</v>
      </c>
      <c r="O33" s="53">
        <v>1609036.034</v>
      </c>
      <c r="P33" s="54">
        <f t="shared" ref="P33:P34" si="65">Q33/$H$9</f>
        <v>3072.8815675670621</v>
      </c>
      <c r="Q33" s="53">
        <f>J33*O33^E33*I33</f>
        <v>9958696.3968029134</v>
      </c>
      <c r="R33" s="60">
        <f t="shared" ref="R33:R34" si="66">O33-D33</f>
        <v>247122.66399999987</v>
      </c>
      <c r="S33" s="55">
        <f t="shared" ref="S33:S34" si="67">P33-G33</f>
        <v>338.5295675670618</v>
      </c>
      <c r="T33" s="53">
        <f t="shared" ref="T33:T34" si="68">Q33-H33</f>
        <v>1097117.8389444295</v>
      </c>
      <c r="U33" s="59">
        <f t="shared" ref="U33:U35" si="69">R33/D33</f>
        <v>0.18145255744130029</v>
      </c>
      <c r="V33" s="56">
        <f t="shared" ref="V33:V35" si="70">S33/G33</f>
        <v>0.12380614038246054</v>
      </c>
      <c r="W33" s="56">
        <f t="shared" ref="W33:W35" si="71">T33/H33</f>
        <v>0.12380614038246053</v>
      </c>
      <c r="X33" s="56"/>
    </row>
    <row r="34" spans="1:24" x14ac:dyDescent="0.3">
      <c r="A34" s="22"/>
      <c r="B34" s="98" t="s">
        <v>117</v>
      </c>
      <c r="C34" s="37" t="s">
        <v>114</v>
      </c>
      <c r="D34" s="32">
        <f>'Samples Vouchers'!G3</f>
        <v>126305.05</v>
      </c>
      <c r="E34" s="10">
        <v>0.7</v>
      </c>
      <c r="F34" s="104"/>
      <c r="G34" s="101">
        <f>'Samples Vouchers'!J3</f>
        <v>723.99270000000001</v>
      </c>
      <c r="H34" s="26">
        <f t="shared" si="11"/>
        <v>2346339.5299383798</v>
      </c>
      <c r="I34" s="33">
        <v>1</v>
      </c>
      <c r="J34" s="33">
        <f>IFERROR(H34/(POWER(D34,E34)),0)</f>
        <v>630.08096102965101</v>
      </c>
      <c r="K34" s="109">
        <v>0.6</v>
      </c>
      <c r="L34" s="109">
        <v>1.4</v>
      </c>
      <c r="M34" s="26">
        <f t="shared" si="63"/>
        <v>75783.03</v>
      </c>
      <c r="N34" s="26">
        <f t="shared" si="64"/>
        <v>176827.07</v>
      </c>
      <c r="O34" s="53">
        <v>176827.07</v>
      </c>
      <c r="P34" s="54">
        <f t="shared" si="65"/>
        <v>916.27072754660628</v>
      </c>
      <c r="Q34" s="53">
        <f>J34*O34^E34*I34</f>
        <v>2969480.5322871371</v>
      </c>
      <c r="R34" s="60">
        <f t="shared" si="66"/>
        <v>50522.020000000004</v>
      </c>
      <c r="S34" s="55">
        <f t="shared" si="67"/>
        <v>192.27802754660627</v>
      </c>
      <c r="T34" s="53">
        <f t="shared" si="68"/>
        <v>623141.00234875735</v>
      </c>
      <c r="U34" s="59">
        <f t="shared" si="69"/>
        <v>0.4</v>
      </c>
      <c r="V34" s="56">
        <f t="shared" si="70"/>
        <v>0.26558006392413386</v>
      </c>
      <c r="W34" s="56">
        <f t="shared" si="71"/>
        <v>0.26558006392413397</v>
      </c>
      <c r="X34" s="56"/>
    </row>
    <row r="35" spans="1:24" x14ac:dyDescent="0.3">
      <c r="A35" s="22"/>
      <c r="B35" s="99" t="s">
        <v>117</v>
      </c>
      <c r="C35" s="75" t="s">
        <v>191</v>
      </c>
      <c r="D35" s="76">
        <f>SUM(D33:D34)</f>
        <v>1488218.4200000002</v>
      </c>
      <c r="E35" s="77"/>
      <c r="F35" s="57">
        <f t="shared" ref="F35:F36" si="72">H35/D35</f>
        <v>7.5310975439995307</v>
      </c>
      <c r="G35" s="102">
        <f>SUM(G33:G34)</f>
        <v>3458.3447000000006</v>
      </c>
      <c r="H35" s="76">
        <f>SUM(H33:H34)</f>
        <v>11207918.087796863</v>
      </c>
      <c r="I35" s="76"/>
      <c r="J35" s="75"/>
      <c r="K35" s="110">
        <f>E6</f>
        <v>0.8</v>
      </c>
      <c r="L35" s="110">
        <f>F6</f>
        <v>1.2</v>
      </c>
      <c r="M35" s="76">
        <f>SUM(M33:M34)</f>
        <v>892931.05200000003</v>
      </c>
      <c r="N35" s="76">
        <f t="shared" ref="N35:T35" si="73">SUM(N33:N34)</f>
        <v>2083505.7880000002</v>
      </c>
      <c r="O35" s="76">
        <f t="shared" si="73"/>
        <v>1785863.1040000001</v>
      </c>
      <c r="P35" s="78">
        <f t="shared" si="73"/>
        <v>3989.1522951136685</v>
      </c>
      <c r="Q35" s="76">
        <f t="shared" si="73"/>
        <v>12928176.929090051</v>
      </c>
      <c r="R35" s="79">
        <f t="shared" si="73"/>
        <v>297644.68399999989</v>
      </c>
      <c r="S35" s="80">
        <f t="shared" si="73"/>
        <v>530.80759511366807</v>
      </c>
      <c r="T35" s="76">
        <f t="shared" si="73"/>
        <v>1720258.8412931869</v>
      </c>
      <c r="U35" s="81">
        <f t="shared" si="69"/>
        <v>0.20000067194437754</v>
      </c>
      <c r="V35" s="81">
        <f t="shared" si="70"/>
        <v>0.15348602905710007</v>
      </c>
      <c r="W35" s="81">
        <f t="shared" si="71"/>
        <v>0.15348602905710007</v>
      </c>
      <c r="X35" s="75"/>
    </row>
    <row r="36" spans="1:24" x14ac:dyDescent="0.3">
      <c r="A36" s="52"/>
      <c r="B36" s="100" t="s">
        <v>102</v>
      </c>
      <c r="C36" s="82" t="s">
        <v>13</v>
      </c>
      <c r="D36" s="83">
        <f>D21+D28+D32+D35</f>
        <v>13974759.189999999</v>
      </c>
      <c r="E36" s="84"/>
      <c r="F36" s="57">
        <f t="shared" si="72"/>
        <v>1.8181668419498218</v>
      </c>
      <c r="G36" s="103">
        <f>G21+G28+G32+G35</f>
        <v>7840.0962788584011</v>
      </c>
      <c r="H36" s="83">
        <f>H21+H28+H32+H35</f>
        <v>25408443.783491548</v>
      </c>
      <c r="I36" s="83"/>
      <c r="J36" s="82"/>
      <c r="K36" s="82"/>
      <c r="L36" s="82"/>
      <c r="M36" s="83">
        <f t="shared" ref="M36:T36" si="74">M21+M28+M32+M35</f>
        <v>8384855.5139999995</v>
      </c>
      <c r="N36" s="83">
        <f t="shared" si="74"/>
        <v>19564662.866</v>
      </c>
      <c r="O36" s="83">
        <f t="shared" si="74"/>
        <v>16769712.028000997</v>
      </c>
      <c r="P36" s="85">
        <f t="shared" si="74"/>
        <v>9227.8051079736997</v>
      </c>
      <c r="Q36" s="83">
        <f t="shared" si="74"/>
        <v>29905776.535324171</v>
      </c>
      <c r="R36" s="86">
        <f t="shared" si="74"/>
        <v>2794952.8380009965</v>
      </c>
      <c r="S36" s="87">
        <f t="shared" si="74"/>
        <v>1387.7088291152979</v>
      </c>
      <c r="T36" s="83">
        <f t="shared" si="74"/>
        <v>4497332.7518326193</v>
      </c>
      <c r="U36" s="88">
        <f t="shared" ref="U36" si="75">R36/D36</f>
        <v>0.20000007155765498</v>
      </c>
      <c r="V36" s="89">
        <f t="shared" ref="V36" si="76">S36/G36</f>
        <v>0.17700150352201577</v>
      </c>
      <c r="W36" s="89">
        <f t="shared" ref="W36" si="77">T36/H36</f>
        <v>0.1770015035220158</v>
      </c>
      <c r="X36" s="82"/>
    </row>
  </sheetData>
  <mergeCells count="11">
    <mergeCell ref="X10:X11"/>
    <mergeCell ref="B1:C1"/>
    <mergeCell ref="B10:B11"/>
    <mergeCell ref="C10:C11"/>
    <mergeCell ref="D10:H10"/>
    <mergeCell ref="I10:I11"/>
    <mergeCell ref="J10:J11"/>
    <mergeCell ref="O10:Q10"/>
    <mergeCell ref="R10:W10"/>
    <mergeCell ref="K10:N10"/>
    <mergeCell ref="L1:Q1"/>
  </mergeCells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193C-1A5B-4496-947B-A97EF8483FC5}">
  <dimension ref="B1:L34"/>
  <sheetViews>
    <sheetView showGridLines="0" zoomScale="75" zoomScaleNormal="75" workbookViewId="0">
      <selection activeCell="O15" sqref="O15"/>
    </sheetView>
  </sheetViews>
  <sheetFormatPr defaultRowHeight="14.4" x14ac:dyDescent="0.3"/>
  <cols>
    <col min="1" max="1" width="8.88671875" style="62"/>
    <col min="2" max="2" width="31.21875" style="62" bestFit="1" customWidth="1"/>
    <col min="3" max="3" width="14.44140625" style="62" bestFit="1" customWidth="1"/>
    <col min="4" max="4" width="11.5546875" style="62" bestFit="1" customWidth="1"/>
    <col min="5" max="5" width="11.77734375" style="62" bestFit="1" customWidth="1"/>
    <col min="6" max="6" width="11.77734375" style="62" customWidth="1"/>
    <col min="7" max="7" width="11.5546875" style="62" bestFit="1" customWidth="1"/>
    <col min="8" max="8" width="22.21875" style="62" customWidth="1"/>
    <col min="9" max="9" width="75.21875" style="62" bestFit="1" customWidth="1"/>
    <col min="10" max="10" width="9.33203125" style="62" bestFit="1" customWidth="1"/>
    <col min="11" max="11" width="12.77734375" style="62" customWidth="1"/>
    <col min="12" max="16384" width="8.88671875" style="62"/>
  </cols>
  <sheetData>
    <row r="1" spans="2:12" x14ac:dyDescent="0.3">
      <c r="J1" s="183" t="s">
        <v>143</v>
      </c>
      <c r="K1" s="184">
        <f>'[2]2024 NPV'!$C$47</f>
        <v>2503.8456034974711</v>
      </c>
    </row>
    <row r="2" spans="2:12" ht="15" thickBot="1" x14ac:dyDescent="0.35">
      <c r="J2" s="185" t="s">
        <v>144</v>
      </c>
      <c r="K2" s="186">
        <f>'[2]2024 NPV'!$B$47</f>
        <v>3240.8331326246521</v>
      </c>
      <c r="L2" s="62" t="s">
        <v>179</v>
      </c>
    </row>
    <row r="3" spans="2:12" ht="31.2" x14ac:dyDescent="0.3">
      <c r="B3" s="63" t="s">
        <v>164</v>
      </c>
      <c r="C3" s="63" t="s">
        <v>163</v>
      </c>
      <c r="D3" s="63" t="s">
        <v>176</v>
      </c>
      <c r="E3" s="63" t="s">
        <v>107</v>
      </c>
      <c r="F3" s="63" t="s">
        <v>112</v>
      </c>
      <c r="G3" s="63" t="s">
        <v>109</v>
      </c>
      <c r="H3" s="63" t="s">
        <v>110</v>
      </c>
      <c r="I3" s="63" t="s">
        <v>111</v>
      </c>
    </row>
    <row r="4" spans="2:12" x14ac:dyDescent="0.3">
      <c r="B4" s="137" t="s">
        <v>177</v>
      </c>
      <c r="C4" s="138">
        <f>[3]Sheet2!$C$61</f>
        <v>347232.01</v>
      </c>
      <c r="D4" s="138">
        <f>$K$2</f>
        <v>3240.8331326246521</v>
      </c>
      <c r="E4" s="139">
        <f>[4]MCM!$F$16</f>
        <v>1.4025104081693183</v>
      </c>
      <c r="F4" s="140">
        <f t="shared" ref="F4" si="0">E4*C4</f>
        <v>486996.50807455281</v>
      </c>
      <c r="G4" s="141">
        <f t="shared" ref="G4" si="1">F4/D4</f>
        <v>150.2689241146301</v>
      </c>
      <c r="H4" s="142"/>
      <c r="I4" s="142"/>
    </row>
    <row r="5" spans="2:12" x14ac:dyDescent="0.3">
      <c r="B5" s="137" t="str">
        <f>[4]MCM!B6</f>
        <v>DEEPINTENT</v>
      </c>
      <c r="C5" s="138">
        <f>SUM([3]Sheet2!$B$12,[3]Sheet2!$B$37)</f>
        <v>58414.229999999996</v>
      </c>
      <c r="D5" s="138">
        <f t="shared" ref="D5:D12" si="2">$K$2</f>
        <v>3240.8331326246521</v>
      </c>
      <c r="E5" s="139">
        <f>[4]MCM!F6</f>
        <v>0.94761311162795991</v>
      </c>
      <c r="F5" s="140">
        <f t="shared" ref="F5:F10" si="3">E5*C5</f>
        <v>55354.090253651324</v>
      </c>
      <c r="G5" s="141">
        <f t="shared" ref="G5:G10" si="4">F5/D5</f>
        <v>17.080203758846952</v>
      </c>
      <c r="H5" s="142" t="str">
        <f>[4]MCM!$I6</f>
        <v>jan-dec 2022</v>
      </c>
      <c r="I5" s="142" t="str">
        <f>[4]MCM!J6</f>
        <v>from mmx</v>
      </c>
    </row>
    <row r="6" spans="2:12" ht="28.8" x14ac:dyDescent="0.3">
      <c r="B6" s="137" t="str">
        <f>[4]MCM!B7</f>
        <v>DG CONNECT</v>
      </c>
      <c r="C6" s="138">
        <f>SUM([3]Sheet2!$B$13,[3]Sheet2!$B$38)</f>
        <v>32000</v>
      </c>
      <c r="D6" s="138">
        <f t="shared" si="2"/>
        <v>3240.8331326246521</v>
      </c>
      <c r="E6" s="139">
        <f>[4]MCM!F7</f>
        <v>0.95</v>
      </c>
      <c r="F6" s="140">
        <f t="shared" si="3"/>
        <v>30400</v>
      </c>
      <c r="G6" s="141">
        <f t="shared" si="4"/>
        <v>9.380304000835725</v>
      </c>
      <c r="H6" s="142" t="str">
        <f>[4]MCM!$I7</f>
        <v>New vendor in media plan summary</v>
      </c>
      <c r="I6" s="142" t="str">
        <f>[4]MCM!J7</f>
        <v>since its banners and its ROI is not there so taking it as same as DeepIntent</v>
      </c>
    </row>
    <row r="7" spans="2:12" x14ac:dyDescent="0.3">
      <c r="B7" s="179" t="str">
        <f>[4]MCM!B8</f>
        <v>DOXIMITY</v>
      </c>
      <c r="C7" s="138">
        <f>SUM([3]Sheet2!$B$15,[3]Sheet2!$B$41)</f>
        <v>165000</v>
      </c>
      <c r="D7" s="138">
        <f t="shared" si="2"/>
        <v>3240.8331326246521</v>
      </c>
      <c r="E7" s="180">
        <f>[4]MCM!F8</f>
        <v>9.6345210256617658E-2</v>
      </c>
      <c r="F7" s="140">
        <f t="shared" si="3"/>
        <v>15896.959692341914</v>
      </c>
      <c r="G7" s="141">
        <f t="shared" si="4"/>
        <v>4.9052077172104971</v>
      </c>
      <c r="H7" s="179" t="str">
        <f>[4]MCM!$I8</f>
        <v>jan-dec 2022</v>
      </c>
      <c r="I7" s="142" t="str">
        <f>[4]MCM!J8</f>
        <v>from mmx</v>
      </c>
    </row>
    <row r="8" spans="2:12" x14ac:dyDescent="0.3">
      <c r="B8" s="179" t="str">
        <f>[4]MCM!B11</f>
        <v>EDH</v>
      </c>
      <c r="C8" s="138">
        <f>SUM([3]Sheet2!$B$18,[3]Sheet2!$B$44)</f>
        <v>194726</v>
      </c>
      <c r="D8" s="138">
        <f t="shared" si="2"/>
        <v>3240.8331326246521</v>
      </c>
      <c r="E8" s="181">
        <f>[4]MCM!F11</f>
        <v>0.79190865601879967</v>
      </c>
      <c r="F8" s="140">
        <f t="shared" si="3"/>
        <v>154205.20495191679</v>
      </c>
      <c r="G8" s="141">
        <f t="shared" si="4"/>
        <v>47.581963847373622</v>
      </c>
      <c r="H8" s="142" t="str">
        <f>[4]MCM!$I11</f>
        <v>jan-dec 2022</v>
      </c>
      <c r="I8" s="191" t="str">
        <f>[4]MCM!J11</f>
        <v>from mmx</v>
      </c>
    </row>
    <row r="9" spans="2:12" x14ac:dyDescent="0.3">
      <c r="B9" s="179" t="str">
        <f>[4]MCM!B12</f>
        <v>MEDSCAPE</v>
      </c>
      <c r="C9" s="138">
        <f>SUM([3]Sheet2!$B$22,[3]Sheet2!$B$46)</f>
        <v>825855.69</v>
      </c>
      <c r="D9" s="138">
        <f t="shared" si="2"/>
        <v>3240.8331326246521</v>
      </c>
      <c r="E9" s="181">
        <f>[4]MCM!F12</f>
        <v>0.95076168092958979</v>
      </c>
      <c r="F9" s="140">
        <f t="shared" si="3"/>
        <v>785191.94402966613</v>
      </c>
      <c r="G9" s="141">
        <f t="shared" si="4"/>
        <v>242.28089256596903</v>
      </c>
      <c r="H9" s="142" t="str">
        <f>[4]MCM!$I12</f>
        <v>jan-dec 2022</v>
      </c>
      <c r="I9" s="192" t="str">
        <f>[4]MCM!J12</f>
        <v>from mmx</v>
      </c>
    </row>
    <row r="10" spans="2:12" ht="28.8" x14ac:dyDescent="0.3">
      <c r="B10" s="179" t="str">
        <f>[4]MCM!B14</f>
        <v>TRENDMD</v>
      </c>
      <c r="C10" s="138">
        <f>SUM([3]Sheet2!$B$16)</f>
        <v>45000</v>
      </c>
      <c r="D10" s="138">
        <f t="shared" si="2"/>
        <v>3240.8331326246521</v>
      </c>
      <c r="E10" s="181">
        <f>[4]MCM!F14</f>
        <v>0.94761311162795991</v>
      </c>
      <c r="F10" s="140">
        <f t="shared" si="3"/>
        <v>42642.590023258199</v>
      </c>
      <c r="G10" s="141">
        <f t="shared" si="4"/>
        <v>13.157909796091001</v>
      </c>
      <c r="H10" s="142" t="str">
        <f>[4]MCM!$I14</f>
        <v>New vendor in media plan summary</v>
      </c>
      <c r="I10" s="142" t="str">
        <f>[4]MCM!J14</f>
        <v>since its banners and its ROI is not there so taking it as same as DeepIntent</v>
      </c>
    </row>
    <row r="11" spans="2:12" ht="28.8" x14ac:dyDescent="0.3">
      <c r="B11" s="179" t="str">
        <f>[4]MCM!B15</f>
        <v>PHYSICIANS WEEKLY</v>
      </c>
      <c r="C11" s="138">
        <f>SUM([3]Sheet2!$B$28,[3]Sheet2!$B$56)</f>
        <v>232825</v>
      </c>
      <c r="D11" s="138">
        <f t="shared" si="2"/>
        <v>3240.8331326246521</v>
      </c>
      <c r="E11" s="180">
        <f>[4]MCM!F15</f>
        <v>1.2</v>
      </c>
      <c r="F11" s="140">
        <f t="shared" ref="F11" si="5">E11*C11</f>
        <v>279390</v>
      </c>
      <c r="G11" s="141">
        <f t="shared" ref="G11" si="6">F11/D11</f>
        <v>86.209313644522808</v>
      </c>
      <c r="H11" s="142" t="str">
        <f>[4]MCM!$I15</f>
        <v>New vendor in media plan summary</v>
      </c>
      <c r="I11" s="142" t="str">
        <f>[4]MCM!J15</f>
        <v>2024 spends taken and ROI has been taken from Tracie's file "Dollarizing  Verquvo PW"</v>
      </c>
    </row>
    <row r="12" spans="2:12" ht="15.6" x14ac:dyDescent="0.3">
      <c r="B12" s="74" t="s">
        <v>13</v>
      </c>
      <c r="C12" s="64">
        <f>SUM(C4:C11)</f>
        <v>1901052.93</v>
      </c>
      <c r="D12" s="65">
        <f t="shared" si="2"/>
        <v>3240.8331326246521</v>
      </c>
      <c r="E12" s="66">
        <f>F12/C12</f>
        <v>0.97318557933333671</v>
      </c>
      <c r="F12" s="64">
        <f>SUM(F4:F11)</f>
        <v>1850077.2970253872</v>
      </c>
      <c r="G12" s="182">
        <f>SUM(G4:G11)</f>
        <v>570.86471944547975</v>
      </c>
      <c r="H12" s="67"/>
      <c r="I12" s="67"/>
    </row>
    <row r="15" spans="2:12" ht="46.8" x14ac:dyDescent="0.3">
      <c r="B15" s="63" t="s">
        <v>165</v>
      </c>
      <c r="C15" s="63" t="s">
        <v>163</v>
      </c>
      <c r="D15" s="63" t="s">
        <v>176</v>
      </c>
      <c r="E15" s="63" t="s">
        <v>107</v>
      </c>
      <c r="F15" s="63" t="s">
        <v>108</v>
      </c>
      <c r="G15" s="63" t="s">
        <v>109</v>
      </c>
      <c r="H15" s="63" t="s">
        <v>110</v>
      </c>
      <c r="I15" s="63" t="s">
        <v>111</v>
      </c>
    </row>
    <row r="16" spans="2:12" x14ac:dyDescent="0.3">
      <c r="B16" s="193" t="str">
        <f>'[5]in office'!B5</f>
        <v>PatientPoint</v>
      </c>
      <c r="C16" s="194">
        <f>SUM([6]Sheet1!$BB$13:$BB$14)</f>
        <v>1604598.54</v>
      </c>
      <c r="D16" s="195">
        <f t="shared" ref="D16:D22" si="7">$K$2</f>
        <v>3240.8331326246521</v>
      </c>
      <c r="E16" s="196">
        <f>'[5]in office'!$G$5</f>
        <v>0.8437132536889197</v>
      </c>
      <c r="F16" s="197">
        <f>C16*E16</f>
        <v>1353821.0550478902</v>
      </c>
      <c r="G16" s="198">
        <f>F16/D16</f>
        <v>417.73858746978181</v>
      </c>
      <c r="H16" s="62" t="str">
        <f>'[5]in office'!$D$5</f>
        <v>04/01/22 to 12/31/22</v>
      </c>
      <c r="I16" s="91" t="str">
        <f>'[5]in office'!$J$5</f>
        <v>Measured in MMx</v>
      </c>
    </row>
    <row r="17" spans="2:11" x14ac:dyDescent="0.3">
      <c r="B17" s="91" t="str">
        <f>'[5]in office'!B7</f>
        <v>Health Monitor</v>
      </c>
      <c r="C17" s="194">
        <f>[6]Sheet1!$BB$15</f>
        <v>1116009</v>
      </c>
      <c r="D17" s="195">
        <f t="shared" si="7"/>
        <v>3240.8331326246521</v>
      </c>
      <c r="E17" s="196">
        <f>'[5]in office'!G7</f>
        <v>3.2612427365625001</v>
      </c>
      <c r="F17" s="197">
        <f t="shared" ref="F17" si="8">C17*E17</f>
        <v>3639576.2451883792</v>
      </c>
      <c r="G17" s="198">
        <f t="shared" ref="G17" si="9">F17/D17</f>
        <v>1123.0372241476059</v>
      </c>
      <c r="H17" s="91" t="str">
        <f>'[5]in office'!D7</f>
        <v>04/01/22 to 12/31/22</v>
      </c>
      <c r="I17" s="199" t="str">
        <f>'[5]in office'!J7</f>
        <v>Measured in MMx</v>
      </c>
    </row>
    <row r="18" spans="2:11" x14ac:dyDescent="0.3">
      <c r="B18" s="91" t="str">
        <f>'[5]in office'!B8</f>
        <v>Phys Weekly</v>
      </c>
      <c r="C18" s="194">
        <f>[6]Sheet1!$BB$17</f>
        <v>881744</v>
      </c>
      <c r="D18" s="195">
        <f t="shared" si="7"/>
        <v>3240.8331326246521</v>
      </c>
      <c r="E18" s="196">
        <f>'[5]in office'!G8</f>
        <v>0.79433051105168528</v>
      </c>
      <c r="F18" s="197">
        <f t="shared" ref="F18:F21" si="10">C18*E18</f>
        <v>700396.16213675716</v>
      </c>
      <c r="G18" s="198">
        <f t="shared" ref="G18:G21" si="11">F18/D18</f>
        <v>216.11608295596744</v>
      </c>
      <c r="H18" s="91" t="str">
        <f>'[5]in office'!D8</f>
        <v>May22-Apr23</v>
      </c>
      <c r="I18" s="199" t="str">
        <f>'[5]in office'!J8</f>
        <v>Indep Measure</v>
      </c>
    </row>
    <row r="19" spans="2:11" x14ac:dyDescent="0.3">
      <c r="B19" s="91" t="str">
        <f>'[5]in office'!B9</f>
        <v>Coverwrap</v>
      </c>
      <c r="C19" s="194">
        <f>[6]Sheet1!$BB$18</f>
        <v>291283</v>
      </c>
      <c r="D19" s="195">
        <f t="shared" si="7"/>
        <v>3240.8331326246521</v>
      </c>
      <c r="E19" s="196">
        <f>'[5]in office'!G9</f>
        <v>2.8188956676543979</v>
      </c>
      <c r="F19" s="197">
        <f t="shared" si="10"/>
        <v>821096.38676137594</v>
      </c>
      <c r="G19" s="198">
        <f t="shared" si="11"/>
        <v>253.35966190162804</v>
      </c>
      <c r="H19" s="91" t="str">
        <f>'[5]in office'!D9</f>
        <v>07/01/22 to 02/28/23</v>
      </c>
      <c r="I19" s="199" t="str">
        <f>'[5]in office'!J9</f>
        <v>Measured in MMx</v>
      </c>
      <c r="K19" s="115"/>
    </row>
    <row r="20" spans="2:11" x14ac:dyDescent="0.3">
      <c r="B20" s="91" t="str">
        <f>'[5]in office'!B10</f>
        <v>TMH</v>
      </c>
      <c r="C20" s="194">
        <f>[6]Sheet1!$BB$19</f>
        <v>312651</v>
      </c>
      <c r="D20" s="195">
        <f t="shared" si="7"/>
        <v>3240.8331326246521</v>
      </c>
      <c r="E20" s="200">
        <f>'[5]in office'!G10</f>
        <v>0.39346784690041758</v>
      </c>
      <c r="F20" s="197">
        <f t="shared" si="10"/>
        <v>123018.11580126245</v>
      </c>
      <c r="G20" s="198">
        <f t="shared" si="11"/>
        <v>37.958793546903117</v>
      </c>
      <c r="H20" s="91" t="str">
        <f>'[5]in office'!D10</f>
        <v>DEC21-MAR22</v>
      </c>
      <c r="I20" s="201" t="str">
        <f>'[5]in office'!J10</f>
        <v>Measured in MMx last year</v>
      </c>
      <c r="K20" s="115"/>
    </row>
    <row r="21" spans="2:11" x14ac:dyDescent="0.3">
      <c r="B21" s="193" t="str">
        <f>'[5]in office'!B11</f>
        <v>Mesmerize</v>
      </c>
      <c r="C21" s="194">
        <f>[6]Sheet1!$BB$16</f>
        <v>313745</v>
      </c>
      <c r="D21" s="195">
        <f t="shared" si="7"/>
        <v>3240.8331326246521</v>
      </c>
      <c r="E21" s="200">
        <f>'[5]in office'!G11</f>
        <v>1.81</v>
      </c>
      <c r="F21" s="197">
        <f t="shared" si="10"/>
        <v>567878.45000000007</v>
      </c>
      <c r="G21" s="198">
        <f t="shared" si="11"/>
        <v>175.22606896458524</v>
      </c>
      <c r="H21" s="187" t="str">
        <f>'[5]in office'!D11</f>
        <v>JAN22-DEC22</v>
      </c>
      <c r="I21" s="188" t="str">
        <f>'[5]in office'!J11</f>
        <v>no measurements yet, based on Belsomra</v>
      </c>
      <c r="K21" s="115"/>
    </row>
    <row r="22" spans="2:11" x14ac:dyDescent="0.3">
      <c r="B22" s="189" t="s">
        <v>13</v>
      </c>
      <c r="C22" s="202">
        <f>SUM(C16:C21)</f>
        <v>4520030.54</v>
      </c>
      <c r="D22" s="203">
        <f t="shared" si="7"/>
        <v>3240.8331326246521</v>
      </c>
      <c r="E22" s="204">
        <f>F22/C22</f>
        <v>1.5941897629159969</v>
      </c>
      <c r="F22" s="202">
        <f>SUM(F16:F21)</f>
        <v>7205786.4149356652</v>
      </c>
      <c r="G22" s="190">
        <f>SUM(G16:G21)</f>
        <v>2223.4364189864718</v>
      </c>
      <c r="H22" s="190"/>
      <c r="I22" s="190"/>
      <c r="K22" s="115"/>
    </row>
    <row r="25" spans="2:11" x14ac:dyDescent="0.3">
      <c r="J25" s="205"/>
      <c r="K25" s="115"/>
    </row>
    <row r="26" spans="2:11" ht="46.8" x14ac:dyDescent="0.3">
      <c r="B26" s="63" t="s">
        <v>166</v>
      </c>
      <c r="C26" s="63" t="s">
        <v>163</v>
      </c>
      <c r="D26" s="63" t="s">
        <v>176</v>
      </c>
      <c r="E26" s="63" t="s">
        <v>107</v>
      </c>
      <c r="F26" s="63" t="s">
        <v>108</v>
      </c>
      <c r="G26" s="63" t="s">
        <v>109</v>
      </c>
      <c r="H26" s="63" t="s">
        <v>110</v>
      </c>
      <c r="I26" s="63" t="s">
        <v>111</v>
      </c>
      <c r="J26" s="115"/>
      <c r="K26" s="115"/>
    </row>
    <row r="27" spans="2:11" x14ac:dyDescent="0.3">
      <c r="B27" s="91" t="s">
        <v>67</v>
      </c>
      <c r="C27" s="194">
        <f>[7]Budget!$F$6</f>
        <v>1538884.19</v>
      </c>
      <c r="D27" s="206">
        <f t="shared" ref="D27:D30" si="12">$K$2</f>
        <v>3240.8331326246521</v>
      </c>
      <c r="E27" s="207">
        <f>[8]Summary!$E$9</f>
        <v>1.45829011509508</v>
      </c>
      <c r="F27" s="197">
        <f>C27*E27</f>
        <v>2244139.6025530989</v>
      </c>
      <c r="G27" s="198">
        <f>F27/D27</f>
        <v>692.45762145601077</v>
      </c>
      <c r="H27" s="91" t="s">
        <v>160</v>
      </c>
      <c r="I27" s="91"/>
    </row>
    <row r="28" spans="2:11" x14ac:dyDescent="0.3">
      <c r="B28" s="91" t="s">
        <v>4</v>
      </c>
      <c r="C28" s="194">
        <f>[7]Budget!$F$10</f>
        <v>1539278</v>
      </c>
      <c r="D28" s="206">
        <f t="shared" si="12"/>
        <v>3240.8331326246521</v>
      </c>
      <c r="E28" s="207">
        <f>[8]Summary!$E$10</f>
        <v>1.3446515369370786</v>
      </c>
      <c r="F28" s="197">
        <f t="shared" ref="F28:F29" si="13">C28*E28</f>
        <v>2069792.5284734324</v>
      </c>
      <c r="G28" s="198">
        <f t="shared" ref="G28:G29" si="14">F28/D28</f>
        <v>638.66062946510624</v>
      </c>
      <c r="H28" s="91" t="s">
        <v>160</v>
      </c>
      <c r="I28" s="91"/>
    </row>
    <row r="29" spans="2:11" x14ac:dyDescent="0.3">
      <c r="B29" s="91" t="s">
        <v>101</v>
      </c>
      <c r="C29" s="194">
        <f>[7]Budget!$F$8</f>
        <v>736027</v>
      </c>
      <c r="D29" s="206">
        <f t="shared" si="12"/>
        <v>3240.8331326246521</v>
      </c>
      <c r="E29" s="207">
        <f>[8]Summary!$E$11</f>
        <v>0.93521144318146465</v>
      </c>
      <c r="F29" s="197">
        <f t="shared" si="13"/>
        <v>688340.87289052387</v>
      </c>
      <c r="G29" s="198">
        <f t="shared" si="14"/>
        <v>212.3962711813729</v>
      </c>
      <c r="H29" s="91" t="s">
        <v>160</v>
      </c>
      <c r="I29" s="91"/>
    </row>
    <row r="30" spans="2:11" x14ac:dyDescent="0.3">
      <c r="B30" s="189" t="s">
        <v>13</v>
      </c>
      <c r="C30" s="202">
        <f>SUM(C27:C29)</f>
        <v>3814189.19</v>
      </c>
      <c r="D30" s="203">
        <f t="shared" si="12"/>
        <v>3240.8331326246521</v>
      </c>
      <c r="E30" s="204">
        <f>F30/C30</f>
        <v>1.3114905304204523</v>
      </c>
      <c r="F30" s="202">
        <f>SUM(F27:F29)</f>
        <v>5002273.0039170552</v>
      </c>
      <c r="G30" s="190">
        <f>SUM(G27:G29)</f>
        <v>1543.51452210249</v>
      </c>
      <c r="H30" s="190"/>
      <c r="I30" s="190"/>
    </row>
    <row r="33" spans="2:9" ht="46.8" x14ac:dyDescent="0.3">
      <c r="B33" s="63" t="s">
        <v>167</v>
      </c>
      <c r="C33" s="63" t="s">
        <v>106</v>
      </c>
      <c r="D33" s="63" t="s">
        <v>176</v>
      </c>
      <c r="E33" s="63" t="s">
        <v>107</v>
      </c>
      <c r="F33" s="63" t="s">
        <v>108</v>
      </c>
      <c r="G33" s="63" t="s">
        <v>109</v>
      </c>
      <c r="H33" s="63" t="s">
        <v>110</v>
      </c>
      <c r="I33" s="63" t="s">
        <v>111</v>
      </c>
    </row>
    <row r="34" spans="2:9" x14ac:dyDescent="0.3">
      <c r="B34" s="91" t="s">
        <v>161</v>
      </c>
      <c r="C34" s="194">
        <f>[7]Budget!$G$16</f>
        <v>2251268.11</v>
      </c>
      <c r="D34" s="206">
        <f>$K$2</f>
        <v>3240.8331326246521</v>
      </c>
      <c r="E34" s="207">
        <f>[9]MMF!F5</f>
        <v>6.3248343981818181E-2</v>
      </c>
      <c r="F34" s="197">
        <f>C34*E34</f>
        <v>142388.97981657769</v>
      </c>
      <c r="G34" s="198">
        <f>F34/D34</f>
        <v>43.935918323959243</v>
      </c>
      <c r="H34" s="91"/>
      <c r="I34" s="91"/>
    </row>
  </sheetData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EA6A-D98C-4857-AE37-61664ECC8BF4}">
  <dimension ref="C5:L10"/>
  <sheetViews>
    <sheetView workbookViewId="0">
      <selection activeCell="F34" sqref="F34"/>
    </sheetView>
  </sheetViews>
  <sheetFormatPr defaultRowHeight="14.4" x14ac:dyDescent="0.3"/>
  <cols>
    <col min="3" max="3" width="12.5546875" bestFit="1" customWidth="1"/>
    <col min="4" max="4" width="9.21875" bestFit="1" customWidth="1"/>
    <col min="5" max="5" width="12.21875" bestFit="1" customWidth="1"/>
    <col min="6" max="6" width="12.5546875" bestFit="1" customWidth="1"/>
    <col min="7" max="7" width="54.21875" bestFit="1" customWidth="1"/>
    <col min="9" max="9" width="11.5546875" bestFit="1" customWidth="1"/>
    <col min="10" max="10" width="12.5546875" bestFit="1" customWidth="1"/>
  </cols>
  <sheetData>
    <row r="5" spans="3:12" ht="115.2" x14ac:dyDescent="0.3">
      <c r="C5" s="128" t="s">
        <v>140</v>
      </c>
      <c r="D5" s="128" t="s">
        <v>141</v>
      </c>
      <c r="E5" s="129" t="s">
        <v>142</v>
      </c>
      <c r="F5" s="130" t="s">
        <v>185</v>
      </c>
      <c r="G5" s="131" t="s">
        <v>186</v>
      </c>
      <c r="H5" s="143" t="s">
        <v>146</v>
      </c>
      <c r="I5" s="143" t="str">
        <f>G5</f>
        <v>Optimal Revenue within Custom channel spend constraints</v>
      </c>
      <c r="J5" s="143" t="s">
        <v>146</v>
      </c>
      <c r="K5" s="143" t="str">
        <f>G5</f>
        <v>Optimal Revenue within Custom channel spend constraints</v>
      </c>
      <c r="L5" s="143" t="s">
        <v>146</v>
      </c>
    </row>
    <row r="6" spans="3:12" x14ac:dyDescent="0.3">
      <c r="C6" s="132">
        <f>Summary!V30</f>
        <v>16769712.027999999</v>
      </c>
      <c r="D6" s="133">
        <f>(C6-$C$8)/$C$8</f>
        <v>0.19999998568848443</v>
      </c>
      <c r="E6" s="134">
        <f>D6*$C$8</f>
        <v>2794951.8380000014</v>
      </c>
      <c r="G6" s="132">
        <f>Summary!X30</f>
        <v>29905776.535323568</v>
      </c>
      <c r="H6" s="143"/>
      <c r="I6" s="143"/>
      <c r="J6" s="143"/>
      <c r="K6" s="143"/>
      <c r="L6" s="143"/>
    </row>
    <row r="7" spans="3:12" x14ac:dyDescent="0.3">
      <c r="C7" s="132">
        <f>Summary!N30</f>
        <v>15372236.109000003</v>
      </c>
      <c r="D7" s="133">
        <f t="shared" ref="D7:D10" si="0">(C7-$C$8)/$C$8</f>
        <v>9.9999992844242547E-2</v>
      </c>
      <c r="E7" s="134">
        <f>D7*$C$8</f>
        <v>1397475.9190000053</v>
      </c>
      <c r="F7" s="132"/>
      <c r="G7" s="132">
        <f>Summary!P30</f>
        <v>29678693.15200793</v>
      </c>
      <c r="H7" s="132"/>
      <c r="I7" s="132"/>
      <c r="J7" s="132"/>
      <c r="K7" s="144"/>
      <c r="L7" s="144"/>
    </row>
    <row r="8" spans="3:12" x14ac:dyDescent="0.3">
      <c r="C8" s="132">
        <f>Summary!F30</f>
        <v>13974760.189999998</v>
      </c>
      <c r="D8" s="133">
        <f t="shared" si="0"/>
        <v>0</v>
      </c>
      <c r="E8" s="134">
        <f>D8*$C$8</f>
        <v>0</v>
      </c>
      <c r="F8" s="132">
        <f>Summary!D30</f>
        <v>25408443.783491548</v>
      </c>
      <c r="G8" s="132">
        <f>Summary!H30</f>
        <v>28830954.764947437</v>
      </c>
      <c r="H8" s="132"/>
      <c r="I8" s="132">
        <f t="shared" ref="I8:J10" si="1">G8-$F$8</f>
        <v>3422510.9814558886</v>
      </c>
      <c r="J8" s="132">
        <f t="shared" si="1"/>
        <v>-25408443.783491548</v>
      </c>
      <c r="K8" s="144">
        <f t="shared" ref="K8:L10" si="2">G8/$C8</f>
        <v>2.0630733102367063</v>
      </c>
      <c r="L8" s="144">
        <f t="shared" si="2"/>
        <v>0</v>
      </c>
    </row>
    <row r="9" spans="3:12" x14ac:dyDescent="0.3">
      <c r="C9" s="132">
        <f>Summary!J30</f>
        <v>12577284.271000002</v>
      </c>
      <c r="D9" s="133">
        <f t="shared" si="0"/>
        <v>-9.9999992844241881E-2</v>
      </c>
      <c r="E9" s="134">
        <f>D9*$C$8</f>
        <v>-1397475.918999996</v>
      </c>
      <c r="F9" s="132"/>
      <c r="G9" s="132">
        <f>Summary!L30</f>
        <v>27570700.640491821</v>
      </c>
      <c r="H9" s="132"/>
      <c r="I9" s="132">
        <f t="shared" si="1"/>
        <v>2162256.8570002727</v>
      </c>
      <c r="J9" s="132">
        <f t="shared" si="1"/>
        <v>-25408443.783491548</v>
      </c>
      <c r="K9" s="144">
        <f t="shared" si="2"/>
        <v>2.1921028456089524</v>
      </c>
      <c r="L9" s="144">
        <f t="shared" si="2"/>
        <v>0</v>
      </c>
    </row>
    <row r="10" spans="3:12" x14ac:dyDescent="0.3">
      <c r="C10" s="132">
        <f>Summary!R30</f>
        <v>11179808.352000348</v>
      </c>
      <c r="D10" s="133">
        <f t="shared" si="0"/>
        <v>-0.19999998568845923</v>
      </c>
      <c r="E10" s="134">
        <f>D10*$C$8</f>
        <v>-2794951.8379996493</v>
      </c>
      <c r="F10" s="132"/>
      <c r="G10" s="132">
        <f>Summary!T30</f>
        <v>23728873.422195621</v>
      </c>
      <c r="H10" s="132"/>
      <c r="I10" s="132">
        <f t="shared" si="1"/>
        <v>-1679570.3612959273</v>
      </c>
      <c r="J10" s="132">
        <f t="shared" si="1"/>
        <v>-25408443.783491548</v>
      </c>
      <c r="K10" s="144">
        <f t="shared" si="2"/>
        <v>2.1224758667665293</v>
      </c>
      <c r="L10" s="144">
        <f t="shared" si="2"/>
        <v>0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5D7B-A584-4D64-8D3D-06C5CF64149F}">
  <dimension ref="A1:AT25"/>
  <sheetViews>
    <sheetView topLeftCell="A28" zoomScale="80" zoomScaleNormal="80" workbookViewId="0">
      <selection activeCell="L56" sqref="L56"/>
    </sheetView>
  </sheetViews>
  <sheetFormatPr defaultRowHeight="14.4" x14ac:dyDescent="0.3"/>
  <cols>
    <col min="3" max="3" width="12.44140625" bestFit="1" customWidth="1"/>
    <col min="4" max="4" width="9.77734375" bestFit="1" customWidth="1"/>
    <col min="5" max="5" width="10.77734375" bestFit="1" customWidth="1"/>
    <col min="6" max="6" width="6.21875" bestFit="1" customWidth="1"/>
    <col min="9" max="9" width="5.5546875" bestFit="1" customWidth="1"/>
    <col min="10" max="10" width="5" bestFit="1" customWidth="1"/>
    <col min="28" max="28" width="10.77734375" bestFit="1" customWidth="1"/>
  </cols>
  <sheetData>
    <row r="1" spans="1:46" x14ac:dyDescent="0.3">
      <c r="A1" t="s">
        <v>151</v>
      </c>
      <c r="B1" t="s">
        <v>152</v>
      </c>
      <c r="C1" t="s">
        <v>153</v>
      </c>
      <c r="D1" t="s">
        <v>154</v>
      </c>
    </row>
    <row r="2" spans="1:46" x14ac:dyDescent="0.3">
      <c r="B2">
        <v>0</v>
      </c>
      <c r="C2">
        <v>5000000</v>
      </c>
      <c r="D2">
        <v>20</v>
      </c>
    </row>
    <row r="3" spans="1:46" x14ac:dyDescent="0.3">
      <c r="D3" s="1"/>
      <c r="E3" s="259" t="s">
        <v>73</v>
      </c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AA3" s="259" t="s">
        <v>148</v>
      </c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</row>
    <row r="4" spans="1:46" s="36" customFormat="1" ht="43.2" x14ac:dyDescent="0.3">
      <c r="D4" s="209" t="s">
        <v>150</v>
      </c>
      <c r="E4" s="209" t="s">
        <v>177</v>
      </c>
      <c r="F4" s="209" t="s">
        <v>168</v>
      </c>
      <c r="G4" s="209" t="s">
        <v>169</v>
      </c>
      <c r="H4" s="209" t="s">
        <v>170</v>
      </c>
      <c r="I4" s="209" t="s">
        <v>161</v>
      </c>
      <c r="J4" s="209" t="s">
        <v>22</v>
      </c>
      <c r="K4" s="209" t="s">
        <v>79</v>
      </c>
      <c r="L4" s="209" t="s">
        <v>171</v>
      </c>
      <c r="M4" s="209" t="s">
        <v>172</v>
      </c>
      <c r="N4" s="209" t="s">
        <v>57</v>
      </c>
      <c r="O4" s="209" t="s">
        <v>94</v>
      </c>
      <c r="P4" s="209" t="s">
        <v>173</v>
      </c>
      <c r="Q4" s="209" t="s">
        <v>174</v>
      </c>
      <c r="R4" s="209" t="s">
        <v>175</v>
      </c>
      <c r="S4" s="209" t="s">
        <v>99</v>
      </c>
      <c r="T4" s="209" t="s">
        <v>67</v>
      </c>
      <c r="U4" s="209" t="s">
        <v>4</v>
      </c>
      <c r="V4" s="209" t="s">
        <v>101</v>
      </c>
      <c r="W4" s="209" t="s">
        <v>113</v>
      </c>
      <c r="X4" s="209" t="s">
        <v>114</v>
      </c>
      <c r="Y4" s="36" t="s">
        <v>189</v>
      </c>
      <c r="AA4" s="209" t="s">
        <v>177</v>
      </c>
      <c r="AB4" s="209" t="s">
        <v>168</v>
      </c>
      <c r="AC4" s="209" t="s">
        <v>169</v>
      </c>
      <c r="AD4" s="209" t="s">
        <v>170</v>
      </c>
      <c r="AE4" s="209" t="s">
        <v>161</v>
      </c>
      <c r="AF4" s="209" t="s">
        <v>22</v>
      </c>
      <c r="AG4" s="209" t="s">
        <v>79</v>
      </c>
      <c r="AH4" s="209" t="s">
        <v>171</v>
      </c>
      <c r="AI4" s="209" t="s">
        <v>172</v>
      </c>
      <c r="AJ4" s="209" t="s">
        <v>57</v>
      </c>
      <c r="AK4" s="209" t="s">
        <v>94</v>
      </c>
      <c r="AL4" s="209" t="s">
        <v>173</v>
      </c>
      <c r="AM4" s="209" t="s">
        <v>174</v>
      </c>
      <c r="AN4" s="209" t="s">
        <v>175</v>
      </c>
      <c r="AO4" s="209" t="s">
        <v>99</v>
      </c>
      <c r="AP4" s="209" t="s">
        <v>67</v>
      </c>
      <c r="AQ4" s="209" t="s">
        <v>4</v>
      </c>
      <c r="AR4" s="209" t="s">
        <v>101</v>
      </c>
      <c r="AS4" s="209" t="s">
        <v>113</v>
      </c>
      <c r="AT4" s="209" t="s">
        <v>114</v>
      </c>
    </row>
    <row r="5" spans="1:46" x14ac:dyDescent="0.3">
      <c r="C5" t="s">
        <v>149</v>
      </c>
      <c r="D5" s="148">
        <f>$B$2</f>
        <v>0</v>
      </c>
      <c r="E5" s="149">
        <f t="shared" ref="E5:Y5" si="0">$B$2</f>
        <v>0</v>
      </c>
      <c r="F5" s="149">
        <f t="shared" si="0"/>
        <v>0</v>
      </c>
      <c r="G5" s="149">
        <f t="shared" si="0"/>
        <v>0</v>
      </c>
      <c r="H5" s="149">
        <f t="shared" si="0"/>
        <v>0</v>
      </c>
      <c r="I5" s="149">
        <f t="shared" si="0"/>
        <v>0</v>
      </c>
      <c r="J5" s="149">
        <f t="shared" si="0"/>
        <v>0</v>
      </c>
      <c r="K5" s="149">
        <f t="shared" si="0"/>
        <v>0</v>
      </c>
      <c r="L5" s="149">
        <f t="shared" si="0"/>
        <v>0</v>
      </c>
      <c r="M5" s="149">
        <f t="shared" si="0"/>
        <v>0</v>
      </c>
      <c r="N5" s="149">
        <f t="shared" si="0"/>
        <v>0</v>
      </c>
      <c r="O5" s="149">
        <f t="shared" si="0"/>
        <v>0</v>
      </c>
      <c r="P5" s="149">
        <f t="shared" si="0"/>
        <v>0</v>
      </c>
      <c r="Q5" s="149">
        <f t="shared" si="0"/>
        <v>0</v>
      </c>
      <c r="R5" s="149">
        <f t="shared" si="0"/>
        <v>0</v>
      </c>
      <c r="S5" s="149">
        <f t="shared" si="0"/>
        <v>0</v>
      </c>
      <c r="T5" s="149">
        <f t="shared" si="0"/>
        <v>0</v>
      </c>
      <c r="U5" s="149">
        <f t="shared" si="0"/>
        <v>0</v>
      </c>
      <c r="V5" s="149">
        <f t="shared" si="0"/>
        <v>0</v>
      </c>
      <c r="W5" s="149">
        <f t="shared" si="0"/>
        <v>0</v>
      </c>
      <c r="X5" s="149">
        <f t="shared" si="0"/>
        <v>0</v>
      </c>
      <c r="Y5" s="149">
        <f t="shared" si="0"/>
        <v>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3">
      <c r="D6" s="148">
        <f>D5+(($C$2-$B$2)/$D$2)</f>
        <v>250000</v>
      </c>
      <c r="E6" s="150">
        <f>(($D6/VLOOKUP(E$4,Optimize!$C$12:H$36,2,0))^VLOOKUP(E$4,Optimize!$C$12:H$36,3,0)*VLOOKUP(E$4,Optimize!$C$12:H$36,5,0))</f>
        <v>119.39698358927441</v>
      </c>
      <c r="F6" s="150">
        <f>(($D6/VLOOKUP(F$4,Optimize!$C$12:I$36,2,0))^VLOOKUP(F$4,Optimize!$C$12:I$36,3,0)*VLOOKUP(F$4,Optimize!$C$12:I$36,5,0))</f>
        <v>47.259377189776004</v>
      </c>
      <c r="G6" s="150">
        <f>(($D6/VLOOKUP(G$4,Optimize!$C$12:J$36,2,0))^VLOOKUP(G$4,Optimize!$C$12:J$36,3,0)*VLOOKUP(G$4,Optimize!$C$12:J$36,5,0))</f>
        <v>39.552135294660459</v>
      </c>
      <c r="H6" s="150">
        <f>(($D6/VLOOKUP(H$4,Optimize!$C$12:K$36,2,0))^VLOOKUP(H$4,Optimize!$C$12:K$36,3,0)*VLOOKUP(H$4,Optimize!$C$12:K$36,5,0))</f>
        <v>6.5610998630263424</v>
      </c>
      <c r="I6" s="150">
        <f>(($D6/VLOOKUP(I$4,Optimize!$C$12:L$36,2,0))^VLOOKUP(I$4,Optimize!$C$12:L$36,3,0)*VLOOKUP(I$4,Optimize!$C$12:L$36,5,0))</f>
        <v>9.4336261345298578</v>
      </c>
      <c r="J6" s="150">
        <f>(($D6/VLOOKUP(J$4,Optimize!$C$12:M$36,2,0))^VLOOKUP(J$4,Optimize!$C$12:M$36,3,0)*VLOOKUP(J$4,Optimize!$C$12:M$36,5,0))</f>
        <v>56.676576448661748</v>
      </c>
      <c r="K6" s="150">
        <f>(($D6/VLOOKUP(K$4,Optimize!$C$12:N$36,2,0))^VLOOKUP(K$4,Optimize!$C$12:N$36,3,0)*VLOOKUP(K$4,Optimize!$C$12:N$36,5,0))</f>
        <v>104.96493840758274</v>
      </c>
      <c r="L6" s="150">
        <f>(($D6/VLOOKUP(L$4,Optimize!$C$12:O$36,2,0))^VLOOKUP(L$4,Optimize!$C$12:O$36,3,0)*VLOOKUP(L$4,Optimize!$C$12:O$36,5,0))</f>
        <v>43.701480614332105</v>
      </c>
      <c r="M6" s="150">
        <f>(($D6/VLOOKUP(M$4,Optimize!$C$12:P$36,2,0))^VLOOKUP(M$4,Optimize!$C$12:P$36,3,0)*VLOOKUP(M$4,Optimize!$C$12:P$36,5,0))</f>
        <v>90.613199508038448</v>
      </c>
      <c r="N6" s="150">
        <f>(($D6/VLOOKUP(N$4,Optimize!$C$12:Q$36,2,0))^VLOOKUP(N$4,Optimize!$C$12:Q$36,3,0)*VLOOKUP(N$4,Optimize!$C$12:Q$36,5,0))</f>
        <v>113.68577456426475</v>
      </c>
      <c r="O6" s="150">
        <f>(($D6/VLOOKUP(O$4,Optimize!$C$12:R$36,2,0))^VLOOKUP(O$4,Optimize!$C$12:R$36,3,0)*VLOOKUP(O$4,Optimize!$C$12:R$36,5,0))</f>
        <v>394.08034055712363</v>
      </c>
      <c r="P6" s="150">
        <f>(($D6/VLOOKUP(P$4,Optimize!$C$12:S$36,2,0))^VLOOKUP(P$4,Optimize!$C$12:S$36,3,0)*VLOOKUP(P$4,Optimize!$C$12:S$36,5,0))</f>
        <v>89.434551696180137</v>
      </c>
      <c r="Q6" s="150">
        <f>(($D6/VLOOKUP(Q$4,Optimize!$C$12:T$36,2,0))^VLOOKUP(Q$4,Optimize!$C$12:T$36,3,0)*VLOOKUP(Q$4,Optimize!$C$12:T$36,5,0))</f>
        <v>227.65378727750257</v>
      </c>
      <c r="R6" s="150">
        <f>(($D6/VLOOKUP(R$4,Optimize!$C$12:U$36,2,0))^VLOOKUP(R$4,Optimize!$C$12:U$36,3,0)*VLOOKUP(R$4,Optimize!$C$12:U$36,5,0))</f>
        <v>32.458506377793938</v>
      </c>
      <c r="S6" s="150">
        <f>(($D6/VLOOKUP(S$4,Optimize!$C$12:V$36,2,0))^VLOOKUP(S$4,Optimize!$C$12:V$36,3,0)*VLOOKUP(S$4,Optimize!$C$12:V$36,5,0))</f>
        <v>149.46962838132231</v>
      </c>
      <c r="T6" s="150">
        <f>(($D6/VLOOKUP(T$4,Optimize!$C$12:W$36,2,0))^VLOOKUP(T$4,Optimize!$C$12:W$36,3,0)*VLOOKUP(T$4,Optimize!$C$12:W$36,5,0))</f>
        <v>194.04705198232054</v>
      </c>
      <c r="U6" s="150">
        <f>(($D6/VLOOKUP(U$4,Optimize!$C$12:U$36,2,0))^VLOOKUP(U$4,Optimize!$C$12:U$36,3,0)*VLOOKUP(U$4,Optimize!$C$12:U$36,5,0))</f>
        <v>178.93949491914339</v>
      </c>
      <c r="V6" s="150">
        <f>(($D6/VLOOKUP(V$4,Optimize!$C$12:V$36,2,0))^VLOOKUP(V$4,Optimize!$C$12:V$36,3,0)*VLOOKUP(V$4,Optimize!$C$12:V$36,5,0))</f>
        <v>99.742275491223822</v>
      </c>
      <c r="W6" s="150">
        <f>(($D6/VLOOKUP(W$4,Optimize!$C$12:W$36,2,0))^VLOOKUP(W$4,Optimize!$C$12:W$36,3,0)*VLOOKUP(W$4,Optimize!$C$12:W$36,5,0))</f>
        <v>834.65651822334632</v>
      </c>
      <c r="X6" s="150">
        <f>(($D6/VLOOKUP(X$4,Optimize!$C$12:X$36,2,0))^VLOOKUP(X$4,Optimize!$C$12:X$36,3,0)*VLOOKUP(X$4,Optimize!$C$12:X$36,5,0))</f>
        <v>1167.6096958844362</v>
      </c>
      <c r="Y6" s="150">
        <f>(($D6/VLOOKUP(Y$4,Optimize!$C$12:Y$36,2,0))^VLOOKUP(Y$4,Optimize!$C$12:Y$36,3,0)*VLOOKUP(Y$4,Optimize!$C$12:Y$36,5,0))</f>
        <v>293.07836670820058</v>
      </c>
      <c r="AA6" s="210">
        <f>(E6-E5)/($D6-$D5)*Optimize!$H$9</f>
        <v>1.5477828014062494</v>
      </c>
      <c r="AB6" s="210">
        <f>(F6-F5)/($D6-$D5)*Optimize!$H$9</f>
        <v>0.61263902169532714</v>
      </c>
      <c r="AC6" s="210">
        <f>(G6-G5)/($D6-$D5)*Optimize!$H$9</f>
        <v>0.51272748211595409</v>
      </c>
      <c r="AD6" s="210">
        <f>(H6-H5)/($D6-$D5)*Optimize!$H$9</f>
        <v>8.5053719290219348E-2</v>
      </c>
      <c r="AE6" s="210">
        <f>(I6-I5)/($D6-$D5)*Optimize!$H$9</f>
        <v>0.12229123255031274</v>
      </c>
      <c r="AF6" s="210">
        <f>(J6-J5)/($D6-$D5)*Optimize!$H$9</f>
        <v>0.73471730719422812</v>
      </c>
      <c r="AG6" s="210">
        <f>(K6-K5)/($D6-$D5)*Optimize!$H$9</f>
        <v>1.3606954006208001</v>
      </c>
      <c r="AH6" s="210">
        <f>(L6-L5)/($D6-$D5)*Optimize!$H$9</f>
        <v>0.56651682527872571</v>
      </c>
      <c r="AI6" s="210">
        <f>(M6-M5)/($D6-$D5)*Optimize!$H$9</f>
        <v>1.1746490368751152</v>
      </c>
      <c r="AJ6" s="210">
        <f>(N6-N5)/($D6-$D5)*Optimize!$H$9</f>
        <v>1.4737464996638645</v>
      </c>
      <c r="AK6" s="210">
        <f>(O6-O5)/($D6-$D5)*Optimize!$H$9</f>
        <v>5.1085944983741305</v>
      </c>
      <c r="AL6" s="210">
        <f>(P6-P5)/($D6-$D5)*Optimize!$H$9</f>
        <v>1.1593698333536515</v>
      </c>
      <c r="AM6" s="210">
        <f>(Q6-Q5)/($D6-$D5)*Optimize!$H$9</f>
        <v>2.9511517463056594</v>
      </c>
      <c r="AN6" s="210">
        <f>(R6-R5)/($D6-$D5)*Optimize!$H$9</f>
        <v>0.4207704116186527</v>
      </c>
      <c r="AO6" s="210">
        <f>(P6-P5)/($D6-$D5)*Optimize!$H$9</f>
        <v>1.1593698333536515</v>
      </c>
      <c r="AP6" s="210">
        <f>(Q6-Q5)/($D6-$D5)*Optimize!$H$9</f>
        <v>2.9511517463056594</v>
      </c>
      <c r="AQ6" s="210">
        <f>(U6-U5)/($D6-$D5)*Optimize!$H$9</f>
        <v>2.319652175476322</v>
      </c>
      <c r="AR6" s="210">
        <f>(V6-V5)/($D6-$D5)*Optimize!$H$9</f>
        <v>1.2929922845413357</v>
      </c>
      <c r="AS6" s="210">
        <f>(W6-W5)/($D6-$D5)*Optimize!$H$9</f>
        <v>10.819929994477409</v>
      </c>
      <c r="AT6" s="210">
        <f>(X6-X5)/($D6-$D5)*Optimize!$H$9</f>
        <v>15.1361127535843</v>
      </c>
    </row>
    <row r="7" spans="1:46" x14ac:dyDescent="0.3">
      <c r="D7" s="148">
        <f t="shared" ref="D7:D25" si="1">D6+(($C$2-$B$2)/$D$2)</f>
        <v>500000</v>
      </c>
      <c r="E7" s="150">
        <f>(($D7/VLOOKUP(E$4,Optimize!$C$12:H$36,2,0))^VLOOKUP(E$4,Optimize!$C$12:H$36,3,0)*VLOOKUP(E$4,Optimize!$C$12:H$36,5,0))</f>
        <v>193.96097207618851</v>
      </c>
      <c r="F7" s="150">
        <f>(($D7/VLOOKUP(F$4,Optimize!$C$12:I$36,2,0))^VLOOKUP(F$4,Optimize!$C$12:I$36,3,0)*VLOOKUP(F$4,Optimize!$C$12:I$36,5,0))</f>
        <v>76.773084745397554</v>
      </c>
      <c r="G7" s="150">
        <f>(($D7/VLOOKUP(G$4,Optimize!$C$12:J$36,2,0))^VLOOKUP(G$4,Optimize!$C$12:J$36,3,0)*VLOOKUP(G$4,Optimize!$C$12:J$36,5,0))</f>
        <v>64.252633348187985</v>
      </c>
      <c r="H7" s="150">
        <f>(($D7/VLOOKUP(H$4,Optimize!$C$12:K$36,2,0))^VLOOKUP(H$4,Optimize!$C$12:K$36,3,0)*VLOOKUP(H$4,Optimize!$C$12:K$36,5,0))</f>
        <v>10.658538172951431</v>
      </c>
      <c r="I7" s="150">
        <f>(($D7/VLOOKUP(I$4,Optimize!$C$12:L$36,2,0))^VLOOKUP(I$4,Optimize!$C$12:L$36,3,0)*VLOOKUP(I$4,Optimize!$C$12:L$36,5,0))</f>
        <v>15.324970868201376</v>
      </c>
      <c r="J7" s="150">
        <f>(($D7/VLOOKUP(J$4,Optimize!$C$12:M$36,2,0))^VLOOKUP(J$4,Optimize!$C$12:M$36,3,0)*VLOOKUP(J$4,Optimize!$C$12:M$36,5,0))</f>
        <v>92.071370075385772</v>
      </c>
      <c r="K7" s="150">
        <f>(($D7/VLOOKUP(K$4,Optimize!$C$12:N$36,2,0))^VLOOKUP(K$4,Optimize!$C$12:N$36,3,0)*VLOOKUP(K$4,Optimize!$C$12:N$36,5,0))</f>
        <v>170.51604550988748</v>
      </c>
      <c r="L7" s="150">
        <f>(($D7/VLOOKUP(L$4,Optimize!$C$12:O$36,2,0))^VLOOKUP(L$4,Optimize!$C$12:O$36,3,0)*VLOOKUP(L$4,Optimize!$C$12:O$36,5,0))</f>
        <v>70.993264706613644</v>
      </c>
      <c r="M7" s="150">
        <f>(($D7/VLOOKUP(M$4,Optimize!$C$12:P$36,2,0))^VLOOKUP(M$4,Optimize!$C$12:P$36,3,0)*VLOOKUP(M$4,Optimize!$C$12:P$36,5,0))</f>
        <v>147.20157688381977</v>
      </c>
      <c r="N7" s="150">
        <f>(($D7/VLOOKUP(N$4,Optimize!$C$12:Q$36,2,0))^VLOOKUP(N$4,Optimize!$C$12:Q$36,3,0)*VLOOKUP(N$4,Optimize!$C$12:Q$36,5,0))</f>
        <v>184.68308564287761</v>
      </c>
      <c r="O7" s="150">
        <f>(($D7/VLOOKUP(O$4,Optimize!$C$12:R$36,2,0))^VLOOKUP(O$4,Optimize!$C$12:R$36,3,0)*VLOOKUP(O$4,Optimize!$C$12:R$36,5,0))</f>
        <v>640.18540194881018</v>
      </c>
      <c r="P7" s="150">
        <f>(($D7/VLOOKUP(P$4,Optimize!$C$12:S$36,2,0))^VLOOKUP(P$4,Optimize!$C$12:S$36,3,0)*VLOOKUP(P$4,Optimize!$C$12:S$36,5,0))</f>
        <v>145.2868578645359</v>
      </c>
      <c r="Q7" s="150">
        <f>(($D7/VLOOKUP(Q$4,Optimize!$C$12:T$36,2,0))^VLOOKUP(Q$4,Optimize!$C$12:T$36,3,0)*VLOOKUP(Q$4,Optimize!$C$12:T$36,5,0))</f>
        <v>369.82466851144829</v>
      </c>
      <c r="R7" s="150">
        <f>(($D7/VLOOKUP(R$4,Optimize!$C$12:U$36,2,0))^VLOOKUP(R$4,Optimize!$C$12:U$36,3,0)*VLOOKUP(R$4,Optimize!$C$12:U$36,5,0))</f>
        <v>52.728999175014565</v>
      </c>
      <c r="S7" s="150">
        <f>(($D7/VLOOKUP(S$4,Optimize!$C$12:V$36,2,0))^VLOOKUP(S$4,Optimize!$C$12:V$36,3,0)*VLOOKUP(S$4,Optimize!$C$12:V$36,5,0))</f>
        <v>242.81412767041007</v>
      </c>
      <c r="T7" s="150">
        <f>(($D7/VLOOKUP(T$4,Optimize!$C$12:W$36,2,0))^VLOOKUP(T$4,Optimize!$C$12:W$36,3,0)*VLOOKUP(T$4,Optimize!$C$12:W$36,5,0))</f>
        <v>315.23036595700574</v>
      </c>
      <c r="U7" s="150">
        <f>(($D7/VLOOKUP(U$4,Optimize!$C$12:U$36,2,0))^VLOOKUP(U$4,Optimize!$C$12:U$36,3,0)*VLOOKUP(U$4,Optimize!$C$12:U$36,5,0))</f>
        <v>290.6880671016973</v>
      </c>
      <c r="V7" s="150">
        <f>(($D7/VLOOKUP(V$4,Optimize!$C$12:V$36,2,0))^VLOOKUP(V$4,Optimize!$C$12:V$36,3,0)*VLOOKUP(V$4,Optimize!$C$12:V$36,5,0))</f>
        <v>162.03180457154073</v>
      </c>
      <c r="W7" s="150">
        <f>(($D7/VLOOKUP(W$4,Optimize!$C$12:W$36,2,0))^VLOOKUP(W$4,Optimize!$C$12:W$36,3,0)*VLOOKUP(W$4,Optimize!$C$12:W$36,5,0))</f>
        <v>1355.9035141225299</v>
      </c>
      <c r="X7" s="150">
        <f>(($D7/VLOOKUP(X$4,Optimize!$C$12:X$36,2,0))^VLOOKUP(X$4,Optimize!$C$12:X$36,3,0)*VLOOKUP(X$4,Optimize!$C$12:X$36,5,0))</f>
        <v>1896.7875469818173</v>
      </c>
      <c r="Y7" s="150">
        <f>(($D7/VLOOKUP(Y$4,Optimize!$C$12:Y$36,2,0))^VLOOKUP(Y$4,Optimize!$C$12:Y$36,3,0)*VLOOKUP(Y$4,Optimize!$C$12:Y$36,5,0))</f>
        <v>476.10721135781478</v>
      </c>
      <c r="AA7" s="210">
        <f>(E7-E6)/($D7-$D6)*Optimize!$H$9</f>
        <v>0.96659777755613729</v>
      </c>
      <c r="AB7" s="210">
        <f>(F7-F6)/($D7-$D6)*Optimize!$H$9</f>
        <v>0.38259600525141141</v>
      </c>
      <c r="AC7" s="210">
        <f>(G7-G6)/($D7-$D6)*Optimize!$H$9</f>
        <v>0.3202007699368109</v>
      </c>
      <c r="AD7" s="210">
        <f>(H7-H6)/($D7-$D6)*Optimize!$H$9</f>
        <v>5.3116455334763141E-2</v>
      </c>
      <c r="AE7" s="210">
        <f>(I7-I6)/($D7-$D6)*Optimize!$H$9</f>
        <v>7.637146083438566E-2</v>
      </c>
      <c r="AF7" s="210">
        <f>(J7-J6)/($D7-$D6)*Optimize!$H$9</f>
        <v>0.45883447963159635</v>
      </c>
      <c r="AG7" s="210">
        <f>(K7-K6)/($D7-$D6)*Optimize!$H$9</f>
        <v>0.8497607991095053</v>
      </c>
      <c r="AH7" s="210">
        <f>(L7-L6)/($D7-$D6)*Optimize!$H$9</f>
        <v>0.35379247253881768</v>
      </c>
      <c r="AI7" s="210">
        <f>(M7-M6)/($D7-$D6)*Optimize!$H$9</f>
        <v>0.73357395328359742</v>
      </c>
      <c r="AJ7" s="210">
        <f>(N7-N6)/($D7-$D6)*Optimize!$H$9</f>
        <v>0.92036175228331152</v>
      </c>
      <c r="AK7" s="210">
        <f>(O7-O6)/($D7-$D6)*Optimize!$H$9</f>
        <v>3.1903417482592071</v>
      </c>
      <c r="AL7" s="210">
        <f>(P7-P6)/($D7-$D6)*Optimize!$H$9</f>
        <v>0.72403201745561441</v>
      </c>
      <c r="AM7" s="210">
        <f>(Q7-Q6)/($D7-$D6)*Optimize!$H$9</f>
        <v>1.8430084095896626</v>
      </c>
      <c r="AN7" s="210">
        <f>(R7-R6)/($D7-$D6)*Optimize!$H$9</f>
        <v>0.26277313868744789</v>
      </c>
      <c r="AO7" s="210">
        <f>(P7-P6)/($D7-$D6)*Optimize!$H$9</f>
        <v>0.72403201745561441</v>
      </c>
      <c r="AP7" s="210">
        <f>(Q7-Q6)/($D7-$D6)*Optimize!$H$9</f>
        <v>1.8430084095896626</v>
      </c>
      <c r="AQ7" s="210">
        <f>(U7-U6)/($D7-$D6)*Optimize!$H$9</f>
        <v>1.4486339010108731</v>
      </c>
      <c r="AR7" s="210">
        <f>(V7-V6)/($D7-$D6)*Optimize!$H$9</f>
        <v>0.80747987863631132</v>
      </c>
      <c r="AS7" s="210">
        <f>(W7-W6)/($D7-$D6)*Optimize!$H$9</f>
        <v>6.7570981383645616</v>
      </c>
      <c r="AT7" s="210">
        <f>(X7-X6)/($D7-$D6)*Optimize!$H$9</f>
        <v>9.45257495764975</v>
      </c>
    </row>
    <row r="8" spans="1:46" x14ac:dyDescent="0.3">
      <c r="D8" s="148">
        <f t="shared" si="1"/>
        <v>750000</v>
      </c>
      <c r="E8" s="150">
        <f>(($D8/VLOOKUP(E$4,Optimize!$C$12:H$36,2,0))^VLOOKUP(E$4,Optimize!$C$12:H$36,3,0)*VLOOKUP(E$4,Optimize!$C$12:H$36,5,0))</f>
        <v>257.61920361220797</v>
      </c>
      <c r="F8" s="150">
        <f>(($D8/VLOOKUP(F$4,Optimize!$C$12:I$36,2,0))^VLOOKUP(F$4,Optimize!$C$12:I$36,3,0)*VLOOKUP(F$4,Optimize!$C$12:I$36,5,0))</f>
        <v>101.97010635311169</v>
      </c>
      <c r="G8" s="150">
        <f>(($D8/VLOOKUP(G$4,Optimize!$C$12:J$36,2,0))^VLOOKUP(G$4,Optimize!$C$12:J$36,3,0)*VLOOKUP(G$4,Optimize!$C$12:J$36,5,0))</f>
        <v>85.340427282687699</v>
      </c>
      <c r="H8" s="150">
        <f>(($D8/VLOOKUP(H$4,Optimize!$C$12:K$36,2,0))^VLOOKUP(H$4,Optimize!$C$12:K$36,3,0)*VLOOKUP(H$4,Optimize!$C$12:K$36,5,0))</f>
        <v>14.156683617297448</v>
      </c>
      <c r="I8" s="150">
        <f>(($D8/VLOOKUP(I$4,Optimize!$C$12:L$36,2,0))^VLOOKUP(I$4,Optimize!$C$12:L$36,3,0)*VLOOKUP(I$4,Optimize!$C$12:L$36,5,0))</f>
        <v>20.354645309240542</v>
      </c>
      <c r="J8" s="150">
        <f>(($D8/VLOOKUP(J$4,Optimize!$C$12:M$36,2,0))^VLOOKUP(J$4,Optimize!$C$12:M$36,3,0)*VLOOKUP(J$4,Optimize!$C$12:M$36,5,0))</f>
        <v>122.28930789740899</v>
      </c>
      <c r="K8" s="150">
        <f>(($D8/VLOOKUP(K$4,Optimize!$C$12:N$36,2,0))^VLOOKUP(K$4,Optimize!$C$12:N$36,3,0)*VLOOKUP(K$4,Optimize!$C$12:N$36,5,0))</f>
        <v>226.47962307646657</v>
      </c>
      <c r="L8" s="150">
        <f>(($D8/VLOOKUP(L$4,Optimize!$C$12:O$36,2,0))^VLOOKUP(L$4,Optimize!$C$12:O$36,3,0)*VLOOKUP(L$4,Optimize!$C$12:O$36,5,0))</f>
        <v>94.293342210949575</v>
      </c>
      <c r="M8" s="150">
        <f>(($D8/VLOOKUP(M$4,Optimize!$C$12:P$36,2,0))^VLOOKUP(M$4,Optimize!$C$12:P$36,3,0)*VLOOKUP(M$4,Optimize!$C$12:P$36,5,0))</f>
        <v>195.51331693870344</v>
      </c>
      <c r="N8" s="150">
        <f>(($D8/VLOOKUP(N$4,Optimize!$C$12:Q$36,2,0))^VLOOKUP(N$4,Optimize!$C$12:Q$36,3,0)*VLOOKUP(N$4,Optimize!$C$12:Q$36,5,0))</f>
        <v>245.29630334743098</v>
      </c>
      <c r="O8" s="150">
        <f>(($D8/VLOOKUP(O$4,Optimize!$C$12:R$36,2,0))^VLOOKUP(O$4,Optimize!$C$12:R$36,3,0)*VLOOKUP(O$4,Optimize!$C$12:R$36,5,0))</f>
        <v>850.2950446620315</v>
      </c>
      <c r="P8" s="150">
        <f>(($D8/VLOOKUP(P$4,Optimize!$C$12:S$36,2,0))^VLOOKUP(P$4,Optimize!$C$12:S$36,3,0)*VLOOKUP(P$4,Optimize!$C$12:S$36,5,0))</f>
        <v>192.97018476314753</v>
      </c>
      <c r="Q8" s="150">
        <f>(($D8/VLOOKUP(Q$4,Optimize!$C$12:T$36,2,0))^VLOOKUP(Q$4,Optimize!$C$12:T$36,3,0)*VLOOKUP(Q$4,Optimize!$C$12:T$36,5,0))</f>
        <v>491.20158327853818</v>
      </c>
      <c r="R8" s="150">
        <f>(($D8/VLOOKUP(R$4,Optimize!$C$12:U$36,2,0))^VLOOKUP(R$4,Optimize!$C$12:U$36,3,0)*VLOOKUP(R$4,Optimize!$C$12:U$36,5,0))</f>
        <v>70.034722085225383</v>
      </c>
      <c r="S8" s="150">
        <f>(($D8/VLOOKUP(S$4,Optimize!$C$12:V$36,2,0))^VLOOKUP(S$4,Optimize!$C$12:V$36,3,0)*VLOOKUP(S$4,Optimize!$C$12:V$36,5,0))</f>
        <v>322.50602544759766</v>
      </c>
      <c r="T8" s="150">
        <f>(($D8/VLOOKUP(T$4,Optimize!$C$12:W$36,2,0))^VLOOKUP(T$4,Optimize!$C$12:W$36,3,0)*VLOOKUP(T$4,Optimize!$C$12:W$36,5,0))</f>
        <v>418.68936293188597</v>
      </c>
      <c r="U8" s="150">
        <f>(($D8/VLOOKUP(U$4,Optimize!$C$12:U$36,2,0))^VLOOKUP(U$4,Optimize!$C$12:U$36,3,0)*VLOOKUP(U$4,Optimize!$C$12:U$36,5,0))</f>
        <v>386.09225116120547</v>
      </c>
      <c r="V8" s="150">
        <f>(($D8/VLOOKUP(V$4,Optimize!$C$12:V$36,2,0))^VLOOKUP(V$4,Optimize!$C$12:V$36,3,0)*VLOOKUP(V$4,Optimize!$C$12:V$36,5,0))</f>
        <v>215.21084374217637</v>
      </c>
      <c r="W8" s="150">
        <f>(($D8/VLOOKUP(W$4,Optimize!$C$12:W$36,2,0))^VLOOKUP(W$4,Optimize!$C$12:W$36,3,0)*VLOOKUP(W$4,Optimize!$C$12:W$36,5,0))</f>
        <v>1800.9127287010683</v>
      </c>
      <c r="X8" s="150">
        <f>(($D8/VLOOKUP(X$4,Optimize!$C$12:X$36,2,0))^VLOOKUP(X$4,Optimize!$C$12:X$36,3,0)*VLOOKUP(X$4,Optimize!$C$12:X$36,5,0))</f>
        <v>2519.3155718103249</v>
      </c>
      <c r="Y8" s="150">
        <f>(($D8/VLOOKUP(Y$4,Optimize!$C$12:Y$36,2,0))^VLOOKUP(Y$4,Optimize!$C$12:Y$36,3,0)*VLOOKUP(Y$4,Optimize!$C$12:Y$36,5,0))</f>
        <v>632.36618847141267</v>
      </c>
      <c r="AA8" s="210">
        <f>(E8-E7)/($D8-$D7)*Optimize!$H$9</f>
        <v>0.82522282370489353</v>
      </c>
      <c r="AB8" s="210">
        <f>(F8-F7)/($D8-$D7)*Optimize!$H$9</f>
        <v>0.32663736987895697</v>
      </c>
      <c r="AC8" s="210">
        <f>(G8-G7)/($D8-$D7)*Optimize!$H$9</f>
        <v>0.2733680851075514</v>
      </c>
      <c r="AD8" s="210">
        <f>(H8-H7)/($D8-$D7)*Optimize!$H$9</f>
        <v>4.5347622635106229E-2</v>
      </c>
      <c r="AE8" s="210">
        <f>(I8-I7)/($D8-$D7)*Optimize!$H$9</f>
        <v>6.5201342299340423E-2</v>
      </c>
      <c r="AF8" s="210">
        <f>(J8-J7)/($D8-$D7)*Optimize!$H$9</f>
        <v>0.39172517637281784</v>
      </c>
      <c r="AG8" s="210">
        <f>(K8-K7)/($D8-$D7)*Optimize!$H$9</f>
        <v>0.72547446559191686</v>
      </c>
      <c r="AH8" s="210">
        <f>(L8-L7)/($D8-$D7)*Optimize!$H$9</f>
        <v>0.30204665267509678</v>
      </c>
      <c r="AI8" s="210">
        <f>(M8-M7)/($D8-$D7)*Optimize!$H$9</f>
        <v>0.62628115145846608</v>
      </c>
      <c r="AJ8" s="210">
        <f>(N8-N7)/($D8-$D7)*Optimize!$H$9</f>
        <v>0.78574929684763084</v>
      </c>
      <c r="AK8" s="210">
        <f>(O8-O7)/($D8-$D7)*Optimize!$H$9</f>
        <v>2.7237211663557419</v>
      </c>
      <c r="AL8" s="210">
        <f>(P8-P7)/($D8-$D7)*Optimize!$H$9</f>
        <v>0.61813482274717135</v>
      </c>
      <c r="AM8" s="210">
        <f>(Q8-Q7)/($D8-$D7)*Optimize!$H$9</f>
        <v>1.5734493076517733</v>
      </c>
      <c r="AN8" s="210">
        <f>(R8-R7)/($D8-$D7)*Optimize!$H$9</f>
        <v>0.22433984076573094</v>
      </c>
      <c r="AO8" s="210">
        <f>(P8-P7)/($D8-$D7)*Optimize!$H$9</f>
        <v>0.61813482274717135</v>
      </c>
      <c r="AP8" s="210">
        <f>(Q8-Q7)/($D8-$D7)*Optimize!$H$9</f>
        <v>1.5734493076517733</v>
      </c>
      <c r="AQ8" s="210">
        <f>(U8-U7)/($D8-$D7)*Optimize!$H$9</f>
        <v>1.2367561627642989</v>
      </c>
      <c r="AR8" s="210">
        <f>(V8-V7)/($D8-$D7)*Optimize!$H$9</f>
        <v>0.68937756842136066</v>
      </c>
      <c r="AS8" s="210">
        <f>(W8-W7)/($D8-$D7)*Optimize!$H$9</f>
        <v>5.7688024277176018</v>
      </c>
      <c r="AT8" s="210">
        <f>(X8-X7)/($D8-$D7)*Optimize!$H$9</f>
        <v>8.0700377954064368</v>
      </c>
    </row>
    <row r="9" spans="1:46" x14ac:dyDescent="0.3">
      <c r="D9" s="148">
        <f t="shared" si="1"/>
        <v>1000000</v>
      </c>
      <c r="E9" s="150">
        <f>(($D9/VLOOKUP(E$4,Optimize!$C$12:H$36,2,0))^VLOOKUP(E$4,Optimize!$C$12:H$36,3,0)*VLOOKUP(E$4,Optimize!$C$12:H$36,5,0))</f>
        <v>315.09052873693804</v>
      </c>
      <c r="F9" s="150">
        <f>(($D9/VLOOKUP(F$4,Optimize!$C$12:I$36,2,0))^VLOOKUP(F$4,Optimize!$C$12:I$36,3,0)*VLOOKUP(F$4,Optimize!$C$12:I$36,5,0))</f>
        <v>124.718244120219</v>
      </c>
      <c r="G9" s="150">
        <f>(($D9/VLOOKUP(G$4,Optimize!$C$12:J$36,2,0))^VLOOKUP(G$4,Optimize!$C$12:J$36,3,0)*VLOOKUP(G$4,Optimize!$C$12:J$36,5,0))</f>
        <v>104.37871081852855</v>
      </c>
      <c r="H9" s="150">
        <f>(($D9/VLOOKUP(H$4,Optimize!$C$12:K$36,2,0))^VLOOKUP(H$4,Optimize!$C$12:K$36,3,0)*VLOOKUP(H$4,Optimize!$C$12:K$36,5,0))</f>
        <v>17.314846345268425</v>
      </c>
      <c r="I9" s="150">
        <f>(($D9/VLOOKUP(I$4,Optimize!$C$12:L$36,2,0))^VLOOKUP(I$4,Optimize!$C$12:L$36,3,0)*VLOOKUP(I$4,Optimize!$C$12:L$36,5,0))</f>
        <v>24.895488623572135</v>
      </c>
      <c r="J9" s="150">
        <f>(($D9/VLOOKUP(J$4,Optimize!$C$12:M$36,2,0))^VLOOKUP(J$4,Optimize!$C$12:M$36,3,0)*VLOOKUP(J$4,Optimize!$C$12:M$36,5,0))</f>
        <v>149.57038195906776</v>
      </c>
      <c r="K9" s="150">
        <f>(($D9/VLOOKUP(K$4,Optimize!$C$12:N$36,2,0))^VLOOKUP(K$4,Optimize!$C$12:N$36,3,0)*VLOOKUP(K$4,Optimize!$C$12:N$36,5,0))</f>
        <v>277.00413316519001</v>
      </c>
      <c r="L9" s="150">
        <f>(($D9/VLOOKUP(L$4,Optimize!$C$12:O$36,2,0))^VLOOKUP(L$4,Optimize!$C$12:O$36,3,0)*VLOOKUP(L$4,Optimize!$C$12:O$36,5,0))</f>
        <v>115.32889876619898</v>
      </c>
      <c r="M9" s="150">
        <f>(($D9/VLOOKUP(M$4,Optimize!$C$12:P$36,2,0))^VLOOKUP(M$4,Optimize!$C$12:P$36,3,0)*VLOOKUP(M$4,Optimize!$C$12:P$36,5,0))</f>
        <v>239.12966714259846</v>
      </c>
      <c r="N9" s="150">
        <f>(($D9/VLOOKUP(N$4,Optimize!$C$12:Q$36,2,0))^VLOOKUP(N$4,Optimize!$C$12:Q$36,3,0)*VLOOKUP(N$4,Optimize!$C$12:Q$36,5,0))</f>
        <v>300.01855775978242</v>
      </c>
      <c r="O9" s="150">
        <f>(($D9/VLOOKUP(O$4,Optimize!$C$12:R$36,2,0))^VLOOKUP(O$4,Optimize!$C$12:R$36,3,0)*VLOOKUP(O$4,Optimize!$C$12:R$36,5,0))</f>
        <v>1039.9842536904018</v>
      </c>
      <c r="P9" s="150">
        <f>(($D9/VLOOKUP(P$4,Optimize!$C$12:S$36,2,0))^VLOOKUP(P$4,Optimize!$C$12:S$36,3,0)*VLOOKUP(P$4,Optimize!$C$12:S$36,5,0))</f>
        <v>236.01919691907412</v>
      </c>
      <c r="Q9" s="150">
        <f>(($D9/VLOOKUP(Q$4,Optimize!$C$12:T$36,2,0))^VLOOKUP(Q$4,Optimize!$C$12:T$36,3,0)*VLOOKUP(Q$4,Optimize!$C$12:T$36,5,0))</f>
        <v>600.78194646014867</v>
      </c>
      <c r="R9" s="150">
        <f>(($D9/VLOOKUP(R$4,Optimize!$C$12:U$36,2,0))^VLOOKUP(R$4,Optimize!$C$12:U$36,3,0)*VLOOKUP(R$4,Optimize!$C$12:U$36,5,0))</f>
        <v>85.65851187474307</v>
      </c>
      <c r="S9" s="150">
        <f>(($D9/VLOOKUP(S$4,Optimize!$C$12:V$36,2,0))^VLOOKUP(S$4,Optimize!$C$12:V$36,3,0)*VLOOKUP(S$4,Optimize!$C$12:V$36,5,0))</f>
        <v>394.452714138879</v>
      </c>
      <c r="T9" s="150">
        <f>(($D9/VLOOKUP(T$4,Optimize!$C$12:W$36,2,0))^VLOOKUP(T$4,Optimize!$C$12:W$36,3,0)*VLOOKUP(T$4,Optimize!$C$12:W$36,5,0))</f>
        <v>512.09324030566199</v>
      </c>
      <c r="U9" s="150">
        <f>(($D9/VLOOKUP(U$4,Optimize!$C$12:U$36,2,0))^VLOOKUP(U$4,Optimize!$C$12:U$36,3,0)*VLOOKUP(U$4,Optimize!$C$12:U$36,5,0))</f>
        <v>472.22415819103162</v>
      </c>
      <c r="V9" s="150">
        <f>(($D9/VLOOKUP(V$4,Optimize!$C$12:V$36,2,0))^VLOOKUP(V$4,Optimize!$C$12:V$36,3,0)*VLOOKUP(V$4,Optimize!$C$12:V$36,5,0))</f>
        <v>263.22144309831833</v>
      </c>
      <c r="W9" s="150">
        <f>(($D9/VLOOKUP(W$4,Optimize!$C$12:W$36,2,0))^VLOOKUP(W$4,Optimize!$C$12:W$36,3,0)*VLOOKUP(W$4,Optimize!$C$12:W$36,5,0))</f>
        <v>2202.6717571477316</v>
      </c>
      <c r="X9" s="150">
        <f>(($D9/VLOOKUP(X$4,Optimize!$C$12:X$36,2,0))^VLOOKUP(X$4,Optimize!$C$12:X$36,3,0)*VLOOKUP(X$4,Optimize!$C$12:X$36,5,0))</f>
        <v>3081.3404608292935</v>
      </c>
      <c r="Y9" s="150">
        <f>(($D9/VLOOKUP(Y$4,Optimize!$C$12:Y$36,2,0))^VLOOKUP(Y$4,Optimize!$C$12:Y$36,3,0)*VLOOKUP(Y$4,Optimize!$C$12:Y$36,5,0))</f>
        <v>773.43844669573957</v>
      </c>
      <c r="AA9" s="210">
        <f>(E9-E8)/($D9-$D8)*Optimize!$H$9</f>
        <v>0.74501989856027528</v>
      </c>
      <c r="AB9" s="210">
        <f>(F9-F8)/($D9-$D8)*Optimize!$H$9</f>
        <v>0.29489167432460617</v>
      </c>
      <c r="AC9" s="210">
        <f>(G9-G8)/($D9-$D8)*Optimize!$H$9</f>
        <v>0.24679960028502171</v>
      </c>
      <c r="AD9" s="210">
        <f>(H9-H8)/($D9-$D8)*Optimize!$H$9</f>
        <v>4.0940313628114393E-2</v>
      </c>
      <c r="AE9" s="210">
        <f>(I9-I8)/($D9-$D8)*Optimize!$H$9</f>
        <v>5.8864461852571846E-2</v>
      </c>
      <c r="AF9" s="210">
        <f>(J9-J8)/($D9-$D8)*Optimize!$H$9</f>
        <v>0.35365363485044293</v>
      </c>
      <c r="AG9" s="210">
        <f>(K9-K8)/($D9-$D8)*Optimize!$H$9</f>
        <v>0.65496602522065372</v>
      </c>
      <c r="AH9" s="210">
        <f>(L9-L8)/($D9-$D8)*Optimize!$H$9</f>
        <v>0.27269091458980782</v>
      </c>
      <c r="AI9" s="210">
        <f>(M9-M8)/($D9-$D8)*Optimize!$H$9</f>
        <v>0.56541325145977195</v>
      </c>
      <c r="AJ9" s="210">
        <f>(N9-N8)/($D9-$D8)*Optimize!$H$9</f>
        <v>0.70938278076585648</v>
      </c>
      <c r="AK9" s="210">
        <f>(O9-O8)/($D9-$D8)*Optimize!$H$9</f>
        <v>2.4590042940820234</v>
      </c>
      <c r="AL9" s="210">
        <f>(P9-P8)/($D9-$D8)*Optimize!$H$9</f>
        <v>0.55805865968675317</v>
      </c>
      <c r="AM9" s="210">
        <f>(Q9-Q8)/($D9-$D8)*Optimize!$H$9</f>
        <v>1.4205266867360233</v>
      </c>
      <c r="AN9" s="210">
        <f>(R9-R8)/($D9-$D8)*Optimize!$H$9</f>
        <v>0.20253638242812663</v>
      </c>
      <c r="AO9" s="210">
        <f>(P9-P8)/($D9-$D8)*Optimize!$H$9</f>
        <v>0.55805865968675317</v>
      </c>
      <c r="AP9" s="210">
        <f>(Q9-Q8)/($D9-$D8)*Optimize!$H$9</f>
        <v>1.4205266867360233</v>
      </c>
      <c r="AQ9" s="210">
        <f>(U9-U8)/($D9-$D8)*Optimize!$H$9</f>
        <v>1.1165565523136272</v>
      </c>
      <c r="AR9" s="210">
        <f>(V9-V8)/($D9-$D8)*Optimize!$H$9</f>
        <v>0.6223773644422107</v>
      </c>
      <c r="AS9" s="210">
        <f>(W9-W8)/($D9-$D8)*Optimize!$H$9</f>
        <v>5.2081358828841449</v>
      </c>
      <c r="AT9" s="210">
        <f>(X9-X8)/($D9-$D8)*Optimize!$H$9</f>
        <v>7.285715526769466</v>
      </c>
    </row>
    <row r="10" spans="1:46" x14ac:dyDescent="0.3">
      <c r="D10" s="148">
        <f t="shared" si="1"/>
        <v>1250000</v>
      </c>
      <c r="E10" s="150">
        <f>(($D10/VLOOKUP(E$4,Optimize!$C$12:H$36,2,0))^VLOOKUP(E$4,Optimize!$C$12:H$36,3,0)*VLOOKUP(E$4,Optimize!$C$12:H$36,5,0))</f>
        <v>368.3599099060379</v>
      </c>
      <c r="F10" s="150">
        <f>(($D10/VLOOKUP(F$4,Optimize!$C$12:I$36,2,0))^VLOOKUP(F$4,Optimize!$C$12:I$36,3,0)*VLOOKUP(F$4,Optimize!$C$12:I$36,5,0))</f>
        <v>145.803180285747</v>
      </c>
      <c r="G10" s="150">
        <f>(($D10/VLOOKUP(G$4,Optimize!$C$12:J$36,2,0))^VLOOKUP(G$4,Optimize!$C$12:J$36,3,0)*VLOOKUP(G$4,Optimize!$C$12:J$36,5,0))</f>
        <v>122.02503409844383</v>
      </c>
      <c r="H10" s="150">
        <f>(($D10/VLOOKUP(H$4,Optimize!$C$12:K$36,2,0))^VLOOKUP(H$4,Optimize!$C$12:K$36,3,0)*VLOOKUP(H$4,Optimize!$C$12:K$36,5,0))</f>
        <v>20.242103960874349</v>
      </c>
      <c r="I10" s="150">
        <f>(($D10/VLOOKUP(I$4,Optimize!$C$12:L$36,2,0))^VLOOKUP(I$4,Optimize!$C$12:L$36,3,0)*VLOOKUP(I$4,Optimize!$C$12:L$36,5,0))</f>
        <v>29.104333866226959</v>
      </c>
      <c r="J10" s="150">
        <f>(($D10/VLOOKUP(J$4,Optimize!$C$12:M$36,2,0))^VLOOKUP(J$4,Optimize!$C$12:M$36,3,0)*VLOOKUP(J$4,Optimize!$C$12:M$36,5,0))</f>
        <v>174.85683445931843</v>
      </c>
      <c r="K10" s="150">
        <f>(($D10/VLOOKUP(K$4,Optimize!$C$12:N$36,2,0))^VLOOKUP(K$4,Optimize!$C$12:N$36,3,0)*VLOOKUP(K$4,Optimize!$C$12:N$36,5,0))</f>
        <v>323.83460697899335</v>
      </c>
      <c r="L10" s="150">
        <f>(($D10/VLOOKUP(L$4,Optimize!$C$12:O$36,2,0))^VLOOKUP(L$4,Optimize!$C$12:O$36,3,0)*VLOOKUP(L$4,Optimize!$C$12:O$36,5,0))</f>
        <v>134.82646695022476</v>
      </c>
      <c r="M10" s="150">
        <f>(($D10/VLOOKUP(M$4,Optimize!$C$12:P$36,2,0))^VLOOKUP(M$4,Optimize!$C$12:P$36,3,0)*VLOOKUP(M$4,Optimize!$C$12:P$36,5,0))</f>
        <v>279.55706252931918</v>
      </c>
      <c r="N10" s="150">
        <f>(($D10/VLOOKUP(N$4,Optimize!$C$12:Q$36,2,0))^VLOOKUP(N$4,Optimize!$C$12:Q$36,3,0)*VLOOKUP(N$4,Optimize!$C$12:Q$36,5,0))</f>
        <v>350.73986307852243</v>
      </c>
      <c r="O10" s="150">
        <f>(($D10/VLOOKUP(O$4,Optimize!$C$12:R$36,2,0))^VLOOKUP(O$4,Optimize!$C$12:R$36,3,0)*VLOOKUP(O$4,Optimize!$C$12:R$36,5,0))</f>
        <v>1215.8045737798943</v>
      </c>
      <c r="P10" s="150">
        <f>(($D10/VLOOKUP(P$4,Optimize!$C$12:S$36,2,0))^VLOOKUP(P$4,Optimize!$C$12:S$36,3,0)*VLOOKUP(P$4,Optimize!$C$12:S$36,5,0))</f>
        <v>275.92073446863208</v>
      </c>
      <c r="Q10" s="150">
        <f>(($D10/VLOOKUP(Q$4,Optimize!$C$12:T$36,2,0))^VLOOKUP(Q$4,Optimize!$C$12:T$36,3,0)*VLOOKUP(Q$4,Optimize!$C$12:T$36,5,0))</f>
        <v>702.350478633384</v>
      </c>
      <c r="R10" s="150">
        <f>(($D10/VLOOKUP(R$4,Optimize!$C$12:U$36,2,0))^VLOOKUP(R$4,Optimize!$C$12:U$36,3,0)*VLOOKUP(R$4,Optimize!$C$12:U$36,5,0))</f>
        <v>100.13998784206132</v>
      </c>
      <c r="S10" s="150">
        <f>(($D10/VLOOKUP(S$4,Optimize!$C$12:V$36,2,0))^VLOOKUP(S$4,Optimize!$C$12:V$36,3,0)*VLOOKUP(S$4,Optimize!$C$12:V$36,5,0))</f>
        <v>461.13911079725841</v>
      </c>
      <c r="T10" s="150">
        <f>(($D10/VLOOKUP(T$4,Optimize!$C$12:W$36,2,0))^VLOOKUP(T$4,Optimize!$C$12:W$36,3,0)*VLOOKUP(T$4,Optimize!$C$12:W$36,5,0))</f>
        <v>598.66801017040871</v>
      </c>
      <c r="U10" s="150">
        <f>(($D10/VLOOKUP(U$4,Optimize!$C$12:U$36,2,0))^VLOOKUP(U$4,Optimize!$C$12:U$36,3,0)*VLOOKUP(U$4,Optimize!$C$12:U$36,5,0))</f>
        <v>552.05863871563292</v>
      </c>
      <c r="V10" s="150">
        <f>(($D10/VLOOKUP(V$4,Optimize!$C$12:V$36,2,0))^VLOOKUP(V$4,Optimize!$C$12:V$36,3,0)*VLOOKUP(V$4,Optimize!$C$12:V$36,5,0))</f>
        <v>307.72180761416581</v>
      </c>
      <c r="W10" s="150">
        <f>(($D10/VLOOKUP(W$4,Optimize!$C$12:W$36,2,0))^VLOOKUP(W$4,Optimize!$C$12:W$36,3,0)*VLOOKUP(W$4,Optimize!$C$12:W$36,5,0))</f>
        <v>2575.0566774189269</v>
      </c>
      <c r="X10" s="150">
        <f>(($D10/VLOOKUP(X$4,Optimize!$C$12:X$36,2,0))^VLOOKUP(X$4,Optimize!$C$12:X$36,3,0)*VLOOKUP(X$4,Optimize!$C$12:X$36,5,0))</f>
        <v>3602.273604004547</v>
      </c>
      <c r="Y10" s="150">
        <f>(($D10/VLOOKUP(Y$4,Optimize!$C$12:Y$36,2,0))^VLOOKUP(Y$4,Optimize!$C$12:Y$36,3,0)*VLOOKUP(Y$4,Optimize!$C$12:Y$36,5,0))</f>
        <v>904.19638344816224</v>
      </c>
      <c r="AA10" s="210">
        <f>(E10-E9)/($D10-$D9)*Optimize!$H$9</f>
        <v>0.69054870178892214</v>
      </c>
      <c r="AB10" s="210">
        <f>(F10-F9)/($D10-$D9)*Optimize!$H$9</f>
        <v>0.27333103889807581</v>
      </c>
      <c r="AC10" s="210">
        <f>(G10-G9)/($D10-$D9)*Optimize!$H$9</f>
        <v>0.22875515661822063</v>
      </c>
      <c r="AD10" s="210">
        <f>(H10-H9)/($D10-$D9)*Optimize!$H$9</f>
        <v>3.7947013873534073E-2</v>
      </c>
      <c r="AE10" s="210">
        <f>(I10-I9)/($D10-$D9)*Optimize!$H$9</f>
        <v>5.4560660449941588E-2</v>
      </c>
      <c r="AF10" s="210">
        <f>(J10-J9)/($D10-$D9)*Optimize!$H$9</f>
        <v>0.32779669227740743</v>
      </c>
      <c r="AG10" s="210">
        <f>(K10-K9)/($D10-$D9)*Optimize!$H$9</f>
        <v>0.60707900460913999</v>
      </c>
      <c r="AH10" s="210">
        <f>(L10-L9)/($D10-$D9)*Optimize!$H$9</f>
        <v>0.25275345990559611</v>
      </c>
      <c r="AI10" s="210">
        <f>(M10-M9)/($D10-$D9)*Optimize!$H$9</f>
        <v>0.52407376974000608</v>
      </c>
      <c r="AJ10" s="210">
        <f>(N10-N9)/($D10-$D9)*Optimize!$H$9</f>
        <v>0.65751714722777443</v>
      </c>
      <c r="AK10" s="210">
        <f>(O10-O9)/($D10-$D9)*Optimize!$H$9</f>
        <v>2.2792172749387958</v>
      </c>
      <c r="AL10" s="210">
        <f>(P10-P9)/($D10-$D9)*Optimize!$H$9</f>
        <v>0.51725689973309641</v>
      </c>
      <c r="AM10" s="210">
        <f>(Q10-Q9)/($D10-$D9)*Optimize!$H$9</f>
        <v>1.3166666571962962</v>
      </c>
      <c r="AN10" s="210">
        <f>(R10-R9)/($D10-$D9)*Optimize!$H$9</f>
        <v>0.18772818849677042</v>
      </c>
      <c r="AO10" s="210">
        <f>(P10-P9)/($D10-$D9)*Optimize!$H$9</f>
        <v>0.51725689973309641</v>
      </c>
      <c r="AP10" s="210">
        <f>(Q10-Q9)/($D10-$D9)*Optimize!$H$9</f>
        <v>1.3166666571962962</v>
      </c>
      <c r="AQ10" s="210">
        <f>(U10-U9)/($D10-$D9)*Optimize!$H$9</f>
        <v>1.0349209184400217</v>
      </c>
      <c r="AR10" s="210">
        <f>(V10-V9)/($D10-$D9)*Optimize!$H$9</f>
        <v>0.57687302294733167</v>
      </c>
      <c r="AS10" s="210">
        <f>(W10-W9)/($D10-$D9)*Optimize!$H$9</f>
        <v>4.8273495508187176</v>
      </c>
      <c r="AT10" s="210">
        <f>(X10-X9)/($D10-$D9)*Optimize!$H$9</f>
        <v>6.7530295611386526</v>
      </c>
    </row>
    <row r="11" spans="1:46" x14ac:dyDescent="0.3">
      <c r="D11" s="148">
        <f t="shared" si="1"/>
        <v>1500000</v>
      </c>
      <c r="E11" s="150">
        <f>(($D11/VLOOKUP(E$4,Optimize!$C$12:H$36,2,0))^VLOOKUP(E$4,Optimize!$C$12:H$36,3,0)*VLOOKUP(E$4,Optimize!$C$12:H$36,5,0))</f>
        <v>418.50363096280182</v>
      </c>
      <c r="F11" s="150">
        <f>(($D11/VLOOKUP(F$4,Optimize!$C$12:I$36,2,0))^VLOOKUP(F$4,Optimize!$C$12:I$36,3,0)*VLOOKUP(F$4,Optimize!$C$12:I$36,5,0))</f>
        <v>165.65092648403038</v>
      </c>
      <c r="G11" s="150">
        <f>(($D11/VLOOKUP(G$4,Optimize!$C$12:J$36,2,0))^VLOOKUP(G$4,Optimize!$C$12:J$36,3,0)*VLOOKUP(G$4,Optimize!$C$12:J$36,5,0))</f>
        <v>138.63593313285631</v>
      </c>
      <c r="H11" s="150">
        <f>(($D11/VLOOKUP(H$4,Optimize!$C$12:K$36,2,0))^VLOOKUP(H$4,Optimize!$C$12:K$36,3,0)*VLOOKUP(H$4,Optimize!$C$12:K$36,5,0))</f>
        <v>22.997600385213829</v>
      </c>
      <c r="I11" s="150">
        <f>(($D11/VLOOKUP(I$4,Optimize!$C$12:L$36,2,0))^VLOOKUP(I$4,Optimize!$C$12:L$36,3,0)*VLOOKUP(I$4,Optimize!$C$12:L$36,5,0))</f>
        <v>33.066218858823682</v>
      </c>
      <c r="J11" s="150">
        <f>(($D11/VLOOKUP(J$4,Optimize!$C$12:M$36,2,0))^VLOOKUP(J$4,Optimize!$C$12:M$36,3,0)*VLOOKUP(J$4,Optimize!$C$12:M$36,5,0))</f>
        <v>198.65956677683189</v>
      </c>
      <c r="K11" s="150">
        <f>(($D11/VLOOKUP(K$4,Optimize!$C$12:N$36,2,0))^VLOOKUP(K$4,Optimize!$C$12:N$36,3,0)*VLOOKUP(K$4,Optimize!$C$12:N$36,5,0))</f>
        <v>367.91723313943385</v>
      </c>
      <c r="L11" s="150">
        <f>(($D11/VLOOKUP(L$4,Optimize!$C$12:O$36,2,0))^VLOOKUP(L$4,Optimize!$C$12:O$36,3,0)*VLOOKUP(L$4,Optimize!$C$12:O$36,5,0))</f>
        <v>153.17998634256477</v>
      </c>
      <c r="M11" s="150">
        <f>(($D11/VLOOKUP(M$4,Optimize!$C$12:P$36,2,0))^VLOOKUP(M$4,Optimize!$C$12:P$36,3,0)*VLOOKUP(M$4,Optimize!$C$12:P$36,5,0))</f>
        <v>317.61232040603608</v>
      </c>
      <c r="N11" s="150">
        <f>(($D11/VLOOKUP(N$4,Optimize!$C$12:Q$36,2,0))^VLOOKUP(N$4,Optimize!$C$12:Q$36,3,0)*VLOOKUP(N$4,Optimize!$C$12:Q$36,5,0))</f>
        <v>398.48502042255382</v>
      </c>
      <c r="O11" s="150">
        <f>(($D11/VLOOKUP(O$4,Optimize!$C$12:R$36,2,0))^VLOOKUP(O$4,Optimize!$C$12:R$36,3,0)*VLOOKUP(O$4,Optimize!$C$12:R$36,5,0))</f>
        <v>1381.3083752731347</v>
      </c>
      <c r="P11" s="150">
        <f>(($D11/VLOOKUP(P$4,Optimize!$C$12:S$36,2,0))^VLOOKUP(P$4,Optimize!$C$12:S$36,3,0)*VLOOKUP(P$4,Optimize!$C$12:S$36,5,0))</f>
        <v>313.48098999834417</v>
      </c>
      <c r="Q11" s="150">
        <f>(($D11/VLOOKUP(Q$4,Optimize!$C$12:T$36,2,0))^VLOOKUP(Q$4,Optimize!$C$12:T$36,3,0)*VLOOKUP(Q$4,Optimize!$C$12:T$36,5,0))</f>
        <v>797.959326223939</v>
      </c>
      <c r="R11" s="150">
        <f>(($D11/VLOOKUP(R$4,Optimize!$C$12:U$36,2,0))^VLOOKUP(R$4,Optimize!$C$12:U$36,3,0)*VLOOKUP(R$4,Optimize!$C$12:U$36,5,0))</f>
        <v>113.77174168373459</v>
      </c>
      <c r="S11" s="150">
        <f>(($D11/VLOOKUP(S$4,Optimize!$C$12:V$36,2,0))^VLOOKUP(S$4,Optimize!$C$12:V$36,3,0)*VLOOKUP(S$4,Optimize!$C$12:V$36,5,0))</f>
        <v>523.91258401827258</v>
      </c>
      <c r="T11" s="150">
        <f>(($D11/VLOOKUP(T$4,Optimize!$C$12:W$36,2,0))^VLOOKUP(T$4,Optimize!$C$12:W$36,3,0)*VLOOKUP(T$4,Optimize!$C$12:W$36,5,0))</f>
        <v>680.16287674058003</v>
      </c>
      <c r="U11" s="150">
        <f>(($D11/VLOOKUP(U$4,Optimize!$C$12:U$36,2,0))^VLOOKUP(U$4,Optimize!$C$12:U$36,3,0)*VLOOKUP(U$4,Optimize!$C$12:U$36,5,0))</f>
        <v>627.20871244052546</v>
      </c>
      <c r="V11" s="150">
        <f>(($D11/VLOOKUP(V$4,Optimize!$C$12:V$36,2,0))^VLOOKUP(V$4,Optimize!$C$12:V$36,3,0)*VLOOKUP(V$4,Optimize!$C$12:V$36,5,0))</f>
        <v>349.6110471028602</v>
      </c>
      <c r="W11" s="150">
        <f>(($D11/VLOOKUP(W$4,Optimize!$C$12:W$36,2,0))^VLOOKUP(W$4,Optimize!$C$12:W$36,3,0)*VLOOKUP(W$4,Optimize!$C$12:W$36,5,0))</f>
        <v>2925.5913590317796</v>
      </c>
      <c r="X11" s="150">
        <f>(($D11/VLOOKUP(X$4,Optimize!$C$12:X$36,2,0))^VLOOKUP(X$4,Optimize!$C$12:X$36,3,0)*VLOOKUP(X$4,Optimize!$C$12:X$36,5,0))</f>
        <v>4092.6402207610327</v>
      </c>
      <c r="Y11" s="150">
        <f>(($D11/VLOOKUP(Y$4,Optimize!$C$12:Y$36,2,0))^VLOOKUP(Y$4,Optimize!$C$12:Y$36,3,0)*VLOOKUP(Y$4,Optimize!$C$12:Y$36,5,0))</f>
        <v>1027.2819039211277</v>
      </c>
      <c r="AA11" s="210">
        <f>(E11-E10)/($D11-$D10)*Optimize!$H$9</f>
        <v>0.6500297303753958</v>
      </c>
      <c r="AB11" s="210">
        <f>(F11-F10)/($D11-$D10)*Optimize!$H$9</f>
        <v>0.25729293394928693</v>
      </c>
      <c r="AC11" s="210">
        <f>(G11-G10)/($D11-$D10)*Optimize!$H$9</f>
        <v>0.21533260781362726</v>
      </c>
      <c r="AD11" s="210">
        <f>(H11-H10)/($D11-$D10)*Optimize!$H$9</f>
        <v>3.5720416435312582E-2</v>
      </c>
      <c r="AE11" s="210">
        <f>(I11-I10)/($D11-$D10)*Optimize!$H$9</f>
        <v>5.1359232606623333E-2</v>
      </c>
      <c r="AF11" s="210">
        <f>(J11-J10)/($D11-$D10)*Optimize!$H$9</f>
        <v>0.30856273416637275</v>
      </c>
      <c r="AG11" s="210">
        <f>(K11-K10)/($D11-$D10)*Optimize!$H$9</f>
        <v>0.57145774173544728</v>
      </c>
      <c r="AH11" s="210">
        <f>(L11-L10)/($D11-$D10)*Optimize!$H$9</f>
        <v>0.23792277498785841</v>
      </c>
      <c r="AI11" s="210">
        <f>(M11-M10)/($D11-$D10)*Optimize!$H$9</f>
        <v>0.49332296238975754</v>
      </c>
      <c r="AJ11" s="210">
        <f>(N11-N10)/($D11-$D10)*Optimize!$H$9</f>
        <v>0.61893635137165659</v>
      </c>
      <c r="AK11" s="210">
        <f>(O11-O10)/($D11-$D10)*Optimize!$H$9</f>
        <v>2.1454808138185073</v>
      </c>
      <c r="AL11" s="210">
        <f>(P11-P10)/($D11-$D10)*Optimize!$H$9</f>
        <v>0.48690608236215704</v>
      </c>
      <c r="AM11" s="210">
        <f>(Q11-Q10)/($D11-$D10)*Optimize!$H$9</f>
        <v>1.2394092841741251</v>
      </c>
      <c r="AN11" s="210">
        <f>(R11-R10)/($D11-$D10)*Optimize!$H$9</f>
        <v>0.17671295802351253</v>
      </c>
      <c r="AO11" s="210">
        <f>(P11-P10)/($D11-$D10)*Optimize!$H$9</f>
        <v>0.48690608236215704</v>
      </c>
      <c r="AP11" s="210">
        <f>(Q11-Q10)/($D11-$D10)*Optimize!$H$9</f>
        <v>1.2394092841741251</v>
      </c>
      <c r="AQ11" s="210">
        <f>(U11-U10)/($D11-$D10)*Optimize!$H$9</f>
        <v>0.97419539538726807</v>
      </c>
      <c r="AR11" s="210">
        <f>(V11-V10)/($D11-$D10)*Optimize!$H$9</f>
        <v>0.54302414094163876</v>
      </c>
      <c r="AS11" s="210">
        <f>(W11-W10)/($D11-$D10)*Optimize!$H$9</f>
        <v>4.5440976412198646</v>
      </c>
      <c r="AT11" s="210">
        <f>(X11-X10)/($D11-$D10)*Optimize!$H$9</f>
        <v>6.3567855148698937</v>
      </c>
    </row>
    <row r="12" spans="1:46" x14ac:dyDescent="0.3">
      <c r="D12" s="148">
        <f t="shared" si="1"/>
        <v>1750000</v>
      </c>
      <c r="E12" s="150">
        <f>(($D12/VLOOKUP(E$4,Optimize!$C$12:H$36,2,0))^VLOOKUP(E$4,Optimize!$C$12:H$36,3,0)*VLOOKUP(E$4,Optimize!$C$12:H$36,5,0))</f>
        <v>466.18895832597127</v>
      </c>
      <c r="F12" s="150">
        <f>(($D12/VLOOKUP(F$4,Optimize!$C$12:I$36,2,0))^VLOOKUP(F$4,Optimize!$C$12:I$36,3,0)*VLOOKUP(F$4,Optimize!$C$12:I$36,5,0))</f>
        <v>184.52559822637747</v>
      </c>
      <c r="G12" s="150">
        <f>(($D12/VLOOKUP(G$4,Optimize!$C$12:J$36,2,0))^VLOOKUP(G$4,Optimize!$C$12:J$36,3,0)*VLOOKUP(G$4,Optimize!$C$12:J$36,5,0))</f>
        <v>154.43245045465301</v>
      </c>
      <c r="H12" s="150">
        <f>(($D12/VLOOKUP(H$4,Optimize!$C$12:K$36,2,0))^VLOOKUP(H$4,Optimize!$C$12:K$36,3,0)*VLOOKUP(H$4,Optimize!$C$12:K$36,5,0))</f>
        <v>25.618003224762305</v>
      </c>
      <c r="I12" s="150">
        <f>(($D12/VLOOKUP(I$4,Optimize!$C$12:L$36,2,0))^VLOOKUP(I$4,Optimize!$C$12:L$36,3,0)*VLOOKUP(I$4,Optimize!$C$12:L$36,5,0))</f>
        <v>36.833864714888819</v>
      </c>
      <c r="J12" s="150">
        <f>(($D12/VLOOKUP(J$4,Optimize!$C$12:M$36,2,0))^VLOOKUP(J$4,Optimize!$C$12:M$36,3,0)*VLOOKUP(J$4,Optimize!$C$12:M$36,5,0))</f>
        <v>221.29532373259576</v>
      </c>
      <c r="K12" s="150">
        <f>(($D12/VLOOKUP(K$4,Optimize!$C$12:N$36,2,0))^VLOOKUP(K$4,Optimize!$C$12:N$36,3,0)*VLOOKUP(K$4,Optimize!$C$12:N$36,5,0))</f>
        <v>409.83862260132082</v>
      </c>
      <c r="L12" s="150">
        <f>(($D12/VLOOKUP(L$4,Optimize!$C$12:O$36,2,0))^VLOOKUP(L$4,Optimize!$C$12:O$36,3,0)*VLOOKUP(L$4,Optimize!$C$12:O$36,5,0))</f>
        <v>170.63368866153041</v>
      </c>
      <c r="M12" s="150">
        <f>(($D12/VLOOKUP(M$4,Optimize!$C$12:P$36,2,0))^VLOOKUP(M$4,Optimize!$C$12:P$36,3,0)*VLOOKUP(M$4,Optimize!$C$12:P$36,5,0))</f>
        <v>353.80184506629848</v>
      </c>
      <c r="N12" s="150">
        <f>(($D12/VLOOKUP(N$4,Optimize!$C$12:Q$36,2,0))^VLOOKUP(N$4,Optimize!$C$12:Q$36,3,0)*VLOOKUP(N$4,Optimize!$C$12:Q$36,5,0))</f>
        <v>443.88937833565802</v>
      </c>
      <c r="O12" s="150">
        <f>(($D12/VLOOKUP(O$4,Optimize!$C$12:R$36,2,0))^VLOOKUP(O$4,Optimize!$C$12:R$36,3,0)*VLOOKUP(O$4,Optimize!$C$12:R$36,5,0))</f>
        <v>1538.6980302036118</v>
      </c>
      <c r="P12" s="150">
        <f>(($D12/VLOOKUP(P$4,Optimize!$C$12:S$36,2,0))^VLOOKUP(P$4,Optimize!$C$12:S$36,3,0)*VLOOKUP(P$4,Optimize!$C$12:S$36,5,0))</f>
        <v>349.19978076680508</v>
      </c>
      <c r="Q12" s="150">
        <f>(($D12/VLOOKUP(Q$4,Optimize!$C$12:T$36,2,0))^VLOOKUP(Q$4,Optimize!$C$12:T$36,3,0)*VLOOKUP(Q$4,Optimize!$C$12:T$36,5,0))</f>
        <v>888.88076364598339</v>
      </c>
      <c r="R12" s="150">
        <f>(($D12/VLOOKUP(R$4,Optimize!$C$12:U$36,2,0))^VLOOKUP(R$4,Optimize!$C$12:U$36,3,0)*VLOOKUP(R$4,Optimize!$C$12:U$36,5,0))</f>
        <v>126.73517221451782</v>
      </c>
      <c r="S12" s="150">
        <f>(($D12/VLOOKUP(S$4,Optimize!$C$12:V$36,2,0))^VLOOKUP(S$4,Optimize!$C$12:V$36,3,0)*VLOOKUP(S$4,Optimize!$C$12:V$36,5,0))</f>
        <v>583.60846532071207</v>
      </c>
      <c r="T12" s="150">
        <f>(($D12/VLOOKUP(T$4,Optimize!$C$12:W$36,2,0))^VLOOKUP(T$4,Optimize!$C$12:W$36,3,0)*VLOOKUP(T$4,Optimize!$C$12:W$36,5,0))</f>
        <v>757.6622985807993</v>
      </c>
      <c r="U12" s="150">
        <f>(($D12/VLOOKUP(U$4,Optimize!$C$12:U$36,2,0))^VLOOKUP(U$4,Optimize!$C$12:U$36,3,0)*VLOOKUP(U$4,Optimize!$C$12:U$36,5,0))</f>
        <v>698.67440727560063</v>
      </c>
      <c r="V12" s="150">
        <f>(($D12/VLOOKUP(V$4,Optimize!$C$12:V$36,2,0))^VLOOKUP(V$4,Optimize!$C$12:V$36,3,0)*VLOOKUP(V$4,Optimize!$C$12:V$36,5,0))</f>
        <v>389.44658495118574</v>
      </c>
      <c r="W12" s="150">
        <f>(($D12/VLOOKUP(W$4,Optimize!$C$12:W$36,2,0))^VLOOKUP(W$4,Optimize!$C$12:W$36,3,0)*VLOOKUP(W$4,Optimize!$C$12:W$36,5,0))</f>
        <v>3258.9403944161113</v>
      </c>
      <c r="X12" s="150">
        <f>(($D12/VLOOKUP(X$4,Optimize!$C$12:X$36,2,0))^VLOOKUP(X$4,Optimize!$C$12:X$36,3,0)*VLOOKUP(X$4,Optimize!$C$12:X$36,5,0))</f>
        <v>4558.9656580282908</v>
      </c>
      <c r="Y12" s="150">
        <f>(($D12/VLOOKUP(Y$4,Optimize!$C$12:Y$36,2,0))^VLOOKUP(Y$4,Optimize!$C$12:Y$36,3,0)*VLOOKUP(Y$4,Optimize!$C$12:Y$36,5,0))</f>
        <v>1144.3329167642949</v>
      </c>
      <c r="AA12" s="210">
        <f>(E12-E11)/($D12-$D11)*Optimize!$H$9</f>
        <v>0.61816075543444993</v>
      </c>
      <c r="AB12" s="210">
        <f>(F12-F11)/($D12-$D11)*Optimize!$H$9</f>
        <v>0.24467864620005086</v>
      </c>
      <c r="AC12" s="210">
        <f>(G12-G11)/($D12-$D11)*Optimize!$H$9</f>
        <v>0.20477550686623192</v>
      </c>
      <c r="AD12" s="210">
        <f>(H12-H11)/($D12-$D11)*Optimize!$H$9</f>
        <v>3.3969153372929682E-2</v>
      </c>
      <c r="AE12" s="210">
        <f>(I12-I11)/($D12-$D11)*Optimize!$H$9</f>
        <v>4.8841246089327467E-2</v>
      </c>
      <c r="AF12" s="210">
        <f>(J12-J11)/($D12-$D11)*Optimize!$H$9</f>
        <v>0.29343484449711388</v>
      </c>
      <c r="AG12" s="210">
        <f>(K12-K11)/($D12-$D11)*Optimize!$H$9</f>
        <v>0.54344091173498099</v>
      </c>
      <c r="AH12" s="210">
        <f>(L12-L11)/($D12-$D11)*Optimize!$H$9</f>
        <v>0.22625814704908626</v>
      </c>
      <c r="AI12" s="210">
        <f>(M12-M11)/($D12-$D11)*Optimize!$H$9</f>
        <v>0.46913684229166125</v>
      </c>
      <c r="AJ12" s="210">
        <f>(N12-N11)/($D12-$D11)*Optimize!$H$9</f>
        <v>0.58859178996134565</v>
      </c>
      <c r="AK12" s="210">
        <f>(O12-O11)/($D12-$D11)*Optimize!$H$9</f>
        <v>2.0402944337242035</v>
      </c>
      <c r="AL12" s="210">
        <f>(P12-P11)/($D12-$D11)*Optimize!$H$9</f>
        <v>0.46303456231886264</v>
      </c>
      <c r="AM12" s="210">
        <f>(Q12-Q11)/($D12-$D11)*Optimize!$H$9</f>
        <v>1.1786448274528816</v>
      </c>
      <c r="AN12" s="210">
        <f>(R12-R11)/($D12-$D11)*Optimize!$H$9</f>
        <v>0.16804926070656107</v>
      </c>
      <c r="AO12" s="210">
        <f>(P12-P11)/($D12-$D11)*Optimize!$H$9</f>
        <v>0.46303456231886264</v>
      </c>
      <c r="AP12" s="210">
        <f>(Q12-Q11)/($D12-$D11)*Optimize!$H$9</f>
        <v>1.1786448274528816</v>
      </c>
      <c r="AQ12" s="210">
        <f>(U12-U11)/($D12-$D11)*Optimize!$H$9</f>
        <v>0.92643356667021637</v>
      </c>
      <c r="AR12" s="210">
        <f>(V12-V11)/($D12-$D11)*Optimize!$H$9</f>
        <v>0.51640132365910707</v>
      </c>
      <c r="AS12" s="210">
        <f>(W12-W11)/($D12-$D11)*Optimize!$H$9</f>
        <v>4.3213143944080388</v>
      </c>
      <c r="AT12" s="210">
        <f>(X12-X11)/($D12-$D11)*Optimize!$H$9</f>
        <v>6.0451317107256362</v>
      </c>
    </row>
    <row r="13" spans="1:46" x14ac:dyDescent="0.3">
      <c r="D13" s="148">
        <f t="shared" si="1"/>
        <v>2000000</v>
      </c>
      <c r="E13" s="150">
        <f>(($D13/VLOOKUP(E$4,Optimize!$C$12:H$36,2,0))^VLOOKUP(E$4,Optimize!$C$12:H$36,3,0)*VLOOKUP(E$4,Optimize!$C$12:H$36,5,0))</f>
        <v>511.86607407146232</v>
      </c>
      <c r="F13" s="150">
        <f>(($D13/VLOOKUP(F$4,Optimize!$C$12:I$36,2,0))^VLOOKUP(F$4,Optimize!$C$12:I$36,3,0)*VLOOKUP(F$4,Optimize!$C$12:I$36,5,0))</f>
        <v>202.60538531197975</v>
      </c>
      <c r="G13" s="150">
        <f>(($D13/VLOOKUP(G$4,Optimize!$C$12:J$36,2,0))^VLOOKUP(G$4,Optimize!$C$12:J$36,3,0)*VLOOKUP(G$4,Optimize!$C$12:J$36,5,0))</f>
        <v>169.5637159818487</v>
      </c>
      <c r="H13" s="150">
        <f>(($D13/VLOOKUP(H$4,Optimize!$C$12:K$36,2,0))^VLOOKUP(H$4,Optimize!$C$12:K$36,3,0)*VLOOKUP(H$4,Optimize!$C$12:K$36,5,0))</f>
        <v>28.128050872968569</v>
      </c>
      <c r="I13" s="150">
        <f>(($D13/VLOOKUP(I$4,Optimize!$C$12:L$36,2,0))^VLOOKUP(I$4,Optimize!$C$12:L$36,3,0)*VLOOKUP(I$4,Optimize!$C$12:L$36,5,0))</f>
        <v>40.442840585911732</v>
      </c>
      <c r="J13" s="150">
        <f>(($D13/VLOOKUP(J$4,Optimize!$C$12:M$36,2,0))^VLOOKUP(J$4,Optimize!$C$12:M$36,3,0)*VLOOKUP(J$4,Optimize!$C$12:M$36,5,0))</f>
        <v>242.9778023403405</v>
      </c>
      <c r="K13" s="150">
        <f>(($D13/VLOOKUP(K$4,Optimize!$C$12:N$36,2,0))^VLOOKUP(K$4,Optimize!$C$12:N$36,3,0)*VLOOKUP(K$4,Optimize!$C$12:N$36,5,0))</f>
        <v>449.99454192801471</v>
      </c>
      <c r="L13" s="150">
        <f>(($D13/VLOOKUP(L$4,Optimize!$C$12:O$36,2,0))^VLOOKUP(L$4,Optimize!$C$12:O$36,3,0)*VLOOKUP(L$4,Optimize!$C$12:O$36,5,0))</f>
        <v>187.35234878394164</v>
      </c>
      <c r="M13" s="150">
        <f>(($D13/VLOOKUP(M$4,Optimize!$C$12:P$36,2,0))^VLOOKUP(M$4,Optimize!$C$12:P$36,3,0)*VLOOKUP(M$4,Optimize!$C$12:P$36,5,0))</f>
        <v>388.46729035288911</v>
      </c>
      <c r="N13" s="150">
        <f>(($D13/VLOOKUP(N$4,Optimize!$C$12:Q$36,2,0))^VLOOKUP(N$4,Optimize!$C$12:Q$36,3,0)*VLOOKUP(N$4,Optimize!$C$12:Q$36,5,0))</f>
        <v>487.3815849834499</v>
      </c>
      <c r="O13" s="150">
        <f>(($D13/VLOOKUP(O$4,Optimize!$C$12:R$36,2,0))^VLOOKUP(O$4,Optimize!$C$12:R$36,3,0)*VLOOKUP(O$4,Optimize!$C$12:R$36,5,0))</f>
        <v>1689.4594044655601</v>
      </c>
      <c r="P13" s="150">
        <f>(($D13/VLOOKUP(P$4,Optimize!$C$12:S$36,2,0))^VLOOKUP(P$4,Optimize!$C$12:S$36,3,0)*VLOOKUP(P$4,Optimize!$C$12:S$36,5,0))</f>
        <v>383.41431656718436</v>
      </c>
      <c r="Q13" s="150">
        <f>(($D13/VLOOKUP(Q$4,Optimize!$C$12:T$36,2,0))^VLOOKUP(Q$4,Optimize!$C$12:T$36,3,0)*VLOOKUP(Q$4,Optimize!$C$12:T$36,5,0))</f>
        <v>975.97315139963848</v>
      </c>
      <c r="R13" s="150">
        <f>(($D13/VLOOKUP(R$4,Optimize!$C$12:U$36,2,0))^VLOOKUP(R$4,Optimize!$C$12:U$36,3,0)*VLOOKUP(R$4,Optimize!$C$12:U$36,5,0))</f>
        <v>139.15266307713827</v>
      </c>
      <c r="S13" s="150">
        <f>(($D13/VLOOKUP(S$4,Optimize!$C$12:V$36,2,0))^VLOOKUP(S$4,Optimize!$C$12:V$36,3,0)*VLOOKUP(S$4,Optimize!$C$12:V$36,5,0))</f>
        <v>640.79032461705117</v>
      </c>
      <c r="T13" s="150">
        <f>(($D13/VLOOKUP(T$4,Optimize!$C$12:W$36,2,0))^VLOOKUP(T$4,Optimize!$C$12:W$36,3,0)*VLOOKUP(T$4,Optimize!$C$12:W$36,5,0))</f>
        <v>831.89792319220692</v>
      </c>
      <c r="U13" s="150">
        <f>(($D13/VLOOKUP(U$4,Optimize!$C$12:U$36,2,0))^VLOOKUP(U$4,Optimize!$C$12:U$36,3,0)*VLOOKUP(U$4,Optimize!$C$12:U$36,5,0))</f>
        <v>767.13040821594291</v>
      </c>
      <c r="V13" s="150">
        <f>(($D13/VLOOKUP(V$4,Optimize!$C$12:V$36,2,0))^VLOOKUP(V$4,Optimize!$C$12:V$36,3,0)*VLOOKUP(V$4,Optimize!$C$12:V$36,5,0))</f>
        <v>427.60449585791116</v>
      </c>
      <c r="W13" s="150">
        <f>(($D13/VLOOKUP(W$4,Optimize!$C$12:W$36,2,0))^VLOOKUP(W$4,Optimize!$C$12:W$36,3,0)*VLOOKUP(W$4,Optimize!$C$12:W$36,5,0))</f>
        <v>3578.2508262588894</v>
      </c>
      <c r="X13" s="150">
        <f>(($D13/VLOOKUP(X$4,Optimize!$C$12:X$36,2,0))^VLOOKUP(X$4,Optimize!$C$12:X$36,3,0)*VLOOKUP(X$4,Optimize!$C$12:X$36,5,0))</f>
        <v>5005.6523465960418</v>
      </c>
      <c r="Y13" s="150">
        <f>(($D13/VLOOKUP(Y$4,Optimize!$C$12:Y$36,2,0))^VLOOKUP(Y$4,Optimize!$C$12:Y$36,3,0)*VLOOKUP(Y$4,Optimize!$C$12:Y$36,5,0))</f>
        <v>1256.454463525318</v>
      </c>
      <c r="AA13" s="210">
        <f>(E13-E12)/($D13-$D12)*Optimize!$H$9</f>
        <v>0.59212764044287425</v>
      </c>
      <c r="AB13" s="210">
        <f>(F13-F12)/($D13-$D12)*Optimize!$H$9</f>
        <v>0.23437429207127664</v>
      </c>
      <c r="AC13" s="210">
        <f>(G13-G12)/($D13-$D12)*Optimize!$H$9</f>
        <v>0.19615162663630811</v>
      </c>
      <c r="AD13" s="210">
        <f>(H13-H12)/($D13-$D12)*Optimize!$H$9</f>
        <v>3.2538582331093788E-2</v>
      </c>
      <c r="AE13" s="210">
        <f>(I13-I12)/($D13-$D12)*Optimize!$H$9</f>
        <v>4.678435431061588E-2</v>
      </c>
      <c r="AF13" s="210">
        <f>(J13-J12)/($D13-$D12)*Optimize!$H$9</f>
        <v>0.28107718027761758</v>
      </c>
      <c r="AG13" s="210">
        <f>(K13-K12)/($D13-$D12)*Optimize!$H$9</f>
        <v>0.52055453529980866</v>
      </c>
      <c r="AH13" s="210">
        <f>(L13-L12)/($D13-$D12)*Optimize!$H$9</f>
        <v>0.21672955063120325</v>
      </c>
      <c r="AI13" s="210">
        <f>(M13-M12)/($D13-$D12)*Optimize!$H$9</f>
        <v>0.44937969456787996</v>
      </c>
      <c r="AJ13" s="210">
        <f>(N13-N12)/($D13-$D12)*Optimize!$H$9</f>
        <v>0.56380393726048816</v>
      </c>
      <c r="AK13" s="210">
        <f>(O13-O12)/($D13-$D12)*Optimize!$H$9</f>
        <v>1.9543698273125896</v>
      </c>
      <c r="AL13" s="210">
        <f>(P13-P12)/($D13-$D12)*Optimize!$H$9</f>
        <v>0.44353440495696594</v>
      </c>
      <c r="AM13" s="210">
        <f>(Q13-Q12)/($D13-$D12)*Optimize!$H$9</f>
        <v>1.1290075833257556</v>
      </c>
      <c r="AN13" s="210">
        <f>(R13-R12)/($D13-$D12)*Optimize!$H$9</f>
        <v>0.16097206324657695</v>
      </c>
      <c r="AO13" s="210">
        <f>(P13-P12)/($D13-$D12)*Optimize!$H$9</f>
        <v>0.44353440495696594</v>
      </c>
      <c r="AP13" s="210">
        <f>(Q13-Q12)/($D13-$D12)*Optimize!$H$9</f>
        <v>1.1290075833257556</v>
      </c>
      <c r="AQ13" s="210">
        <f>(U13-U12)/($D13-$D12)*Optimize!$H$9</f>
        <v>0.88741790389778241</v>
      </c>
      <c r="AR13" s="210">
        <f>(V13-V12)/($D13-$D12)*Optimize!$H$9</f>
        <v>0.49465368775302132</v>
      </c>
      <c r="AS13" s="210">
        <f>(W13-W12)/($D13-$D12)*Optimize!$H$9</f>
        <v>4.1393273084350444</v>
      </c>
      <c r="AT13" s="210">
        <f>(X13-X12)/($D13-$D12)*Optimize!$H$9</f>
        <v>5.7905480808510266</v>
      </c>
    </row>
    <row r="14" spans="1:46" x14ac:dyDescent="0.3">
      <c r="D14" s="148">
        <f t="shared" si="1"/>
        <v>2250000</v>
      </c>
      <c r="E14" s="150">
        <f>(($D14/VLOOKUP(E$4,Optimize!$C$12:H$36,2,0))^VLOOKUP(E$4,Optimize!$C$12:H$36,3,0)*VLOOKUP(E$4,Optimize!$C$12:H$36,5,0))</f>
        <v>555.85704156558097</v>
      </c>
      <c r="F14" s="150">
        <f>(($D14/VLOOKUP(F$4,Optimize!$C$12:I$36,2,0))^VLOOKUP(F$4,Optimize!$C$12:I$36,3,0)*VLOOKUP(F$4,Optimize!$C$12:I$36,5,0))</f>
        <v>220.01776595385118</v>
      </c>
      <c r="G14" s="150">
        <f>(($D14/VLOOKUP(G$4,Optimize!$C$12:J$36,2,0))^VLOOKUP(G$4,Optimize!$C$12:J$36,3,0)*VLOOKUP(G$4,Optimize!$C$12:J$36,5,0))</f>
        <v>184.13641828776088</v>
      </c>
      <c r="H14" s="150">
        <f>(($D14/VLOOKUP(H$4,Optimize!$C$12:K$36,2,0))^VLOOKUP(H$4,Optimize!$C$12:K$36,3,0)*VLOOKUP(H$4,Optimize!$C$12:K$36,5,0))</f>
        <v>30.545441347362303</v>
      </c>
      <c r="I14" s="150">
        <f>(($D14/VLOOKUP(I$4,Optimize!$C$12:L$36,2,0))^VLOOKUP(I$4,Optimize!$C$12:L$36,3,0)*VLOOKUP(I$4,Optimize!$C$12:L$36,5,0))</f>
        <v>43.918592888527272</v>
      </c>
      <c r="J14" s="150">
        <f>(($D14/VLOOKUP(J$4,Optimize!$C$12:M$36,2,0))^VLOOKUP(J$4,Optimize!$C$12:M$36,3,0)*VLOOKUP(J$4,Optimize!$C$12:M$36,5,0))</f>
        <v>263.85988291959382</v>
      </c>
      <c r="K14" s="150">
        <f>(($D14/VLOOKUP(K$4,Optimize!$C$12:N$36,2,0))^VLOOKUP(K$4,Optimize!$C$12:N$36,3,0)*VLOOKUP(K$4,Optimize!$C$12:N$36,5,0))</f>
        <v>488.66812525231677</v>
      </c>
      <c r="L14" s="150">
        <f>(($D14/VLOOKUP(L$4,Optimize!$C$12:O$36,2,0))^VLOOKUP(L$4,Optimize!$C$12:O$36,3,0)*VLOOKUP(L$4,Optimize!$C$12:O$36,5,0))</f>
        <v>203.45384779469748</v>
      </c>
      <c r="M14" s="150">
        <f>(($D14/VLOOKUP(M$4,Optimize!$C$12:P$36,2,0))^VLOOKUP(M$4,Optimize!$C$12:P$36,3,0)*VLOOKUP(M$4,Optimize!$C$12:P$36,5,0))</f>
        <v>421.85307778457661</v>
      </c>
      <c r="N14" s="150">
        <f>(($D14/VLOOKUP(N$4,Optimize!$C$12:Q$36,2,0))^VLOOKUP(N$4,Optimize!$C$12:Q$36,3,0)*VLOOKUP(N$4,Optimize!$C$12:Q$36,5,0))</f>
        <v>529.26829822408081</v>
      </c>
      <c r="O14" s="150">
        <f>(($D14/VLOOKUP(O$4,Optimize!$C$12:R$36,2,0))^VLOOKUP(O$4,Optimize!$C$12:R$36,3,0)*VLOOKUP(O$4,Optimize!$C$12:R$36,5,0))</f>
        <v>1834.6554967818897</v>
      </c>
      <c r="P14" s="150">
        <f>(($D14/VLOOKUP(P$4,Optimize!$C$12:S$36,2,0))^VLOOKUP(P$4,Optimize!$C$12:S$36,3,0)*VLOOKUP(P$4,Optimize!$C$12:S$36,5,0))</f>
        <v>416.36583961446473</v>
      </c>
      <c r="Q14" s="150">
        <f>(($D14/VLOOKUP(Q$4,Optimize!$C$12:T$36,2,0))^VLOOKUP(Q$4,Optimize!$C$12:T$36,3,0)*VLOOKUP(Q$4,Optimize!$C$12:T$36,5,0))</f>
        <v>1059.8505665149835</v>
      </c>
      <c r="R14" s="150">
        <f>(($D14/VLOOKUP(R$4,Optimize!$C$12:U$36,2,0))^VLOOKUP(R$4,Optimize!$C$12:U$36,3,0)*VLOOKUP(R$4,Optimize!$C$12:U$36,5,0))</f>
        <v>151.11176837484899</v>
      </c>
      <c r="S14" s="150">
        <f>(($D14/VLOOKUP(S$4,Optimize!$C$12:V$36,2,0))^VLOOKUP(S$4,Optimize!$C$12:V$36,3,0)*VLOOKUP(S$4,Optimize!$C$12:V$36,5,0))</f>
        <v>695.86134371498588</v>
      </c>
      <c r="T14" s="150">
        <f>(($D14/VLOOKUP(T$4,Optimize!$C$12:W$36,2,0))^VLOOKUP(T$4,Optimize!$C$12:W$36,3,0)*VLOOKUP(T$4,Optimize!$C$12:W$36,5,0))</f>
        <v>903.39317625026342</v>
      </c>
      <c r="U14" s="150">
        <f>(($D14/VLOOKUP(U$4,Optimize!$C$12:U$36,2,0))^VLOOKUP(U$4,Optimize!$C$12:U$36,3,0)*VLOOKUP(U$4,Optimize!$C$12:U$36,5,0))</f>
        <v>833.059389566768</v>
      </c>
      <c r="V14" s="150">
        <f>(($D14/VLOOKUP(V$4,Optimize!$C$12:V$36,2,0))^VLOOKUP(V$4,Optimize!$C$12:V$36,3,0)*VLOOKUP(V$4,Optimize!$C$12:V$36,5,0))</f>
        <v>464.35382625990633</v>
      </c>
      <c r="W14" s="150">
        <f>(($D14/VLOOKUP(W$4,Optimize!$C$12:W$36,2,0))^VLOOKUP(W$4,Optimize!$C$12:W$36,3,0)*VLOOKUP(W$4,Optimize!$C$12:W$36,5,0))</f>
        <v>3885.7740706335135</v>
      </c>
      <c r="X14" s="150">
        <f>(($D14/VLOOKUP(X$4,Optimize!$C$12:X$36,2,0))^VLOOKUP(X$4,Optimize!$C$12:X$36,3,0)*VLOOKUP(X$4,Optimize!$C$12:X$36,5,0))</f>
        <v>5435.8498158567654</v>
      </c>
      <c r="Y14" s="150">
        <f>(($D14/VLOOKUP(Y$4,Optimize!$C$12:Y$36,2,0))^VLOOKUP(Y$4,Optimize!$C$12:Y$36,3,0)*VLOOKUP(Y$4,Optimize!$C$12:Y$36,5,0))</f>
        <v>1364.4370985593907</v>
      </c>
      <c r="AA14" s="210">
        <f>(E14-E13)/($D14-$D13)*Optimize!$H$9</f>
        <v>0.57026953996461516</v>
      </c>
      <c r="AB14" s="210">
        <f>(F14-F13)/($D14-$D13)*Optimize!$H$9</f>
        <v>0.2257224804081962</v>
      </c>
      <c r="AC14" s="210">
        <f>(G14-G13)/($D14-$D13)*Optimize!$H$9</f>
        <v>0.18891078585950336</v>
      </c>
      <c r="AD14" s="210">
        <f>(H14-H13)/($D14-$D13)*Optimize!$H$9</f>
        <v>3.1337436575625759E-2</v>
      </c>
      <c r="AE14" s="210">
        <f>(I14-I13)/($D14-$D13)*Optimize!$H$9</f>
        <v>4.5057332892451465E-2</v>
      </c>
      <c r="AF14" s="210">
        <f>(J14-J13)/($D14-$D13)*Optimize!$H$9</f>
        <v>0.27070135447752769</v>
      </c>
      <c r="AG14" s="210">
        <f>(K14-K13)/($D14-$D13)*Optimize!$H$9</f>
        <v>0.50133852077887331</v>
      </c>
      <c r="AH14" s="210">
        <f>(L14-L13)/($D14-$D13)*Optimize!$H$9</f>
        <v>0.20872908591592237</v>
      </c>
      <c r="AI14" s="210">
        <f>(M14-M13)/($D14-$D13)*Optimize!$H$9</f>
        <v>0.4327910642695062</v>
      </c>
      <c r="AJ14" s="210">
        <f>(N14-N13)/($D14-$D13)*Optimize!$H$9</f>
        <v>0.54299139234793747</v>
      </c>
      <c r="AK14" s="210">
        <f>(O14-O13)/($D14-$D13)*Optimize!$H$9</f>
        <v>1.8822252268255555</v>
      </c>
      <c r="AL14" s="210">
        <f>(P14-P13)/($D14-$D13)*Optimize!$H$9</f>
        <v>0.42716155064828432</v>
      </c>
      <c r="AM14" s="210">
        <f>(Q14-Q13)/($D14-$D13)*Optimize!$H$9</f>
        <v>1.0873308239388877</v>
      </c>
      <c r="AN14" s="210">
        <f>(R14-R13)/($D14-$D13)*Optimize!$H$9</f>
        <v>0.15502985874147163</v>
      </c>
      <c r="AO14" s="210">
        <f>(P14-P13)/($D14-$D13)*Optimize!$H$9</f>
        <v>0.42716155064828432</v>
      </c>
      <c r="AP14" s="210">
        <f>(Q14-Q13)/($D14-$D13)*Optimize!$H$9</f>
        <v>1.0873308239388877</v>
      </c>
      <c r="AQ14" s="210">
        <f>(U14-U13)/($D14-$D13)*Optimize!$H$9</f>
        <v>0.85465930864778716</v>
      </c>
      <c r="AR14" s="210">
        <f>(V14-V13)/($D14-$D13)*Optimize!$H$9</f>
        <v>0.47639379027422546</v>
      </c>
      <c r="AS14" s="210">
        <f>(W14-W13)/($D14-$D13)*Optimize!$H$9</f>
        <v>3.9865260776860367</v>
      </c>
      <c r="AT14" s="210">
        <f>(X14-X13)/($D14-$D13)*Optimize!$H$9</f>
        <v>5.5767928478057138</v>
      </c>
    </row>
    <row r="15" spans="1:46" x14ac:dyDescent="0.3">
      <c r="D15" s="148">
        <f t="shared" si="1"/>
        <v>2500000</v>
      </c>
      <c r="E15" s="150">
        <f>(($D15/VLOOKUP(E$4,Optimize!$C$12:H$36,2,0))^VLOOKUP(E$4,Optimize!$C$12:H$36,3,0)*VLOOKUP(E$4,Optimize!$C$12:H$36,5,0))</f>
        <v>598.40243908549257</v>
      </c>
      <c r="F15" s="150">
        <f>(($D15/VLOOKUP(F$4,Optimize!$C$12:I$36,2,0))^VLOOKUP(F$4,Optimize!$C$12:I$36,3,0)*VLOOKUP(F$4,Optimize!$C$12:I$36,5,0))</f>
        <v>236.85796516691653</v>
      </c>
      <c r="G15" s="150">
        <f>(($D15/VLOOKUP(G$4,Optimize!$C$12:J$36,2,0))^VLOOKUP(G$4,Optimize!$C$12:J$36,3,0)*VLOOKUP(G$4,Optimize!$C$12:J$36,5,0))</f>
        <v>198.23025272382469</v>
      </c>
      <c r="H15" s="150">
        <f>(($D15/VLOOKUP(H$4,Optimize!$C$12:K$36,2,0))^VLOOKUP(H$4,Optimize!$C$12:K$36,3,0)*VLOOKUP(H$4,Optimize!$C$12:K$36,5,0))</f>
        <v>32.883394899024481</v>
      </c>
      <c r="I15" s="150">
        <f>(($D15/VLOOKUP(I$4,Optimize!$C$12:L$36,2,0))^VLOOKUP(I$4,Optimize!$C$12:L$36,3,0)*VLOOKUP(I$4,Optimize!$C$12:L$36,5,0))</f>
        <v>47.280129854389578</v>
      </c>
      <c r="J15" s="150">
        <f>(($D15/VLOOKUP(J$4,Optimize!$C$12:M$36,2,0))^VLOOKUP(J$4,Optimize!$C$12:M$36,3,0)*VLOOKUP(J$4,Optimize!$C$12:M$36,5,0))</f>
        <v>284.05576561769396</v>
      </c>
      <c r="K15" s="150">
        <f>(($D15/VLOOKUP(K$4,Optimize!$C$12:N$36,2,0))^VLOOKUP(K$4,Optimize!$C$12:N$36,3,0)*VLOOKUP(K$4,Optimize!$C$12:N$36,5,0))</f>
        <v>526.07087108353414</v>
      </c>
      <c r="L15" s="150">
        <f>(($D15/VLOOKUP(L$4,Optimize!$C$12:O$36,2,0))^VLOOKUP(L$4,Optimize!$C$12:O$36,3,0)*VLOOKUP(L$4,Optimize!$C$12:O$36,5,0))</f>
        <v>219.02624174512971</v>
      </c>
      <c r="M15" s="150">
        <f>(($D15/VLOOKUP(M$4,Optimize!$C$12:P$36,2,0))^VLOOKUP(M$4,Optimize!$C$12:P$36,3,0)*VLOOKUP(M$4,Optimize!$C$12:P$36,5,0))</f>
        <v>454.14178791549887</v>
      </c>
      <c r="N15" s="150">
        <f>(($D15/VLOOKUP(N$4,Optimize!$C$12:Q$36,2,0))^VLOOKUP(N$4,Optimize!$C$12:Q$36,3,0)*VLOOKUP(N$4,Optimize!$C$12:Q$36,5,0))</f>
        <v>569.77858856637567</v>
      </c>
      <c r="O15" s="150">
        <f>(($D15/VLOOKUP(O$4,Optimize!$C$12:R$36,2,0))^VLOOKUP(O$4,Optimize!$C$12:R$36,3,0)*VLOOKUP(O$4,Optimize!$C$12:R$36,5,0))</f>
        <v>1975.0803571071815</v>
      </c>
      <c r="P15" s="150">
        <f>(($D15/VLOOKUP(P$4,Optimize!$C$12:S$36,2,0))^VLOOKUP(P$4,Optimize!$C$12:S$36,3,0)*VLOOKUP(P$4,Optimize!$C$12:S$36,5,0))</f>
        <v>448.23455555303798</v>
      </c>
      <c r="Q15" s="150">
        <f>(($D15/VLOOKUP(Q$4,Optimize!$C$12:T$36,2,0))^VLOOKUP(Q$4,Optimize!$C$12:T$36,3,0)*VLOOKUP(Q$4,Optimize!$C$12:T$36,5,0))</f>
        <v>1140.9717187038304</v>
      </c>
      <c r="R15" s="150">
        <f>(($D15/VLOOKUP(R$4,Optimize!$C$12:U$36,2,0))^VLOOKUP(R$4,Optimize!$C$12:U$36,3,0)*VLOOKUP(R$4,Optimize!$C$12:U$36,5,0))</f>
        <v>162.67789019159716</v>
      </c>
      <c r="S15" s="150">
        <f>(($D15/VLOOKUP(S$4,Optimize!$C$12:V$36,2,0))^VLOOKUP(S$4,Optimize!$C$12:V$36,3,0)*VLOOKUP(S$4,Optimize!$C$12:V$36,5,0))</f>
        <v>749.12269559731351</v>
      </c>
      <c r="T15" s="150">
        <f>(($D15/VLOOKUP(T$4,Optimize!$C$12:W$36,2,0))^VLOOKUP(T$4,Optimize!$C$12:W$36,3,0)*VLOOKUP(T$4,Optimize!$C$12:W$36,5,0))</f>
        <v>972.53905176546743</v>
      </c>
      <c r="U15" s="150">
        <f>(($D15/VLOOKUP(U$4,Optimize!$C$12:U$36,2,0))^VLOOKUP(U$4,Optimize!$C$12:U$36,3,0)*VLOOKUP(U$4,Optimize!$C$12:U$36,5,0))</f>
        <v>896.82190445186836</v>
      </c>
      <c r="V15" s="150">
        <f>(($D15/VLOOKUP(V$4,Optimize!$C$12:V$36,2,0))^VLOOKUP(V$4,Optimize!$C$12:V$36,3,0)*VLOOKUP(V$4,Optimize!$C$12:V$36,5,0))</f>
        <v>499.89555129135744</v>
      </c>
      <c r="W15" s="150">
        <f>(($D15/VLOOKUP(W$4,Optimize!$C$12:W$36,2,0))^VLOOKUP(W$4,Optimize!$C$12:W$36,3,0)*VLOOKUP(W$4,Optimize!$C$12:W$36,5,0))</f>
        <v>4183.1919139732991</v>
      </c>
      <c r="X15" s="150">
        <f>(($D15/VLOOKUP(X$4,Optimize!$C$12:X$36,2,0))^VLOOKUP(X$4,Optimize!$C$12:X$36,3,0)*VLOOKUP(X$4,Optimize!$C$12:X$36,5,0))</f>
        <v>5851.910734367013</v>
      </c>
      <c r="Y15" s="150">
        <f>(($D15/VLOOKUP(Y$4,Optimize!$C$12:Y$36,2,0))^VLOOKUP(Y$4,Optimize!$C$12:Y$36,3,0)*VLOOKUP(Y$4,Optimize!$C$12:Y$36,5,0))</f>
        <v>1468.8713584648228</v>
      </c>
      <c r="AA15" s="210">
        <f>(E15-E14)/($D15-$D14)*Optimize!$H$9</f>
        <v>0.55153013569286491</v>
      </c>
      <c r="AB15" s="210">
        <f>(F15-F14)/($D15-$D14)*Optimize!$H$9</f>
        <v>0.21830510227880706</v>
      </c>
      <c r="AC15" s="210">
        <f>(G15-G14)/($D15-$D14)*Optimize!$H$9</f>
        <v>0.18270306242448756</v>
      </c>
      <c r="AD15" s="210">
        <f>(H15-H14)/($D15-$D14)*Optimize!$H$9</f>
        <v>3.030766933105707E-2</v>
      </c>
      <c r="AE15" s="210">
        <f>(I15-I14)/($D15-$D14)*Optimize!$H$9</f>
        <v>4.3576721502036432E-2</v>
      </c>
      <c r="AF15" s="210">
        <f>(J15-J14)/($D15-$D14)*Optimize!$H$9</f>
        <v>0.26180594316241568</v>
      </c>
      <c r="AG15" s="210">
        <f>(K15-K14)/($D15-$D14)*Optimize!$H$9</f>
        <v>0.4848642317637914</v>
      </c>
      <c r="AH15" s="210">
        <f>(L15-L14)/($D15-$D14)*Optimize!$H$9</f>
        <v>0.20187012107537786</v>
      </c>
      <c r="AI15" s="210">
        <f>(M15-M14)/($D15-$D14)*Optimize!$H$9</f>
        <v>0.41856928640802443</v>
      </c>
      <c r="AJ15" s="210">
        <f>(N15-N14)/($D15-$D14)*Optimize!$H$9</f>
        <v>0.52514836461421466</v>
      </c>
      <c r="AK15" s="210">
        <f>(O15-O14)/($D15-$D14)*Optimize!$H$9</f>
        <v>1.8203741599455783</v>
      </c>
      <c r="AL15" s="210">
        <f>(P15-P14)/($D15-$D14)*Optimize!$H$9</f>
        <v>0.41312476203172604</v>
      </c>
      <c r="AM15" s="210">
        <f>(Q15-Q14)/($D15-$D14)*Optimize!$H$9</f>
        <v>1.0516004710812081</v>
      </c>
      <c r="AN15" s="210">
        <f>(R15-R14)/($D15-$D14)*Optimize!$H$9</f>
        <v>0.14993548319876115</v>
      </c>
      <c r="AO15" s="210">
        <f>(P15-P14)/($D15-$D14)*Optimize!$H$9</f>
        <v>0.41312476203172604</v>
      </c>
      <c r="AP15" s="210">
        <f>(Q15-Q14)/($D15-$D14)*Optimize!$H$9</f>
        <v>1.0516004710812081</v>
      </c>
      <c r="AQ15" s="210">
        <f>(U15-U14)/($D15-$D14)*Optimize!$H$9</f>
        <v>0.82657468343642315</v>
      </c>
      <c r="AR15" s="210">
        <f>(V15-V14)/($D15-$D14)*Optimize!$H$9</f>
        <v>0.46073920029024679</v>
      </c>
      <c r="AS15" s="210">
        <f>(W15-W14)/($D15-$D14)*Optimize!$H$9</f>
        <v>3.8555264037173811</v>
      </c>
      <c r="AT15" s="210">
        <f>(X15-X14)/($D15-$D14)*Optimize!$H$9</f>
        <v>5.3935360395930232</v>
      </c>
    </row>
    <row r="16" spans="1:46" x14ac:dyDescent="0.3">
      <c r="D16" s="148">
        <f t="shared" si="1"/>
        <v>2750000</v>
      </c>
      <c r="E16" s="150">
        <f>(($D16/VLOOKUP(E$4,Optimize!$C$12:H$36,2,0))^VLOOKUP(E$4,Optimize!$C$12:H$36,3,0)*VLOOKUP(E$4,Optimize!$C$12:H$36,5,0))</f>
        <v>639.68804544336115</v>
      </c>
      <c r="F16" s="150">
        <f>(($D16/VLOOKUP(F$4,Optimize!$C$12:I$36,2,0))^VLOOKUP(F$4,Optimize!$C$12:I$36,3,0)*VLOOKUP(F$4,Optimize!$C$12:I$36,5,0))</f>
        <v>253.19951739646879</v>
      </c>
      <c r="G16" s="150">
        <f>(($D16/VLOOKUP(G$4,Optimize!$C$12:J$36,2,0))^VLOOKUP(G$4,Optimize!$C$12:J$36,3,0)*VLOOKUP(G$4,Optimize!$C$12:J$36,5,0))</f>
        <v>211.90676145377554</v>
      </c>
      <c r="H16" s="150">
        <f>(($D16/VLOOKUP(H$4,Optimize!$C$12:K$36,2,0))^VLOOKUP(H$4,Optimize!$C$12:K$36,3,0)*VLOOKUP(H$4,Optimize!$C$12:K$36,5,0))</f>
        <v>35.152120440294382</v>
      </c>
      <c r="I16" s="150">
        <f>(($D16/VLOOKUP(I$4,Optimize!$C$12:L$36,2,0))^VLOOKUP(I$4,Optimize!$C$12:L$36,3,0)*VLOOKUP(I$4,Optimize!$C$12:L$36,5,0))</f>
        <v>50.54212997708354</v>
      </c>
      <c r="J16" s="150">
        <f>(($D16/VLOOKUP(J$4,Optimize!$C$12:M$36,2,0))^VLOOKUP(J$4,Optimize!$C$12:M$36,3,0)*VLOOKUP(J$4,Optimize!$C$12:M$36,5,0))</f>
        <v>303.65363781369882</v>
      </c>
      <c r="K16" s="150">
        <f>(($D16/VLOOKUP(K$4,Optimize!$C$12:N$36,2,0))^VLOOKUP(K$4,Optimize!$C$12:N$36,3,0)*VLOOKUP(K$4,Optimize!$C$12:N$36,5,0))</f>
        <v>562.36610232137468</v>
      </c>
      <c r="L16" s="150">
        <f>(($D16/VLOOKUP(L$4,Optimize!$C$12:O$36,2,0))^VLOOKUP(L$4,Optimize!$C$12:O$36,3,0)*VLOOKUP(L$4,Optimize!$C$12:O$36,5,0))</f>
        <v>234.13752907970698</v>
      </c>
      <c r="M16" s="150">
        <f>(($D16/VLOOKUP(M$4,Optimize!$C$12:P$36,2,0))^VLOOKUP(M$4,Optimize!$C$12:P$36,3,0)*VLOOKUP(M$4,Optimize!$C$12:P$36,5,0))</f>
        <v>485.47441268753681</v>
      </c>
      <c r="N16" s="150">
        <f>(($D16/VLOOKUP(N$4,Optimize!$C$12:Q$36,2,0))^VLOOKUP(N$4,Optimize!$C$12:Q$36,3,0)*VLOOKUP(N$4,Optimize!$C$12:Q$36,5,0))</f>
        <v>609.08934831970043</v>
      </c>
      <c r="O16" s="150">
        <f>(($D16/VLOOKUP(O$4,Optimize!$C$12:R$36,2,0))^VLOOKUP(O$4,Optimize!$C$12:R$36,3,0)*VLOOKUP(O$4,Optimize!$C$12:R$36,5,0))</f>
        <v>2111.3471648984446</v>
      </c>
      <c r="P16" s="150">
        <f>(($D16/VLOOKUP(P$4,Optimize!$C$12:S$36,2,0))^VLOOKUP(P$4,Optimize!$C$12:S$36,3,0)*VLOOKUP(P$4,Optimize!$C$12:S$36,5,0))</f>
        <v>479.15962237736125</v>
      </c>
      <c r="Q16" s="150">
        <f>(($D16/VLOOKUP(Q$4,Optimize!$C$12:T$36,2,0))^VLOOKUP(Q$4,Optimize!$C$12:T$36,3,0)*VLOOKUP(Q$4,Optimize!$C$12:T$36,5,0))</f>
        <v>1219.6908317406294</v>
      </c>
      <c r="R16" s="150">
        <f>(($D16/VLOOKUP(R$4,Optimize!$C$12:U$36,2,0))^VLOOKUP(R$4,Optimize!$C$12:U$36,3,0)*VLOOKUP(R$4,Optimize!$C$12:U$36,5,0))</f>
        <v>173.90153317648031</v>
      </c>
      <c r="S16" s="150">
        <f>(($D16/VLOOKUP(S$4,Optimize!$C$12:V$36,2,0))^VLOOKUP(S$4,Optimize!$C$12:V$36,3,0)*VLOOKUP(S$4,Optimize!$C$12:V$36,5,0))</f>
        <v>800.80695138250348</v>
      </c>
      <c r="T16" s="150">
        <f>(($D16/VLOOKUP(T$4,Optimize!$C$12:W$36,2,0))^VLOOKUP(T$4,Optimize!$C$12:W$36,3,0)*VLOOKUP(T$4,Optimize!$C$12:W$36,5,0))</f>
        <v>1039.6374822468101</v>
      </c>
      <c r="U16" s="150">
        <f>(($D16/VLOOKUP(U$4,Optimize!$C$12:U$36,2,0))^VLOOKUP(U$4,Optimize!$C$12:U$36,3,0)*VLOOKUP(U$4,Optimize!$C$12:U$36,5,0))</f>
        <v>958.69637838766732</v>
      </c>
      <c r="V16" s="150">
        <f>(($D16/VLOOKUP(V$4,Optimize!$C$12:V$36,2,0))^VLOOKUP(V$4,Optimize!$C$12:V$36,3,0)*VLOOKUP(V$4,Optimize!$C$12:V$36,5,0))</f>
        <v>534.38486751507708</v>
      </c>
      <c r="W16" s="150">
        <f>(($D16/VLOOKUP(W$4,Optimize!$C$12:W$36,2,0))^VLOOKUP(W$4,Optimize!$C$12:W$36,3,0)*VLOOKUP(W$4,Optimize!$C$12:W$36,5,0))</f>
        <v>4471.8030615876996</v>
      </c>
      <c r="X16" s="150">
        <f>(($D16/VLOOKUP(X$4,Optimize!$C$12:X$36,2,0))^VLOOKUP(X$4,Optimize!$C$12:X$36,3,0)*VLOOKUP(X$4,Optimize!$C$12:X$36,5,0))</f>
        <v>6255.6518745095655</v>
      </c>
      <c r="Y16" s="150">
        <f>(($D16/VLOOKUP(Y$4,Optimize!$C$12:Y$36,2,0))^VLOOKUP(Y$4,Optimize!$C$12:Y$36,3,0)*VLOOKUP(Y$4,Optimize!$C$12:Y$36,5,0))</f>
        <v>1570.2132660757013</v>
      </c>
      <c r="AA16" s="210">
        <f>(E16-E15)/($D16-$D15)*Optimize!$H$9</f>
        <v>0.53519904394031781</v>
      </c>
      <c r="AB16" s="210">
        <f>(F16-F15)/($D16-$D15)*Optimize!$H$9</f>
        <v>0.21184097561619691</v>
      </c>
      <c r="AC16" s="210">
        <f>(G16-G15)/($D16-$D15)*Optimize!$H$9</f>
        <v>0.17729313052262011</v>
      </c>
      <c r="AD16" s="210">
        <f>(H16-H15)/($D16-$D15)*Optimize!$H$9</f>
        <v>2.9410243611917179E-2</v>
      </c>
      <c r="AE16" s="210">
        <f>(I16-I15)/($D16-$D15)*Optimize!$H$9</f>
        <v>4.2286392305009093E-2</v>
      </c>
      <c r="AF16" s="210">
        <f>(J16-J15)/($D16-$D15)*Optimize!$H$9</f>
        <v>0.25405373416702398</v>
      </c>
      <c r="AG16" s="210">
        <f>(K16-K15)/($D16-$D15)*Optimize!$H$9</f>
        <v>0.47050715180746755</v>
      </c>
      <c r="AH16" s="210">
        <f>(L16-L15)/($D16-$D15)*Optimize!$H$9</f>
        <v>0.19589264268203713</v>
      </c>
      <c r="AI16" s="210">
        <f>(M16-M15)/($D16-$D15)*Optimize!$H$9</f>
        <v>0.4061752339732661</v>
      </c>
      <c r="AJ16" s="210">
        <f>(N16-N15)/($D16-$D15)*Optimize!$H$9</f>
        <v>0.50959845070889032</v>
      </c>
      <c r="AK16" s="210">
        <f>(O16-O15)/($D16-$D15)*Optimize!$H$9</f>
        <v>1.766471942267682</v>
      </c>
      <c r="AL16" s="210">
        <f>(P16-P15)/($D16-$D15)*Optimize!$H$9</f>
        <v>0.40089192477159313</v>
      </c>
      <c r="AM16" s="210">
        <f>(Q16-Q15)/($D16-$D15)*Optimize!$H$9</f>
        <v>1.0204620388019328</v>
      </c>
      <c r="AN16" s="210">
        <f>(R16-R15)/($D16-$D15)*Optimize!$H$9</f>
        <v>0.14549581621663832</v>
      </c>
      <c r="AO16" s="210">
        <f>(P16-P15)/($D16-$D15)*Optimize!$H$9</f>
        <v>0.40089192477159313</v>
      </c>
      <c r="AP16" s="210">
        <f>(Q16-Q15)/($D16-$D15)*Optimize!$H$9</f>
        <v>1.0204620388019328</v>
      </c>
      <c r="AQ16" s="210">
        <f>(U16-U15)/($D16-$D15)*Optimize!$H$9</f>
        <v>0.80209938077943088</v>
      </c>
      <c r="AR16" s="210">
        <f>(V16-V15)/($D16-$D15)*Optimize!$H$9</f>
        <v>0.44709647495759824</v>
      </c>
      <c r="AS16" s="210">
        <f>(W16-W15)/($D16-$D15)*Optimize!$H$9</f>
        <v>3.7413622785342944</v>
      </c>
      <c r="AT16" s="210">
        <f>(X16-X15)/($D16-$D15)*Optimize!$H$9</f>
        <v>5.2338306559105474</v>
      </c>
    </row>
    <row r="17" spans="4:46" x14ac:dyDescent="0.3">
      <c r="D17" s="148">
        <f t="shared" si="1"/>
        <v>3000000</v>
      </c>
      <c r="E17" s="150">
        <f>(($D17/VLOOKUP(E$4,Optimize!$C$12:H$36,2,0))^VLOOKUP(E$4,Optimize!$C$12:H$36,3,0)*VLOOKUP(E$4,Optimize!$C$12:H$36,5,0))</f>
        <v>679.86115426664298</v>
      </c>
      <c r="F17" s="150">
        <f>(($D17/VLOOKUP(F$4,Optimize!$C$12:I$36,2,0))^VLOOKUP(F$4,Optimize!$C$12:I$36,3,0)*VLOOKUP(F$4,Optimize!$C$12:I$36,5,0))</f>
        <v>269.10072399056855</v>
      </c>
      <c r="G17" s="150">
        <f>(($D17/VLOOKUP(G$4,Optimize!$C$12:J$36,2,0))^VLOOKUP(G$4,Optimize!$C$12:J$36,3,0)*VLOOKUP(G$4,Optimize!$C$12:J$36,5,0))</f>
        <v>225.21473781649064</v>
      </c>
      <c r="H17" s="150">
        <f>(($D17/VLOOKUP(H$4,Optimize!$C$12:K$36,2,0))^VLOOKUP(H$4,Optimize!$C$12:K$36,3,0)*VLOOKUP(H$4,Optimize!$C$12:K$36,5,0))</f>
        <v>37.359712046666026</v>
      </c>
      <c r="I17" s="150">
        <f>(($D17/VLOOKUP(I$4,Optimize!$C$12:L$36,2,0))^VLOOKUP(I$4,Optimize!$C$12:L$36,3,0)*VLOOKUP(I$4,Optimize!$C$12:L$36,5,0))</f>
        <v>53.716231013038559</v>
      </c>
      <c r="J17" s="150">
        <f>(($D17/VLOOKUP(J$4,Optimize!$C$12:M$36,2,0))^VLOOKUP(J$4,Optimize!$C$12:M$36,3,0)*VLOOKUP(J$4,Optimize!$C$12:M$36,5,0))</f>
        <v>322.72341834714661</v>
      </c>
      <c r="K17" s="150">
        <f>(($D17/VLOOKUP(K$4,Optimize!$C$12:N$36,2,0))^VLOOKUP(K$4,Optimize!$C$12:N$36,3,0)*VLOOKUP(K$4,Optimize!$C$12:N$36,5,0))</f>
        <v>597.68330855652198</v>
      </c>
      <c r="L17" s="150">
        <f>(($D17/VLOOKUP(L$4,Optimize!$C$12:O$36,2,0))^VLOOKUP(L$4,Optimize!$C$12:O$36,3,0)*VLOOKUP(L$4,Optimize!$C$12:O$36,5,0))</f>
        <v>248.84162196112734</v>
      </c>
      <c r="M17" s="150">
        <f>(($D17/VLOOKUP(M$4,Optimize!$C$12:P$36,2,0))^VLOOKUP(M$4,Optimize!$C$12:P$36,3,0)*VLOOKUP(M$4,Optimize!$C$12:P$36,5,0))</f>
        <v>515.96273672413463</v>
      </c>
      <c r="N17" s="150">
        <f>(($D17/VLOOKUP(N$4,Optimize!$C$12:Q$36,2,0))^VLOOKUP(N$4,Optimize!$C$12:Q$36,3,0)*VLOOKUP(N$4,Optimize!$C$12:Q$36,5,0))</f>
        <v>647.34082550056553</v>
      </c>
      <c r="O17" s="150">
        <f>(($D17/VLOOKUP(O$4,Optimize!$C$12:R$36,2,0))^VLOOKUP(O$4,Optimize!$C$12:R$36,3,0)*VLOOKUP(O$4,Optimize!$C$12:R$36,5,0))</f>
        <v>2243.9420758450842</v>
      </c>
      <c r="P17" s="150">
        <f>(($D17/VLOOKUP(P$4,Optimize!$C$12:S$36,2,0))^VLOOKUP(P$4,Optimize!$C$12:S$36,3,0)*VLOOKUP(P$4,Optimize!$C$12:S$36,5,0))</f>
        <v>509.25137067656033</v>
      </c>
      <c r="Q17" s="150">
        <f>(($D17/VLOOKUP(Q$4,Optimize!$C$12:T$36,2,0))^VLOOKUP(Q$4,Optimize!$C$12:T$36,3,0)*VLOOKUP(Q$4,Optimize!$C$12:T$36,5,0))</f>
        <v>1296.2887498404036</v>
      </c>
      <c r="R17" s="150">
        <f>(($D17/VLOOKUP(R$4,Optimize!$C$12:U$36,2,0))^VLOOKUP(R$4,Optimize!$C$12:U$36,3,0)*VLOOKUP(R$4,Optimize!$C$12:U$36,5,0))</f>
        <v>184.82273964047201</v>
      </c>
      <c r="S17" s="150">
        <f>(($D17/VLOOKUP(S$4,Optimize!$C$12:V$36,2,0))^VLOOKUP(S$4,Optimize!$C$12:V$36,3,0)*VLOOKUP(S$4,Optimize!$C$12:V$36,5,0))</f>
        <v>851.09850370005904</v>
      </c>
      <c r="T17" s="150">
        <f>(($D17/VLOOKUP(T$4,Optimize!$C$12:W$36,2,0))^VLOOKUP(T$4,Optimize!$C$12:W$36,3,0)*VLOOKUP(T$4,Optimize!$C$12:W$36,5,0))</f>
        <v>1104.9278530901738</v>
      </c>
      <c r="U17" s="150">
        <f>(($D17/VLOOKUP(U$4,Optimize!$C$12:U$36,2,0))^VLOOKUP(U$4,Optimize!$C$12:U$36,3,0)*VLOOKUP(U$4,Optimize!$C$12:U$36,5,0))</f>
        <v>1018.9035593906516</v>
      </c>
      <c r="V17" s="150">
        <f>(($D17/VLOOKUP(V$4,Optimize!$C$12:V$36,2,0))^VLOOKUP(V$4,Optimize!$C$12:V$36,3,0)*VLOOKUP(V$4,Optimize!$C$12:V$36,5,0))</f>
        <v>567.94482160382199</v>
      </c>
      <c r="W17" s="150">
        <f>(($D17/VLOOKUP(W$4,Optimize!$C$12:W$36,2,0))^VLOOKUP(W$4,Optimize!$C$12:W$36,3,0)*VLOOKUP(W$4,Optimize!$C$12:W$36,5,0))</f>
        <v>4752.637184265317</v>
      </c>
      <c r="X17" s="150">
        <f>(($D17/VLOOKUP(X$4,Optimize!$C$12:X$36,2,0))^VLOOKUP(X$4,Optimize!$C$12:X$36,3,0)*VLOOKUP(X$4,Optimize!$C$12:X$36,5,0))</f>
        <v>6648.5136534741232</v>
      </c>
      <c r="Y17" s="150">
        <f>(($D17/VLOOKUP(Y$4,Optimize!$C$12:Y$36,2,0))^VLOOKUP(Y$4,Optimize!$C$12:Y$36,3,0)*VLOOKUP(Y$4,Optimize!$C$12:Y$36,5,0))</f>
        <v>1668.8243763866642</v>
      </c>
      <c r="AA17" s="210">
        <f>(E17-E16)/($D17-$D16)*Optimize!$H$9</f>
        <v>0.52077736846011013</v>
      </c>
      <c r="AB17" s="210">
        <f>(F17-F16)/($D17-$D16)*Optimize!$H$9</f>
        <v>0.20613262871547242</v>
      </c>
      <c r="AC17" s="210">
        <f>(G17-G16)/($D17-$D16)*Optimize!$H$9</f>
        <v>0.17251572289789113</v>
      </c>
      <c r="AD17" s="210">
        <f>(H17-H16)/($D17-$D16)*Optimize!$H$9</f>
        <v>2.8617744084933203E-2</v>
      </c>
      <c r="AE17" s="210">
        <f>(I17-I16)/($D17-$D16)*Optimize!$H$9</f>
        <v>4.1146927214485027E-2</v>
      </c>
      <c r="AF17" s="210">
        <f>(J17-J16)/($D17-$D16)*Optimize!$H$9</f>
        <v>0.24720790633871276</v>
      </c>
      <c r="AG17" s="210">
        <f>(K17-K16)/($D17-$D16)*Optimize!$H$9</f>
        <v>0.45782868847441321</v>
      </c>
      <c r="AH17" s="210">
        <f>(L17-L16)/($D17-$D16)*Optimize!$H$9</f>
        <v>0.19061404558118963</v>
      </c>
      <c r="AI17" s="210">
        <f>(M17-M16)/($D17-$D16)*Optimize!$H$9</f>
        <v>0.39523028278401112</v>
      </c>
      <c r="AJ17" s="210">
        <f>(N17-N16)/($D17-$D16)*Optimize!$H$9</f>
        <v>0.49586661847833369</v>
      </c>
      <c r="AK17" s="210">
        <f>(O17-O16)/($D17-$D16)*Optimize!$H$9</f>
        <v>1.7188719224531397</v>
      </c>
      <c r="AL17" s="210">
        <f>(P17-P16)/($D17-$D16)*Optimize!$H$9</f>
        <v>0.3900893396265836</v>
      </c>
      <c r="AM17" s="210">
        <f>(Q17-Q16)/($D17-$D16)*Optimize!$H$9</f>
        <v>0.99296428347127152</v>
      </c>
      <c r="AN17" s="210">
        <f>(R17-R16)/($D17-$D16)*Optimize!$H$9</f>
        <v>0.14157523102695521</v>
      </c>
      <c r="AO17" s="210">
        <f>(P17-P16)/($D17-$D16)*Optimize!$H$9</f>
        <v>0.3900893396265836</v>
      </c>
      <c r="AP17" s="210">
        <f>(Q17-Q16)/($D17-$D16)*Optimize!$H$9</f>
        <v>0.99296428347127152</v>
      </c>
      <c r="AQ17" s="210">
        <f>(U17-U16)/($D17-$D16)*Optimize!$H$9</f>
        <v>0.7804857080656038</v>
      </c>
      <c r="AR17" s="210">
        <f>(V17-V16)/($D17-$D16)*Optimize!$H$9</f>
        <v>0.43504884456066673</v>
      </c>
      <c r="AS17" s="210">
        <f>(W17-W16)/($D17-$D16)*Optimize!$H$9</f>
        <v>3.6405461181807945</v>
      </c>
      <c r="AT17" s="210">
        <f>(X17-X16)/($D17-$D16)*Optimize!$H$9</f>
        <v>5.0927978792408046</v>
      </c>
    </row>
    <row r="18" spans="4:46" x14ac:dyDescent="0.3">
      <c r="D18" s="148">
        <f t="shared" si="1"/>
        <v>3250000</v>
      </c>
      <c r="E18" s="150">
        <f>(($D18/VLOOKUP(E$4,Optimize!$C$12:H$36,2,0))^VLOOKUP(E$4,Optimize!$C$12:H$36,3,0)*VLOOKUP(E$4,Optimize!$C$12:H$36,5,0))</f>
        <v>719.04107769371217</v>
      </c>
      <c r="F18" s="150">
        <f>(($D18/VLOOKUP(F$4,Optimize!$C$12:I$36,2,0))^VLOOKUP(F$4,Optimize!$C$12:I$36,3,0)*VLOOKUP(F$4,Optimize!$C$12:I$36,5,0))</f>
        <v>284.60881074321179</v>
      </c>
      <c r="G18" s="150">
        <f>(($D18/VLOOKUP(G$4,Optimize!$C$12:J$36,2,0))^VLOOKUP(G$4,Optimize!$C$12:J$36,3,0)*VLOOKUP(G$4,Optimize!$C$12:J$36,5,0))</f>
        <v>238.19370584094824</v>
      </c>
      <c r="H18" s="150">
        <f>(($D18/VLOOKUP(H$4,Optimize!$C$12:K$36,2,0))^VLOOKUP(H$4,Optimize!$C$12:K$36,3,0)*VLOOKUP(H$4,Optimize!$C$12:K$36,5,0))</f>
        <v>39.512726155590457</v>
      </c>
      <c r="I18" s="150">
        <f>(($D18/VLOOKUP(I$4,Optimize!$C$12:L$36,2,0))^VLOOKUP(I$4,Optimize!$C$12:L$36,3,0)*VLOOKUP(I$4,Optimize!$C$12:L$36,5,0))</f>
        <v>56.811859884718707</v>
      </c>
      <c r="J18" s="150">
        <f>(($D18/VLOOKUP(J$4,Optimize!$C$12:M$36,2,0))^VLOOKUP(J$4,Optimize!$C$12:M$36,3,0)*VLOOKUP(J$4,Optimize!$C$12:M$36,5,0))</f>
        <v>341.32174351929507</v>
      </c>
      <c r="K18" s="150">
        <f>(($D18/VLOOKUP(K$4,Optimize!$C$12:N$36,2,0))^VLOOKUP(K$4,Optimize!$C$12:N$36,3,0)*VLOOKUP(K$4,Optimize!$C$12:N$36,5,0))</f>
        <v>632.1273801377871</v>
      </c>
      <c r="L18" s="150">
        <f>(($D18/VLOOKUP(L$4,Optimize!$C$12:O$36,2,0))^VLOOKUP(L$4,Optimize!$C$12:O$36,3,0)*VLOOKUP(L$4,Optimize!$C$12:O$36,5,0))</f>
        <v>263.1821908151037</v>
      </c>
      <c r="M18" s="150">
        <f>(($D18/VLOOKUP(M$4,Optimize!$C$12:P$36,2,0))^VLOOKUP(M$4,Optimize!$C$12:P$36,3,0)*VLOOKUP(M$4,Optimize!$C$12:P$36,5,0))</f>
        <v>545.69730883375701</v>
      </c>
      <c r="N18" s="150">
        <f>(($D18/VLOOKUP(N$4,Optimize!$C$12:Q$36,2,0))^VLOOKUP(N$4,Optimize!$C$12:Q$36,3,0)*VLOOKUP(N$4,Optimize!$C$12:Q$36,5,0))</f>
        <v>684.64662509678806</v>
      </c>
      <c r="O18" s="150">
        <f>(($D18/VLOOKUP(O$4,Optimize!$C$12:R$36,2,0))^VLOOKUP(O$4,Optimize!$C$12:R$36,3,0)*VLOOKUP(O$4,Optimize!$C$12:R$36,5,0))</f>
        <v>2373.2588902484958</v>
      </c>
      <c r="P18" s="150">
        <f>(($D18/VLOOKUP(P$4,Optimize!$C$12:S$36,2,0))^VLOOKUP(P$4,Optimize!$C$12:S$36,3,0)*VLOOKUP(P$4,Optimize!$C$12:S$36,5,0))</f>
        <v>538.59917144885185</v>
      </c>
      <c r="Q18" s="150">
        <f>(($D18/VLOOKUP(Q$4,Optimize!$C$12:T$36,2,0))^VLOOKUP(Q$4,Optimize!$C$12:T$36,3,0)*VLOOKUP(Q$4,Optimize!$C$12:T$36,5,0))</f>
        <v>1370.9929650163726</v>
      </c>
      <c r="R18" s="150">
        <f>(($D18/VLOOKUP(R$4,Optimize!$C$12:U$36,2,0))^VLOOKUP(R$4,Optimize!$C$12:U$36,3,0)*VLOOKUP(R$4,Optimize!$C$12:U$36,5,0))</f>
        <v>195.47394502446841</v>
      </c>
      <c r="S18" s="150">
        <f>(($D18/VLOOKUP(S$4,Optimize!$C$12:V$36,2,0))^VLOOKUP(S$4,Optimize!$C$12:V$36,3,0)*VLOOKUP(S$4,Optimize!$C$12:V$36,5,0))</f>
        <v>900.14671596309267</v>
      </c>
      <c r="T18" s="150">
        <f>(($D18/VLOOKUP(T$4,Optimize!$C$12:W$36,2,0))^VLOOKUP(T$4,Optimize!$C$12:W$36,3,0)*VLOOKUP(T$4,Optimize!$C$12:W$36,5,0))</f>
        <v>1168.6040734549133</v>
      </c>
      <c r="U18" s="150">
        <f>(($D18/VLOOKUP(U$4,Optimize!$C$12:U$36,2,0))^VLOOKUP(U$4,Optimize!$C$12:U$36,3,0)*VLOOKUP(U$4,Optimize!$C$12:U$36,5,0))</f>
        <v>1077.6222597987603</v>
      </c>
      <c r="V18" s="150">
        <f>(($D18/VLOOKUP(V$4,Optimize!$C$12:V$36,2,0))^VLOOKUP(V$4,Optimize!$C$12:V$36,3,0)*VLOOKUP(V$4,Optimize!$C$12:V$36,5,0))</f>
        <v>600.67508495478683</v>
      </c>
      <c r="W18" s="150">
        <f>(($D18/VLOOKUP(W$4,Optimize!$C$12:W$36,2,0))^VLOOKUP(W$4,Optimize!$C$12:W$36,3,0)*VLOOKUP(W$4,Optimize!$C$12:W$36,5,0))</f>
        <v>5026.5283454054425</v>
      </c>
      <c r="X18" s="150">
        <f>(($D18/VLOOKUP(X$4,Optimize!$C$12:X$36,2,0))^VLOOKUP(X$4,Optimize!$C$12:X$36,3,0)*VLOOKUP(X$4,Optimize!$C$12:X$36,5,0))</f>
        <v>7031.6628512363104</v>
      </c>
      <c r="Y18" s="150">
        <f>(($D18/VLOOKUP(Y$4,Optimize!$C$12:Y$36,2,0))^VLOOKUP(Y$4,Optimize!$C$12:Y$36,3,0)*VLOOKUP(Y$4,Optimize!$C$12:Y$36,5,0))</f>
        <v>1764.9975594987147</v>
      </c>
      <c r="AA18" s="210">
        <f>(E18-E17)/($D18-$D17)*Optimize!$H$9</f>
        <v>0.50790237590457044</v>
      </c>
      <c r="AB18" s="210">
        <f>(F18-F17)/($D18-$D17)*Optimize!$H$9</f>
        <v>0.2010364854863346</v>
      </c>
      <c r="AC18" s="210">
        <f>(G18-G17)/($D18-$D17)*Optimize!$H$9</f>
        <v>0.16825067840375246</v>
      </c>
      <c r="AD18" s="210">
        <f>(H18-H17)/($D18-$D17)*Optimize!$H$9</f>
        <v>2.7910237836842548E-2</v>
      </c>
      <c r="AE18" s="210">
        <f>(I18-I17)/($D18-$D17)*Optimize!$H$9</f>
        <v>4.0129666454601969E-2</v>
      </c>
      <c r="AF18" s="210">
        <f>(J18-J17)/($D18-$D17)*Optimize!$H$9</f>
        <v>0.24109627371690331</v>
      </c>
      <c r="AG18" s="210">
        <f>(K18-K17)/($D18-$D17)*Optimize!$H$9</f>
        <v>0.44650995361223683</v>
      </c>
      <c r="AH18" s="210">
        <f>(L18-L17)/($D18-$D17)*Optimize!$H$9</f>
        <v>0.18590156273060679</v>
      </c>
      <c r="AI18" s="210">
        <f>(M18-M17)/($D18-$D17)*Optimize!$H$9</f>
        <v>0.38545914590912439</v>
      </c>
      <c r="AJ18" s="210">
        <f>(N18-N17)/($D18-$D17)*Optimize!$H$9</f>
        <v>0.48360748548197335</v>
      </c>
      <c r="AK18" s="210">
        <f>(O18-O17)/($D18-$D17)*Optimize!$H$9</f>
        <v>1.6763768668961969</v>
      </c>
      <c r="AL18" s="210">
        <f>(P18-P17)/($D18-$D17)*Optimize!$H$9</f>
        <v>0.38044530045003883</v>
      </c>
      <c r="AM18" s="210">
        <f>(Q18-Q17)/($D18-$D17)*Optimize!$H$9</f>
        <v>0.96841558275600692</v>
      </c>
      <c r="AN18" s="210">
        <f>(R18-R17)/($D18-$D17)*Optimize!$H$9</f>
        <v>0.13807511724338245</v>
      </c>
      <c r="AO18" s="210">
        <f>(P18-P17)/($D18-$D17)*Optimize!$H$9</f>
        <v>0.38044530045003883</v>
      </c>
      <c r="AP18" s="210">
        <f>(Q18-Q17)/($D18-$D17)*Optimize!$H$9</f>
        <v>0.96841558275600692</v>
      </c>
      <c r="AQ18" s="210">
        <f>(U18-U17)/($D18-$D17)*Optimize!$H$9</f>
        <v>0.76119003914903749</v>
      </c>
      <c r="AR18" s="210">
        <f>(V18-V17)/($D18-$D17)*Optimize!$H$9</f>
        <v>0.42429328762934881</v>
      </c>
      <c r="AS18" s="210">
        <f>(W18-W17)/($D18-$D17)*Optimize!$H$9</f>
        <v>3.5505421990238237</v>
      </c>
      <c r="AT18" s="210">
        <f>(X18-X17)/($D18-$D17)*Optimize!$H$9</f>
        <v>4.9668904593850058</v>
      </c>
    </row>
    <row r="19" spans="4:46" x14ac:dyDescent="0.3">
      <c r="D19" s="148">
        <f t="shared" si="1"/>
        <v>3500000</v>
      </c>
      <c r="E19" s="150">
        <f>(($D19/VLOOKUP(E$4,Optimize!$C$12:H$36,2,0))^VLOOKUP(E$4,Optimize!$C$12:H$36,3,0)*VLOOKUP(E$4,Optimize!$C$12:H$36,5,0))</f>
        <v>757.3261971101748</v>
      </c>
      <c r="F19" s="150">
        <f>(($D19/VLOOKUP(F$4,Optimize!$C$12:I$36,2,0))^VLOOKUP(F$4,Optimize!$C$12:I$36,3,0)*VLOOKUP(F$4,Optimize!$C$12:I$36,5,0))</f>
        <v>299.76271869688605</v>
      </c>
      <c r="G19" s="150">
        <f>(($D19/VLOOKUP(G$4,Optimize!$C$12:J$36,2,0))^VLOOKUP(G$4,Optimize!$C$12:J$36,3,0)*VLOOKUP(G$4,Optimize!$C$12:J$36,5,0))</f>
        <v>250.87625591391509</v>
      </c>
      <c r="H19" s="150">
        <f>(($D19/VLOOKUP(H$4,Optimize!$C$12:K$36,2,0))^VLOOKUP(H$4,Optimize!$C$12:K$36,3,0)*VLOOKUP(H$4,Optimize!$C$12:K$36,5,0))</f>
        <v>41.616569018349907</v>
      </c>
      <c r="I19" s="150">
        <f>(($D19/VLOOKUP(I$4,Optimize!$C$12:L$36,2,0))^VLOOKUP(I$4,Optimize!$C$12:L$36,3,0)*VLOOKUP(I$4,Optimize!$C$12:L$36,5,0))</f>
        <v>59.836789763459663</v>
      </c>
      <c r="J19" s="150">
        <f>(($D19/VLOOKUP(J$4,Optimize!$C$12:M$36,2,0))^VLOOKUP(J$4,Optimize!$C$12:M$36,3,0)*VLOOKUP(J$4,Optimize!$C$12:M$36,5,0))</f>
        <v>359.49531400845962</v>
      </c>
      <c r="K19" s="150">
        <f>(($D19/VLOOKUP(K$4,Optimize!$C$12:N$36,2,0))^VLOOKUP(K$4,Optimize!$C$12:N$36,3,0)*VLOOKUP(K$4,Optimize!$C$12:N$36,5,0))</f>
        <v>665.78480665452332</v>
      </c>
      <c r="L19" s="150">
        <f>(($D19/VLOOKUP(L$4,Optimize!$C$12:O$36,2,0))^VLOOKUP(L$4,Optimize!$C$12:O$36,3,0)*VLOOKUP(L$4,Optimize!$C$12:O$36,5,0))</f>
        <v>277.19524502886378</v>
      </c>
      <c r="M19" s="150">
        <f>(($D19/VLOOKUP(M$4,Optimize!$C$12:P$36,2,0))^VLOOKUP(M$4,Optimize!$C$12:P$36,3,0)*VLOOKUP(M$4,Optimize!$C$12:P$36,5,0))</f>
        <v>574.75279298071712</v>
      </c>
      <c r="N19" s="150">
        <f>(($D19/VLOOKUP(N$4,Optimize!$C$12:Q$36,2,0))^VLOOKUP(N$4,Optimize!$C$12:Q$36,3,0)*VLOOKUP(N$4,Optimize!$C$12:Q$36,5,0))</f>
        <v>721.10042254043583</v>
      </c>
      <c r="O19" s="150">
        <f>(($D19/VLOOKUP(O$4,Optimize!$C$12:R$36,2,0))^VLOOKUP(O$4,Optimize!$C$12:R$36,3,0)*VLOOKUP(O$4,Optimize!$C$12:R$36,5,0))</f>
        <v>2499.6223246030063</v>
      </c>
      <c r="P19" s="150">
        <f>(($D19/VLOOKUP(P$4,Optimize!$C$12:S$36,2,0))^VLOOKUP(P$4,Optimize!$C$12:S$36,3,0)*VLOOKUP(P$4,Optimize!$C$12:S$36,5,0))</f>
        <v>567.276717469819</v>
      </c>
      <c r="Q19" s="150">
        <f>(($D19/VLOOKUP(Q$4,Optimize!$C$12:T$36,2,0))^VLOOKUP(Q$4,Optimize!$C$12:T$36,3,0)*VLOOKUP(Q$4,Optimize!$C$12:T$36,5,0))</f>
        <v>1443.9910606928211</v>
      </c>
      <c r="R19" s="150">
        <f>(($D19/VLOOKUP(R$4,Optimize!$C$12:U$36,2,0))^VLOOKUP(R$4,Optimize!$C$12:U$36,3,0)*VLOOKUP(R$4,Optimize!$C$12:U$36,5,0))</f>
        <v>205.88189466772462</v>
      </c>
      <c r="S19" s="150">
        <f>(($D19/VLOOKUP(S$4,Optimize!$C$12:V$36,2,0))^VLOOKUP(S$4,Optimize!$C$12:V$36,3,0)*VLOOKUP(S$4,Optimize!$C$12:V$36,5,0))</f>
        <v>948.07474898106682</v>
      </c>
      <c r="T19" s="150">
        <f>(($D19/VLOOKUP(T$4,Optimize!$C$12:W$36,2,0))^VLOOKUP(T$4,Optimize!$C$12:W$36,3,0)*VLOOKUP(T$4,Optimize!$C$12:W$36,5,0))</f>
        <v>1230.8260353020555</v>
      </c>
      <c r="U19" s="150">
        <f>(($D19/VLOOKUP(U$4,Optimize!$C$12:U$36,2,0))^VLOOKUP(U$4,Optimize!$C$12:U$36,3,0)*VLOOKUP(U$4,Optimize!$C$12:U$36,5,0))</f>
        <v>1134.999923164758</v>
      </c>
      <c r="V19" s="150">
        <f>(($D19/VLOOKUP(V$4,Optimize!$C$12:V$36,2,0))^VLOOKUP(V$4,Optimize!$C$12:V$36,3,0)*VLOOKUP(V$4,Optimize!$C$12:V$36,5,0))</f>
        <v>632.65784375870567</v>
      </c>
      <c r="W19" s="150">
        <f>(($D19/VLOOKUP(W$4,Optimize!$C$12:W$36,2,0))^VLOOKUP(W$4,Optimize!$C$12:W$36,3,0)*VLOOKUP(W$4,Optimize!$C$12:W$36,5,0))</f>
        <v>5294.1642898932432</v>
      </c>
      <c r="X19" s="150">
        <f>(($D19/VLOOKUP(X$4,Optimize!$C$12:X$36,2,0))^VLOOKUP(X$4,Optimize!$C$12:X$36,3,0)*VLOOKUP(X$4,Optimize!$C$12:X$36,5,0))</f>
        <v>7406.0615612785223</v>
      </c>
      <c r="Y19" s="150">
        <f>(($D19/VLOOKUP(Y$4,Optimize!$C$12:Y$36,2,0))^VLOOKUP(Y$4,Optimize!$C$12:Y$36,3,0)*VLOOKUP(Y$4,Optimize!$C$12:Y$36,5,0))</f>
        <v>1858.9743077422379</v>
      </c>
      <c r="AA19" s="210">
        <f>(E19-E18)/($D19-$D18)*Optimize!$H$9</f>
        <v>0.49630273396545399</v>
      </c>
      <c r="AB19" s="210">
        <f>(F19-F18)/($D19-$D18)*Optimize!$H$9</f>
        <v>0.19644514794004717</v>
      </c>
      <c r="AC19" s="210">
        <f>(G19-G18)/($D19-$D18)*Optimize!$H$9</f>
        <v>0.16440811393056864</v>
      </c>
      <c r="AD19" s="210">
        <f>(H19-H18)/($D19-$D18)*Optimize!$H$9</f>
        <v>2.7272814621866894E-2</v>
      </c>
      <c r="AE19" s="210">
        <f>(I19-I18)/($D19-$D18)*Optimize!$H$9</f>
        <v>3.9213171899559841E-2</v>
      </c>
      <c r="AF19" s="210">
        <f>(J19-J18)/($D19-$D18)*Optimize!$H$9</f>
        <v>0.23559003751749627</v>
      </c>
      <c r="AG19" s="210">
        <f>(K19-K18)/($D19-$D18)*Optimize!$H$9</f>
        <v>0.43631241205727311</v>
      </c>
      <c r="AH19" s="210">
        <f>(L19-L18)/($D19-$D18)*Optimize!$H$9</f>
        <v>0.18165588154087672</v>
      </c>
      <c r="AI19" s="210">
        <f>(M19-M18)/($D19-$D18)*Optimize!$H$9</f>
        <v>0.3766559028316746</v>
      </c>
      <c r="AJ19" s="210">
        <f>(N19-N18)/($D19-$D18)*Optimize!$H$9</f>
        <v>0.4725626982614462</v>
      </c>
      <c r="AK19" s="210">
        <f>(O19-O18)/($D19-$D18)*Optimize!$H$9</f>
        <v>1.6380912192333505</v>
      </c>
      <c r="AL19" s="210">
        <f>(P19-P18)/($D19-$D18)*Optimize!$H$9</f>
        <v>0.37175656522847444</v>
      </c>
      <c r="AM19" s="210">
        <f>(Q19-Q18)/($D19-$D18)*Optimize!$H$9</f>
        <v>0.9462985883469538</v>
      </c>
      <c r="AN19" s="210">
        <f>(R19-R18)/($D19-$D18)*Optimize!$H$9</f>
        <v>0.13492171218621471</v>
      </c>
      <c r="AO19" s="210">
        <f>(P19-P18)/($D19-$D18)*Optimize!$H$9</f>
        <v>0.37175656522847444</v>
      </c>
      <c r="AP19" s="210">
        <f>(Q19-Q18)/($D19-$D18)*Optimize!$H$9</f>
        <v>0.9462985883469538</v>
      </c>
      <c r="AQ19" s="210">
        <f>(U19-U18)/($D19-$D18)*Optimize!$H$9</f>
        <v>0.74380573003643624</v>
      </c>
      <c r="AR19" s="210">
        <f>(V19-V18)/($D19-$D18)*Optimize!$H$9</f>
        <v>0.41460313761793188</v>
      </c>
      <c r="AS19" s="210">
        <f>(W19-W18)/($D19-$D18)*Optimize!$H$9</f>
        <v>3.4694537455094272</v>
      </c>
      <c r="AT19" s="210">
        <f>(X19-X18)/($D19-$D18)*Optimize!$H$9</f>
        <v>4.8534549772669209</v>
      </c>
    </row>
    <row r="20" spans="4:46" x14ac:dyDescent="0.3">
      <c r="D20" s="148">
        <f t="shared" si="1"/>
        <v>3750000</v>
      </c>
      <c r="E20" s="150">
        <f>(($D20/VLOOKUP(E$4,Optimize!$C$12:H$36,2,0))^VLOOKUP(E$4,Optimize!$C$12:H$36,3,0)*VLOOKUP(E$4,Optimize!$C$12:H$36,5,0))</f>
        <v>794.79886157846693</v>
      </c>
      <c r="F20" s="150">
        <f>(($D20/VLOOKUP(F$4,Optimize!$C$12:I$36,2,0))^VLOOKUP(F$4,Optimize!$C$12:I$36,3,0)*VLOOKUP(F$4,Optimize!$C$12:I$36,5,0))</f>
        <v>314.59504302515353</v>
      </c>
      <c r="G20" s="150">
        <f>(($D20/VLOOKUP(G$4,Optimize!$C$12:J$36,2,0))^VLOOKUP(G$4,Optimize!$C$12:J$36,3,0)*VLOOKUP(G$4,Optimize!$C$12:J$36,5,0))</f>
        <v>263.28966746206441</v>
      </c>
      <c r="H20" s="150">
        <f>(($D20/VLOOKUP(H$4,Optimize!$C$12:K$36,2,0))^VLOOKUP(H$4,Optimize!$C$12:K$36,3,0)*VLOOKUP(H$4,Optimize!$C$12:K$36,5,0))</f>
        <v>43.675765878430617</v>
      </c>
      <c r="I20" s="150">
        <f>(($D20/VLOOKUP(I$4,Optimize!$C$12:L$36,2,0))^VLOOKUP(I$4,Optimize!$C$12:L$36,3,0)*VLOOKUP(I$4,Optimize!$C$12:L$36,5,0))</f>
        <v>62.797527097282092</v>
      </c>
      <c r="J20" s="150">
        <f>(($D20/VLOOKUP(J$4,Optimize!$C$12:M$36,2,0))^VLOOKUP(J$4,Optimize!$C$12:M$36,3,0)*VLOOKUP(J$4,Optimize!$C$12:M$36,5,0))</f>
        <v>377.28322010647423</v>
      </c>
      <c r="K20" s="150">
        <f>(($D20/VLOOKUP(K$4,Optimize!$C$12:N$36,2,0))^VLOOKUP(K$4,Optimize!$C$12:N$36,3,0)*VLOOKUP(K$4,Optimize!$C$12:N$36,5,0))</f>
        <v>698.72798327121995</v>
      </c>
      <c r="L20" s="150">
        <f>(($D20/VLOOKUP(L$4,Optimize!$C$12:O$36,2,0))^VLOOKUP(L$4,Optimize!$C$12:O$36,3,0)*VLOOKUP(L$4,Optimize!$C$12:O$36,5,0))</f>
        <v>290.91092586600979</v>
      </c>
      <c r="M20" s="150">
        <f>(($D20/VLOOKUP(M$4,Optimize!$C$12:P$36,2,0))^VLOOKUP(M$4,Optimize!$C$12:P$36,3,0)*VLOOKUP(M$4,Optimize!$C$12:P$36,5,0))</f>
        <v>603.19168581944837</v>
      </c>
      <c r="N20" s="150">
        <f>(($D20/VLOOKUP(N$4,Optimize!$C$12:Q$36,2,0))^VLOOKUP(N$4,Optimize!$C$12:Q$36,3,0)*VLOOKUP(N$4,Optimize!$C$12:Q$36,5,0))</f>
        <v>756.78062782702295</v>
      </c>
      <c r="O20" s="150">
        <f>(($D20/VLOOKUP(O$4,Optimize!$C$12:R$36,2,0))^VLOOKUP(O$4,Optimize!$C$12:R$36,3,0)*VLOOKUP(O$4,Optimize!$C$12:R$36,5,0))</f>
        <v>2623.3041792974818</v>
      </c>
      <c r="P20" s="150">
        <f>(($D20/VLOOKUP(P$4,Optimize!$C$12:S$36,2,0))^VLOOKUP(P$4,Optimize!$C$12:S$36,3,0)*VLOOKUP(P$4,Optimize!$C$12:S$36,5,0))</f>
        <v>595.34569247099432</v>
      </c>
      <c r="Q20" s="150">
        <f>(($D20/VLOOKUP(Q$4,Optimize!$C$12:T$36,2,0))^VLOOKUP(Q$4,Optimize!$C$12:T$36,3,0)*VLOOKUP(Q$4,Optimize!$C$12:T$36,5,0))</f>
        <v>1515.4400515227044</v>
      </c>
      <c r="R20" s="150">
        <f>(($D20/VLOOKUP(R$4,Optimize!$C$12:U$36,2,0))^VLOOKUP(R$4,Optimize!$C$12:U$36,3,0)*VLOOKUP(R$4,Optimize!$C$12:U$36,5,0))</f>
        <v>216.06897546384494</v>
      </c>
      <c r="S20" s="150">
        <f>(($D20/VLOOKUP(S$4,Optimize!$C$12:V$36,2,0))^VLOOKUP(S$4,Optimize!$C$12:V$36,3,0)*VLOOKUP(S$4,Optimize!$C$12:V$36,5,0))</f>
        <v>994.98569316204453</v>
      </c>
      <c r="T20" s="150">
        <f>(($D20/VLOOKUP(T$4,Optimize!$C$12:W$36,2,0))^VLOOKUP(T$4,Optimize!$C$12:W$36,3,0)*VLOOKUP(T$4,Optimize!$C$12:W$36,5,0))</f>
        <v>1291.7275744482081</v>
      </c>
      <c r="U20" s="150">
        <f>(($D20/VLOOKUP(U$4,Optimize!$C$12:U$36,2,0))^VLOOKUP(U$4,Optimize!$C$12:U$36,3,0)*VLOOKUP(U$4,Optimize!$C$12:U$36,5,0))</f>
        <v>1191.1599655013138</v>
      </c>
      <c r="V20" s="150">
        <f>(($D20/VLOOKUP(V$4,Optimize!$C$12:V$36,2,0))^VLOOKUP(V$4,Optimize!$C$12:V$36,3,0)*VLOOKUP(V$4,Optimize!$C$12:V$36,5,0))</f>
        <v>663.96189106733755</v>
      </c>
      <c r="W20" s="150">
        <f>(($D20/VLOOKUP(W$4,Optimize!$C$12:W$36,2,0))^VLOOKUP(W$4,Optimize!$C$12:W$36,3,0)*VLOOKUP(W$4,Optimize!$C$12:W$36,5,0))</f>
        <v>5556.1206870602646</v>
      </c>
      <c r="X20" s="150">
        <f>(($D20/VLOOKUP(X$4,Optimize!$C$12:X$36,2,0))^VLOOKUP(X$4,Optimize!$C$12:X$36,3,0)*VLOOKUP(X$4,Optimize!$C$12:X$36,5,0))</f>
        <v>7772.5150934239728</v>
      </c>
      <c r="Y20" s="150">
        <f>(($D20/VLOOKUP(Y$4,Optimize!$C$12:Y$36,2,0))^VLOOKUP(Y$4,Optimize!$C$12:Y$36,3,0)*VLOOKUP(Y$4,Optimize!$C$12:Y$36,5,0))</f>
        <v>1950.9567596302268</v>
      </c>
      <c r="AA20" s="210">
        <f>(E20-E19)/($D20-$D19)*Optimize!$H$9</f>
        <v>0.48577061030627067</v>
      </c>
      <c r="AB20" s="210">
        <f>(F20-F19)/($D20-$D19)*Optimize!$H$9</f>
        <v>0.19227635246753569</v>
      </c>
      <c r="AC20" s="210">
        <f>(G20-G19)/($D20-$D19)*Optimize!$H$9</f>
        <v>0.16091918173659125</v>
      </c>
      <c r="AD20" s="210">
        <f>(H20-H19)/($D20-$D19)*Optimize!$H$9</f>
        <v>2.6694053642984866E-2</v>
      </c>
      <c r="AE20" s="210">
        <f>(I20-I19)/($D20-$D19)*Optimize!$H$9</f>
        <v>3.8381022593802015E-2</v>
      </c>
      <c r="AF20" s="210">
        <f>(J20-J19)/($D20-$D19)*Optimize!$H$9</f>
        <v>0.23059054176984745</v>
      </c>
      <c r="AG20" s="210">
        <f>(K20-K19)/($D20-$D19)*Optimize!$H$9</f>
        <v>0.42705335309318448</v>
      </c>
      <c r="AH20" s="210">
        <f>(L20-L19)/($D20-$D19)*Optimize!$H$9</f>
        <v>0.17780093157411125</v>
      </c>
      <c r="AI20" s="210">
        <f>(M20-M19)/($D20-$D19)*Optimize!$H$9</f>
        <v>0.36866282466768874</v>
      </c>
      <c r="AJ20" s="210">
        <f>(N20-N19)/($D20-$D19)*Optimize!$H$9</f>
        <v>0.46253436588648328</v>
      </c>
      <c r="AK20" s="210">
        <f>(O20-O19)/($D20-$D19)*Optimize!$H$9</f>
        <v>1.6033290103932967</v>
      </c>
      <c r="AL20" s="210">
        <f>(P20-P19)/($D20-$D19)*Optimize!$H$9</f>
        <v>0.3638674567304882</v>
      </c>
      <c r="AM20" s="210">
        <f>(Q20-Q19)/($D20-$D19)*Optimize!$H$9</f>
        <v>0.92621702709632325</v>
      </c>
      <c r="AN20" s="210">
        <f>(R20-R19)/($D20-$D19)*Optimize!$H$9</f>
        <v>0.1320585158751641</v>
      </c>
      <c r="AO20" s="210">
        <f>(P20-P19)/($D20-$D19)*Optimize!$H$9</f>
        <v>0.3638674567304882</v>
      </c>
      <c r="AP20" s="210">
        <f>(Q20-Q19)/($D20-$D19)*Optimize!$H$9</f>
        <v>0.92621702709632325</v>
      </c>
      <c r="AQ20" s="210">
        <f>(U20-U19)/($D20-$D19)*Optimize!$H$9</f>
        <v>0.72802130373565233</v>
      </c>
      <c r="AR20" s="210">
        <f>(V20-V19)/($D20-$D19)*Optimize!$H$9</f>
        <v>0.40580477481225508</v>
      </c>
      <c r="AS20" s="210">
        <f>(W20-W19)/($D20-$D19)*Optimize!$H$9</f>
        <v>3.3958278849674617</v>
      </c>
      <c r="AT20" s="210">
        <f>(X20-X19)/($D20-$D19)*Optimize!$H$9</f>
        <v>4.7504589941772357</v>
      </c>
    </row>
    <row r="21" spans="4:46" x14ac:dyDescent="0.3">
      <c r="D21" s="148">
        <f t="shared" si="1"/>
        <v>4000000</v>
      </c>
      <c r="E21" s="150">
        <f>(($D21/VLOOKUP(E$4,Optimize!$C$12:H$36,2,0))^VLOOKUP(E$4,Optimize!$C$12:H$36,3,0)*VLOOKUP(E$4,Optimize!$C$12:H$36,5,0))</f>
        <v>831.52889055600724</v>
      </c>
      <c r="F21" s="150">
        <f>(($D21/VLOOKUP(F$4,Optimize!$C$12:I$36,2,0))^VLOOKUP(F$4,Optimize!$C$12:I$36,3,0)*VLOOKUP(F$4,Optimize!$C$12:I$36,5,0))</f>
        <v>329.13341946866797</v>
      </c>
      <c r="G21" s="150">
        <f>(($D21/VLOOKUP(G$4,Optimize!$C$12:J$36,2,0))^VLOOKUP(G$4,Optimize!$C$12:J$36,3,0)*VLOOKUP(G$4,Optimize!$C$12:J$36,5,0))</f>
        <v>275.4570692826494</v>
      </c>
      <c r="H21" s="150">
        <f>(($D21/VLOOKUP(H$4,Optimize!$C$12:K$36,2,0))^VLOOKUP(H$4,Optimize!$C$12:K$36,3,0)*VLOOKUP(H$4,Optimize!$C$12:K$36,5,0))</f>
        <v>45.694153452797622</v>
      </c>
      <c r="I21" s="150">
        <f>(($D21/VLOOKUP(I$4,Optimize!$C$12:L$36,2,0))^VLOOKUP(I$4,Optimize!$C$12:L$36,3,0)*VLOOKUP(I$4,Optimize!$C$12:L$36,5,0))</f>
        <v>65.69958836272005</v>
      </c>
      <c r="J21" s="150">
        <f>(($D21/VLOOKUP(J$4,Optimize!$C$12:M$36,2,0))^VLOOKUP(J$4,Optimize!$C$12:M$36,3,0)*VLOOKUP(J$4,Optimize!$C$12:M$36,5,0))</f>
        <v>394.71860442462662</v>
      </c>
      <c r="K21" s="150">
        <f>(($D21/VLOOKUP(K$4,Optimize!$C$12:N$36,2,0))^VLOOKUP(K$4,Optimize!$C$12:N$36,3,0)*VLOOKUP(K$4,Optimize!$C$12:N$36,5,0))</f>
        <v>731.01829005651291</v>
      </c>
      <c r="L21" s="150">
        <f>(($D21/VLOOKUP(L$4,Optimize!$C$12:O$36,2,0))^VLOOKUP(L$4,Optimize!$C$12:O$36,3,0)*VLOOKUP(L$4,Optimize!$C$12:O$36,5,0))</f>
        <v>304.35478852545168</v>
      </c>
      <c r="M21" s="150">
        <f>(($D21/VLOOKUP(M$4,Optimize!$C$12:P$36,2,0))^VLOOKUP(M$4,Optimize!$C$12:P$36,3,0)*VLOOKUP(M$4,Optimize!$C$12:P$36,5,0))</f>
        <v>631.06697499029553</v>
      </c>
      <c r="N21" s="150">
        <f>(($D21/VLOOKUP(N$4,Optimize!$C$12:Q$36,2,0))^VLOOKUP(N$4,Optimize!$C$12:Q$36,3,0)*VLOOKUP(N$4,Optimize!$C$12:Q$36,5,0))</f>
        <v>791.75372068541481</v>
      </c>
      <c r="O21" s="150">
        <f>(($D21/VLOOKUP(O$4,Optimize!$C$12:R$36,2,0))^VLOOKUP(O$4,Optimize!$C$12:R$36,3,0)*VLOOKUP(O$4,Optimize!$C$12:R$36,5,0))</f>
        <v>2744.5348996474595</v>
      </c>
      <c r="P21" s="150">
        <f>(($D21/VLOOKUP(P$4,Optimize!$C$12:S$36,2,0))^VLOOKUP(P$4,Optimize!$C$12:S$36,3,0)*VLOOKUP(P$4,Optimize!$C$12:S$36,5,0))</f>
        <v>622.85839485796771</v>
      </c>
      <c r="Q21" s="150">
        <f>(($D21/VLOOKUP(Q$4,Optimize!$C$12:T$36,2,0))^VLOOKUP(Q$4,Optimize!$C$12:T$36,3,0)*VLOOKUP(Q$4,Optimize!$C$12:T$36,5,0))</f>
        <v>1585.473062007407</v>
      </c>
      <c r="R21" s="150">
        <f>(($D21/VLOOKUP(R$4,Optimize!$C$12:U$36,2,0))^VLOOKUP(R$4,Optimize!$C$12:U$36,3,0)*VLOOKUP(R$4,Optimize!$C$12:U$36,5,0))</f>
        <v>226.05416808751482</v>
      </c>
      <c r="S21" s="150">
        <f>(($D21/VLOOKUP(S$4,Optimize!$C$12:V$36,2,0))^VLOOKUP(S$4,Optimize!$C$12:V$36,3,0)*VLOOKUP(S$4,Optimize!$C$12:V$36,5,0))</f>
        <v>1040.9669534641796</v>
      </c>
      <c r="T21" s="150">
        <f>(($D21/VLOOKUP(T$4,Optimize!$C$12:W$36,2,0))^VLOOKUP(T$4,Optimize!$C$12:W$36,3,0)*VLOOKUP(T$4,Optimize!$C$12:W$36,5,0))</f>
        <v>1351.4221632732913</v>
      </c>
      <c r="U21" s="150">
        <f>(($D21/VLOOKUP(U$4,Optimize!$C$12:U$36,2,0))^VLOOKUP(U$4,Optimize!$C$12:U$36,3,0)*VLOOKUP(U$4,Optimize!$C$12:U$36,5,0))</f>
        <v>1246.2070247822737</v>
      </c>
      <c r="V21" s="150">
        <f>(($D21/VLOOKUP(V$4,Optimize!$C$12:V$36,2,0))^VLOOKUP(V$4,Optimize!$C$12:V$36,3,0)*VLOOKUP(V$4,Optimize!$C$12:V$36,5,0))</f>
        <v>694.64555290657665</v>
      </c>
      <c r="W21" s="150">
        <f>(($D21/VLOOKUP(W$4,Optimize!$C$12:W$36,2,0))^VLOOKUP(W$4,Optimize!$C$12:W$36,3,0)*VLOOKUP(W$4,Optimize!$C$12:W$36,5,0))</f>
        <v>5812.8856167849262</v>
      </c>
      <c r="X21" s="150">
        <f>(($D21/VLOOKUP(X$4,Optimize!$C$12:X$36,2,0))^VLOOKUP(X$4,Optimize!$C$12:X$36,3,0)*VLOOKUP(X$4,Optimize!$C$12:X$36,5,0))</f>
        <v>8131.7062276976949</v>
      </c>
      <c r="Y21" s="150">
        <f>(($D21/VLOOKUP(Y$4,Optimize!$C$12:Y$36,2,0))^VLOOKUP(Y$4,Optimize!$C$12:Y$36,3,0)*VLOOKUP(Y$4,Optimize!$C$12:Y$36,5,0))</f>
        <v>2041.1162978218558</v>
      </c>
      <c r="AA21" s="210">
        <f>(E21-E20)/($D21-$D20)*Optimize!$H$9</f>
        <v>0.4761435794907049</v>
      </c>
      <c r="AB21" s="210">
        <f>(F21-F20)/($D21-$D20)*Optimize!$H$9</f>
        <v>0.18846580829084536</v>
      </c>
      <c r="AC21" s="210">
        <f>(G21-G20)/($D21-$D20)*Optimize!$H$9</f>
        <v>0.15773007583243731</v>
      </c>
      <c r="AD21" s="210">
        <f>(H21-H20)/($D21-$D20)*Optimize!$H$9</f>
        <v>2.6165029301945964E-2</v>
      </c>
      <c r="AE21" s="210">
        <f>(I21-I20)/($D21-$D20)*Optimize!$H$9</f>
        <v>3.7620385207751836E-2</v>
      </c>
      <c r="AF21" s="210">
        <f>(J21-J20)/($D21-$D20)*Optimize!$H$9</f>
        <v>0.22602068471325013</v>
      </c>
      <c r="AG21" s="210">
        <f>(K21-K20)/($D21-$D20)*Optimize!$H$9</f>
        <v>0.41858998436956807</v>
      </c>
      <c r="AH21" s="210">
        <f>(L21-L20)/($D21-$D20)*Optimize!$H$9</f>
        <v>0.17427726214869857</v>
      </c>
      <c r="AI21" s="210">
        <f>(M21-M20)/($D21-$D20)*Optimize!$H$9</f>
        <v>0.36135664290549868</v>
      </c>
      <c r="AJ21" s="210">
        <f>(N21-N20)/($D21-$D20)*Optimize!$H$9</f>
        <v>0.45336783234333966</v>
      </c>
      <c r="AK21" s="210">
        <f>(O21-O20)/($D21-$D20)*Optimize!$H$9</f>
        <v>1.5715541408086451</v>
      </c>
      <c r="AL21" s="210">
        <f>(P21-P20)/($D21-$D20)*Optimize!$H$9</f>
        <v>0.35665630985497887</v>
      </c>
      <c r="AM21" s="210">
        <f>(Q21-Q20)/($D21-$D20)*Optimize!$H$9</f>
        <v>0.90786120302509488</v>
      </c>
      <c r="AN21" s="210">
        <f>(R21-R20)/($D21-$D20)*Optimize!$H$9</f>
        <v>0.1294413723617146</v>
      </c>
      <c r="AO21" s="210">
        <f>(P21-P20)/($D21-$D20)*Optimize!$H$9</f>
        <v>0.35665630985497887</v>
      </c>
      <c r="AP21" s="210">
        <f>(Q21-Q20)/($D21-$D20)*Optimize!$H$9</f>
        <v>0.90786120302509488</v>
      </c>
      <c r="AQ21" s="210">
        <f>(U21-U20)/($D21-$D20)*Optimize!$H$9</f>
        <v>0.71359333428515359</v>
      </c>
      <c r="AR21" s="210">
        <f>(V21-V20)/($D21-$D20)*Optimize!$H$9</f>
        <v>0.39776251167542703</v>
      </c>
      <c r="AS21" s="210">
        <f>(W21-W20)/($D21-$D20)*Optimize!$H$9</f>
        <v>3.3285291661908958</v>
      </c>
      <c r="AT21" s="210">
        <f>(X21-X20)/($D21-$D20)*Optimize!$H$9</f>
        <v>4.656314115597235</v>
      </c>
    </row>
    <row r="22" spans="4:46" x14ac:dyDescent="0.3">
      <c r="D22" s="148">
        <f t="shared" si="1"/>
        <v>4250000</v>
      </c>
      <c r="E22" s="150">
        <f>(($D22/VLOOKUP(E$4,Optimize!$C$12:H$36,2,0))^VLOOKUP(E$4,Optimize!$C$12:H$36,3,0)*VLOOKUP(E$4,Optimize!$C$12:H$36,5,0))</f>
        <v>867.57614085489354</v>
      </c>
      <c r="F22" s="150">
        <f>(($D22/VLOOKUP(F$4,Optimize!$C$12:I$36,2,0))^VLOOKUP(F$4,Optimize!$C$12:I$36,3,0)*VLOOKUP(F$4,Optimize!$C$12:I$36,5,0))</f>
        <v>343.40154038191992</v>
      </c>
      <c r="G22" s="150">
        <f>(($D22/VLOOKUP(G$4,Optimize!$C$12:J$36,2,0))^VLOOKUP(G$4,Optimize!$C$12:J$36,3,0)*VLOOKUP(G$4,Optimize!$C$12:J$36,5,0))</f>
        <v>287.39828988941616</v>
      </c>
      <c r="H22" s="150">
        <f>(($D22/VLOOKUP(H$4,Optimize!$C$12:K$36,2,0))^VLOOKUP(H$4,Optimize!$C$12:K$36,3,0)*VLOOKUP(H$4,Optimize!$C$12:K$36,5,0))</f>
        <v>47.67502099139552</v>
      </c>
      <c r="I22" s="150">
        <f>(($D22/VLOOKUP(I$4,Optimize!$C$12:L$36,2,0))^VLOOKUP(I$4,Optimize!$C$12:L$36,3,0)*VLOOKUP(I$4,Optimize!$C$12:L$36,5,0))</f>
        <v>68.547702881821365</v>
      </c>
      <c r="J22" s="150">
        <f>(($D22/VLOOKUP(J$4,Optimize!$C$12:M$36,2,0))^VLOOKUP(J$4,Optimize!$C$12:M$36,3,0)*VLOOKUP(J$4,Optimize!$C$12:M$36,5,0))</f>
        <v>411.82988040423533</v>
      </c>
      <c r="K22" s="150">
        <f>(($D22/VLOOKUP(K$4,Optimize!$C$12:N$36,2,0))^VLOOKUP(K$4,Optimize!$C$12:N$36,3,0)*VLOOKUP(K$4,Optimize!$C$12:N$36,5,0))</f>
        <v>762.7083486630288</v>
      </c>
      <c r="L22" s="150">
        <f>(($D22/VLOOKUP(L$4,Optimize!$C$12:O$36,2,0))^VLOOKUP(L$4,Optimize!$C$12:O$36,3,0)*VLOOKUP(L$4,Optimize!$C$12:O$36,5,0))</f>
        <v>317.54874169562424</v>
      </c>
      <c r="M22" s="150">
        <f>(($D22/VLOOKUP(M$4,Optimize!$C$12:P$36,2,0))^VLOOKUP(M$4,Optimize!$C$12:P$36,3,0)*VLOOKUP(M$4,Optimize!$C$12:P$36,5,0))</f>
        <v>658.42408724604115</v>
      </c>
      <c r="N22" s="150">
        <f>(($D22/VLOOKUP(N$4,Optimize!$C$12:Q$36,2,0))^VLOOKUP(N$4,Optimize!$C$12:Q$36,3,0)*VLOOKUP(N$4,Optimize!$C$12:Q$36,5,0))</f>
        <v>826.07669475013768</v>
      </c>
      <c r="O22" s="150">
        <f>(($D22/VLOOKUP(O$4,Optimize!$C$12:R$36,2,0))^VLOOKUP(O$4,Optimize!$C$12:R$36,3,0)*VLOOKUP(O$4,Optimize!$C$12:R$36,5,0))</f>
        <v>2863.5120483734268</v>
      </c>
      <c r="P22" s="150">
        <f>(($D22/VLOOKUP(P$4,Optimize!$C$12:S$36,2,0))^VLOOKUP(P$4,Optimize!$C$12:S$36,3,0)*VLOOKUP(P$4,Optimize!$C$12:S$36,5,0))</f>
        <v>649.85966049672948</v>
      </c>
      <c r="Q22" s="150">
        <f>(($D22/VLOOKUP(Q$4,Optimize!$C$12:T$36,2,0))^VLOOKUP(Q$4,Optimize!$C$12:T$36,3,0)*VLOOKUP(Q$4,Optimize!$C$12:T$36,5,0))</f>
        <v>1654.2042209093038</v>
      </c>
      <c r="R22" s="150">
        <f>(($D22/VLOOKUP(R$4,Optimize!$C$12:U$36,2,0))^VLOOKUP(R$4,Optimize!$C$12:U$36,3,0)*VLOOKUP(R$4,Optimize!$C$12:U$36,5,0))</f>
        <v>235.85374483187599</v>
      </c>
      <c r="S22" s="150">
        <f>(($D22/VLOOKUP(S$4,Optimize!$C$12:V$36,2,0))^VLOOKUP(S$4,Optimize!$C$12:V$36,3,0)*VLOOKUP(S$4,Optimize!$C$12:V$36,5,0))</f>
        <v>1086.0934628982679</v>
      </c>
      <c r="T22" s="150">
        <f>(($D22/VLOOKUP(T$4,Optimize!$C$12:W$36,2,0))^VLOOKUP(T$4,Optimize!$C$12:W$36,3,0)*VLOOKUP(T$4,Optimize!$C$12:W$36,5,0))</f>
        <v>1410.0070826095287</v>
      </c>
      <c r="U22" s="150">
        <f>(($D22/VLOOKUP(U$4,Optimize!$C$12:U$36,2,0))^VLOOKUP(U$4,Optimize!$C$12:U$36,3,0)*VLOOKUP(U$4,Optimize!$C$12:U$36,5,0))</f>
        <v>1300.2308080287216</v>
      </c>
      <c r="V22" s="150">
        <f>(($D22/VLOOKUP(V$4,Optimize!$C$12:V$36,2,0))^VLOOKUP(V$4,Optimize!$C$12:V$36,3,0)*VLOOKUP(V$4,Optimize!$C$12:V$36,5,0))</f>
        <v>724.75883267234451</v>
      </c>
      <c r="W22" s="150">
        <f>(($D22/VLOOKUP(W$4,Optimize!$C$12:W$36,2,0))^VLOOKUP(W$4,Optimize!$C$12:W$36,3,0)*VLOOKUP(W$4,Optimize!$C$12:W$36,5,0))</f>
        <v>6064.877514080199</v>
      </c>
      <c r="X22" s="150">
        <f>(($D22/VLOOKUP(X$4,Optimize!$C$12:X$36,2,0))^VLOOKUP(X$4,Optimize!$C$12:X$36,3,0)*VLOOKUP(X$4,Optimize!$C$12:X$36,5,0))</f>
        <v>8484.2203171971378</v>
      </c>
      <c r="Y22" s="150">
        <f>(($D22/VLOOKUP(Y$4,Optimize!$C$12:Y$36,2,0))^VLOOKUP(Y$4,Optimize!$C$12:Y$36,3,0)*VLOOKUP(Y$4,Optimize!$C$12:Y$36,5,0))</f>
        <v>2129.5998501221529</v>
      </c>
      <c r="AA22" s="210">
        <f>(E22-E21)/($D22-$D21)*Optimize!$H$9</f>
        <v>0.46729249243457838</v>
      </c>
      <c r="AB22" s="210">
        <f>(F22-F21)/($D22-$D21)*Optimize!$H$9</f>
        <v>0.18496239598384648</v>
      </c>
      <c r="AC22" s="210">
        <f>(G22-G21)/($D22-$D21)*Optimize!$H$9</f>
        <v>0.15479801354555991</v>
      </c>
      <c r="AD22" s="210">
        <f>(H22-H21)/($D22-$D21)*Optimize!$H$9</f>
        <v>2.5678644601714849E-2</v>
      </c>
      <c r="AE22" s="210">
        <f>(I22-I21)/($D22-$D21)*Optimize!$H$9</f>
        <v>3.692105559605148E-2</v>
      </c>
      <c r="AF22" s="210">
        <f>(J22-J21)/($D22-$D21)*Optimize!$H$9</f>
        <v>0.22181916054480097</v>
      </c>
      <c r="AG22" s="210">
        <f>(K22-K21)/($D22-$D21)*Optimize!$H$9</f>
        <v>0.41080876762725482</v>
      </c>
      <c r="AH22" s="210">
        <f>(L22-L21)/($D22-$D21)*Optimize!$H$9</f>
        <v>0.1710376023367732</v>
      </c>
      <c r="AI22" s="210">
        <f>(M22-M21)/($D22-$D21)*Optimize!$H$9</f>
        <v>0.35463934324540936</v>
      </c>
      <c r="AJ22" s="210">
        <f>(N22-N21)/($D22-$D21)*Optimize!$H$9</f>
        <v>0.44494012623668205</v>
      </c>
      <c r="AK22" s="210">
        <f>(O22-O21)/($D22-$D21)*Optimize!$H$9</f>
        <v>1.5423403424653022</v>
      </c>
      <c r="AL22" s="210">
        <f>(P22-P21)/($D22-$D21)*Optimize!$H$9</f>
        <v>0.35002638521959467</v>
      </c>
      <c r="AM22" s="210">
        <f>(Q22-Q21)/($D22-$D21)*Optimize!$H$9</f>
        <v>0.8909848680518283</v>
      </c>
      <c r="AN22" s="210">
        <f>(R22-R21)/($D22-$D21)*Optimize!$H$9</f>
        <v>0.12703517199529468</v>
      </c>
      <c r="AO22" s="210">
        <f>(P22-P21)/($D22-$D21)*Optimize!$H$9</f>
        <v>0.35002638521959467</v>
      </c>
      <c r="AP22" s="210">
        <f>(Q22-Q21)/($D22-$D21)*Optimize!$H$9</f>
        <v>0.8909848680518283</v>
      </c>
      <c r="AQ22" s="210">
        <f>(U22-U21)/($D22-$D21)*Optimize!$H$9</f>
        <v>0.70032826677928406</v>
      </c>
      <c r="AR22" s="210">
        <f>(V22-V21)/($D22-$D21)*Optimize!$H$9</f>
        <v>0.39036845918758395</v>
      </c>
      <c r="AS22" s="210">
        <f>(W22-W21)/($D22-$D21)*Optimize!$H$9</f>
        <v>3.2666547596298736</v>
      </c>
      <c r="AT22" s="210">
        <f>(X22-X21)/($D22-$D21)*Optimize!$H$9</f>
        <v>4.5697573638672262</v>
      </c>
    </row>
    <row r="23" spans="4:46" x14ac:dyDescent="0.3">
      <c r="D23" s="148">
        <f t="shared" si="1"/>
        <v>4500000</v>
      </c>
      <c r="E23" s="150">
        <f>(($D23/VLOOKUP(E$4,Optimize!$C$12:H$36,2,0))^VLOOKUP(E$4,Optimize!$C$12:H$36,3,0)*VLOOKUP(E$4,Optimize!$C$12:H$36,5,0))</f>
        <v>902.99242808626127</v>
      </c>
      <c r="F23" s="150">
        <f>(($D23/VLOOKUP(F$4,Optimize!$C$12:I$36,2,0))^VLOOKUP(F$4,Optimize!$C$12:I$36,3,0)*VLOOKUP(F$4,Optimize!$C$12:I$36,5,0))</f>
        <v>357.41991527392196</v>
      </c>
      <c r="G23" s="150">
        <f>(($D23/VLOOKUP(G$4,Optimize!$C$12:J$36,2,0))^VLOOKUP(G$4,Optimize!$C$12:J$36,3,0)*VLOOKUP(G$4,Optimize!$C$12:J$36,5,0))</f>
        <v>299.13049402137585</v>
      </c>
      <c r="H23" s="150">
        <f>(($D23/VLOOKUP(H$4,Optimize!$C$12:K$36,2,0))^VLOOKUP(H$4,Optimize!$C$12:K$36,3,0)*VLOOKUP(H$4,Optimize!$C$12:K$36,5,0))</f>
        <v>49.621215864307743</v>
      </c>
      <c r="I23" s="150">
        <f>(($D23/VLOOKUP(I$4,Optimize!$C$12:L$36,2,0))^VLOOKUP(I$4,Optimize!$C$12:L$36,3,0)*VLOOKUP(I$4,Optimize!$C$12:L$36,5,0))</f>
        <v>71.345964636600399</v>
      </c>
      <c r="J23" s="150">
        <f>(($D23/VLOOKUP(J$4,Optimize!$C$12:M$36,2,0))^VLOOKUP(J$4,Optimize!$C$12:M$36,3,0)*VLOOKUP(J$4,Optimize!$C$12:M$36,5,0))</f>
        <v>428.6416444074315</v>
      </c>
      <c r="K23" s="150">
        <f>(($D23/VLOOKUP(K$4,Optimize!$C$12:N$36,2,0))^VLOOKUP(K$4,Optimize!$C$12:N$36,3,0)*VLOOKUP(K$4,Optimize!$C$12:N$36,5,0))</f>
        <v>793.84371151820665</v>
      </c>
      <c r="L23" s="150">
        <f>(($D23/VLOOKUP(L$4,Optimize!$C$12:O$36,2,0))^VLOOKUP(L$4,Optimize!$C$12:O$36,3,0)*VLOOKUP(L$4,Optimize!$C$12:O$36,5,0))</f>
        <v>330.51175083827968</v>
      </c>
      <c r="M23" s="150">
        <f>(($D23/VLOOKUP(M$4,Optimize!$C$12:P$36,2,0))^VLOOKUP(M$4,Optimize!$C$12:P$36,3,0)*VLOOKUP(M$4,Optimize!$C$12:P$36,5,0))</f>
        <v>685.30234668155163</v>
      </c>
      <c r="N23" s="150">
        <f>(($D23/VLOOKUP(N$4,Optimize!$C$12:Q$36,2,0))^VLOOKUP(N$4,Optimize!$C$12:Q$36,3,0)*VLOOKUP(N$4,Optimize!$C$12:Q$36,5,0))</f>
        <v>859.79888709579279</v>
      </c>
      <c r="O23" s="150">
        <f>(($D23/VLOOKUP(O$4,Optimize!$C$12:R$36,2,0))^VLOOKUP(O$4,Optimize!$C$12:R$36,3,0)*VLOOKUP(O$4,Optimize!$C$12:R$36,5,0))</f>
        <v>2980.4066474984597</v>
      </c>
      <c r="P23" s="150">
        <f>(($D23/VLOOKUP(P$4,Optimize!$C$12:S$36,2,0))^VLOOKUP(P$4,Optimize!$C$12:S$36,3,0)*VLOOKUP(P$4,Optimize!$C$12:S$36,5,0))</f>
        <v>676.38830197544996</v>
      </c>
      <c r="Q23" s="150">
        <f>(($D23/VLOOKUP(Q$4,Optimize!$C$12:T$36,2,0))^VLOOKUP(Q$4,Optimize!$C$12:T$36,3,0)*VLOOKUP(Q$4,Optimize!$C$12:T$36,5,0))</f>
        <v>1721.7323248626183</v>
      </c>
      <c r="R23" s="150">
        <f>(($D23/VLOOKUP(R$4,Optimize!$C$12:U$36,2,0))^VLOOKUP(R$4,Optimize!$C$12:U$36,3,0)*VLOOKUP(R$4,Optimize!$C$12:U$36,5,0))</f>
        <v>245.48179196019899</v>
      </c>
      <c r="S23" s="150">
        <f>(($D23/VLOOKUP(S$4,Optimize!$C$12:V$36,2,0))^VLOOKUP(S$4,Optimize!$C$12:V$36,3,0)*VLOOKUP(S$4,Optimize!$C$12:V$36,5,0))</f>
        <v>1130.4300879283348</v>
      </c>
      <c r="T23" s="150">
        <f>(($D23/VLOOKUP(T$4,Optimize!$C$12:W$36,2,0))^VLOOKUP(T$4,Optimize!$C$12:W$36,3,0)*VLOOKUP(T$4,Optimize!$C$12:W$36,5,0))</f>
        <v>1467.5665445222951</v>
      </c>
      <c r="U23" s="150">
        <f>(($D23/VLOOKUP(U$4,Optimize!$C$12:U$36,2,0))^VLOOKUP(U$4,Optimize!$C$12:U$36,3,0)*VLOOKUP(U$4,Optimize!$C$12:U$36,5,0))</f>
        <v>1353.3089709653402</v>
      </c>
      <c r="V23" s="150">
        <f>(($D23/VLOOKUP(V$4,Optimize!$C$12:V$36,2,0))^VLOOKUP(V$4,Optimize!$C$12:V$36,3,0)*VLOOKUP(V$4,Optimize!$C$12:V$36,5,0))</f>
        <v>754.34501627359202</v>
      </c>
      <c r="W23" s="150">
        <f>(($D23/VLOOKUP(W$4,Optimize!$C$12:W$36,2,0))^VLOOKUP(W$4,Optimize!$C$12:W$36,3,0)*VLOOKUP(W$4,Optimize!$C$12:W$36,5,0))</f>
        <v>6312.4586011419915</v>
      </c>
      <c r="X23" s="150">
        <f>(($D23/VLOOKUP(X$4,Optimize!$C$12:X$36,2,0))^VLOOKUP(X$4,Optimize!$C$12:X$36,3,0)*VLOOKUP(X$4,Optimize!$C$12:X$36,5,0))</f>
        <v>8830.5640783245144</v>
      </c>
      <c r="Y23" s="150">
        <f>(($D23/VLOOKUP(Y$4,Optimize!$C$12:Y$36,2,0))^VLOOKUP(Y$4,Optimize!$C$12:Y$36,3,0)*VLOOKUP(Y$4,Optimize!$C$12:Y$36,5,0))</f>
        <v>2216.5346059644285</v>
      </c>
      <c r="AA23" s="210">
        <f>(E23-E22)/($D23-$D22)*Optimize!$H$9</f>
        <v>0.45911310837587183</v>
      </c>
      <c r="AB23" s="210">
        <f>(F23-F22)/($D23-$D22)*Optimize!$H$9</f>
        <v>0.18172485526221499</v>
      </c>
      <c r="AC23" s="210">
        <f>(G23-G22)/($D23-$D22)*Optimize!$H$9</f>
        <v>0.15208846347828323</v>
      </c>
      <c r="AD23" s="210">
        <f>(H23-H22)/($D23-$D22)*Optimize!$H$9</f>
        <v>2.5229171306712622E-2</v>
      </c>
      <c r="AE23" s="210">
        <f>(I23-I22)/($D23-$D22)*Optimize!$H$9</f>
        <v>3.6274797634577173E-2</v>
      </c>
      <c r="AF23" s="210">
        <f>(J23-J22)/($D23-$D22)*Optimize!$H$9</f>
        <v>0.21793648719769845</v>
      </c>
      <c r="AG23" s="210">
        <f>(K23-K22)/($D23-$D22)*Optimize!$H$9</f>
        <v>0.40361806214940493</v>
      </c>
      <c r="AH23" s="210">
        <f>(L23-L22)/($D23-$D22)*Optimize!$H$9</f>
        <v>0.16804379811213613</v>
      </c>
      <c r="AI23" s="210">
        <f>(M23-M22)/($D23-$D22)*Optimize!$H$9</f>
        <v>0.34843181490353403</v>
      </c>
      <c r="AJ23" s="210">
        <f>(N23-N22)/($D23-$D22)*Optimize!$H$9</f>
        <v>0.43715199303416213</v>
      </c>
      <c r="AK23" s="210">
        <f>(O23-O22)/($D23-$D22)*Optimize!$H$9</f>
        <v>1.5153435594771343</v>
      </c>
      <c r="AL23" s="210">
        <f>(P23-P22)/($D23-$D22)*Optimize!$H$9</f>
        <v>0.34389960107103201</v>
      </c>
      <c r="AM23" s="210">
        <f>(Q23-Q22)/($D23-$D22)*Optimize!$H$9</f>
        <v>0.87538926670089334</v>
      </c>
      <c r="AN23" s="210">
        <f>(R23-R22)/($D23-$D22)*Optimize!$H$9</f>
        <v>0.12481157654376332</v>
      </c>
      <c r="AO23" s="210">
        <f>(P23-P22)/($D23-$D22)*Optimize!$H$9</f>
        <v>0.34389960107103201</v>
      </c>
      <c r="AP23" s="210">
        <f>(Q23-Q22)/($D23-$D22)*Optimize!$H$9</f>
        <v>0.87538926670089334</v>
      </c>
      <c r="AQ23" s="210">
        <f>(U23-U22)/($D23-$D22)*Optimize!$H$9</f>
        <v>0.68806987625537319</v>
      </c>
      <c r="AR23" s="210">
        <f>(V23-V22)/($D23-$D22)*Optimize!$H$9</f>
        <v>0.38353553633135634</v>
      </c>
      <c r="AS23" s="210">
        <f>(W23-W22)/($D23-$D22)*Optimize!$H$9</f>
        <v>3.2094759598443425</v>
      </c>
      <c r="AT23" s="210">
        <f>(X23-X22)/($D23-$D22)*Optimize!$H$9</f>
        <v>4.489769345357761</v>
      </c>
    </row>
    <row r="24" spans="4:46" x14ac:dyDescent="0.3">
      <c r="D24" s="148">
        <f t="shared" si="1"/>
        <v>4750000</v>
      </c>
      <c r="E24" s="150">
        <f>(($D24/VLOOKUP(E$4,Optimize!$C$12:H$36,2,0))^VLOOKUP(E$4,Optimize!$C$12:H$36,3,0)*VLOOKUP(E$4,Optimize!$C$12:H$36,5,0))</f>
        <v>937.82299169517432</v>
      </c>
      <c r="F24" s="150">
        <f>(($D24/VLOOKUP(F$4,Optimize!$C$12:I$36,2,0))^VLOOKUP(F$4,Optimize!$C$12:I$36,3,0)*VLOOKUP(F$4,Optimize!$C$12:I$36,5,0))</f>
        <v>371.20645069418521</v>
      </c>
      <c r="G24" s="150">
        <f>(($D24/VLOOKUP(G$4,Optimize!$C$12:J$36,2,0))^VLOOKUP(G$4,Optimize!$C$12:J$36,3,0)*VLOOKUP(G$4,Optimize!$C$12:J$36,5,0))</f>
        <v>310.66866795873443</v>
      </c>
      <c r="H24" s="150">
        <f>(($D24/VLOOKUP(H$4,Optimize!$C$12:K$36,2,0))^VLOOKUP(H$4,Optimize!$C$12:K$36,3,0)*VLOOKUP(H$4,Optimize!$C$12:K$36,5,0))</f>
        <v>51.535224068314818</v>
      </c>
      <c r="I24" s="150">
        <f>(($D24/VLOOKUP(I$4,Optimize!$C$12:L$36,2,0))^VLOOKUP(I$4,Optimize!$C$12:L$36,3,0)*VLOOKUP(I$4,Optimize!$C$12:L$36,5,0))</f>
        <v>74.097948022309339</v>
      </c>
      <c r="J24" s="150">
        <f>(($D24/VLOOKUP(J$4,Optimize!$C$12:M$36,2,0))^VLOOKUP(J$4,Optimize!$C$12:M$36,3,0)*VLOOKUP(J$4,Optimize!$C$12:M$36,5,0))</f>
        <v>445.17537115484544</v>
      </c>
      <c r="K24" s="150">
        <f>(($D24/VLOOKUP(K$4,Optimize!$C$12:N$36,2,0))^VLOOKUP(K$4,Optimize!$C$12:N$36,3,0)*VLOOKUP(K$4,Optimize!$C$12:N$36,5,0))</f>
        <v>824.46414977389611</v>
      </c>
      <c r="L24" s="150">
        <f>(($D24/VLOOKUP(L$4,Optimize!$C$12:O$36,2,0))^VLOOKUP(L$4,Optimize!$C$12:O$36,3,0)*VLOOKUP(L$4,Optimize!$C$12:O$36,5,0))</f>
        <v>343.26037441806272</v>
      </c>
      <c r="M24" s="150">
        <f>(($D24/VLOOKUP(M$4,Optimize!$C$12:P$36,2,0))^VLOOKUP(M$4,Optimize!$C$12:P$36,3,0)*VLOOKUP(M$4,Optimize!$C$12:P$36,5,0))</f>
        <v>711.73608658346461</v>
      </c>
      <c r="N24" s="150">
        <f>(($D24/VLOOKUP(N$4,Optimize!$C$12:Q$36,2,0))^VLOOKUP(N$4,Optimize!$C$12:Q$36,3,0)*VLOOKUP(N$4,Optimize!$C$12:Q$36,5,0))</f>
        <v>892.96337319378881</v>
      </c>
      <c r="O24" s="150">
        <f>(($D24/VLOOKUP(O$4,Optimize!$C$12:R$36,2,0))^VLOOKUP(O$4,Optimize!$C$12:R$36,3,0)*VLOOKUP(O$4,Optimize!$C$12:R$36,5,0))</f>
        <v>3095.368013825891</v>
      </c>
      <c r="P24" s="150">
        <f>(($D24/VLOOKUP(P$4,Optimize!$C$12:S$36,2,0))^VLOOKUP(P$4,Optimize!$C$12:S$36,3,0)*VLOOKUP(P$4,Optimize!$C$12:S$36,5,0))</f>
        <v>702.47820599182114</v>
      </c>
      <c r="Q24" s="150">
        <f>(($D24/VLOOKUP(Q$4,Optimize!$C$12:T$36,2,0))^VLOOKUP(Q$4,Optimize!$C$12:T$36,3,0)*VLOOKUP(Q$4,Optimize!$C$12:T$36,5,0))</f>
        <v>1788.1436317500336</v>
      </c>
      <c r="R24" s="150">
        <f>(($D24/VLOOKUP(R$4,Optimize!$C$12:U$36,2,0))^VLOOKUP(R$4,Optimize!$C$12:U$36,3,0)*VLOOKUP(R$4,Optimize!$C$12:U$36,5,0))</f>
        <v>254.95060798097171</v>
      </c>
      <c r="S24" s="150">
        <f>(($D24/VLOOKUP(S$4,Optimize!$C$12:V$36,2,0))^VLOOKUP(S$4,Optimize!$C$12:V$36,3,0)*VLOOKUP(S$4,Optimize!$C$12:V$36,5,0))</f>
        <v>1174.0334625064168</v>
      </c>
      <c r="T24" s="150">
        <f>(($D24/VLOOKUP(T$4,Optimize!$C$12:W$36,2,0))^VLOOKUP(T$4,Optimize!$C$12:W$36,3,0)*VLOOKUP(T$4,Optimize!$C$12:W$36,5,0))</f>
        <v>1524.1740733225404</v>
      </c>
      <c r="U24" s="150">
        <f>(($D24/VLOOKUP(U$4,Optimize!$C$12:U$36,2,0))^VLOOKUP(U$4,Optimize!$C$12:U$36,3,0)*VLOOKUP(U$4,Optimize!$C$12:U$36,5,0))</f>
        <v>1405.5093136588207</v>
      </c>
      <c r="V24" s="150">
        <f>(($D24/VLOOKUP(V$4,Optimize!$C$12:V$36,2,0))^VLOOKUP(V$4,Optimize!$C$12:V$36,3,0)*VLOOKUP(V$4,Optimize!$C$12:V$36,5,0))</f>
        <v>783.44189599833965</v>
      </c>
      <c r="W24" s="150">
        <f>(($D24/VLOOKUP(W$4,Optimize!$C$12:W$36,2,0))^VLOOKUP(W$4,Optimize!$C$12:W$36,3,0)*VLOOKUP(W$4,Optimize!$C$12:W$36,5,0))</f>
        <v>6555.9451288216032</v>
      </c>
      <c r="X24" s="150">
        <f>(($D24/VLOOKUP(X$4,Optimize!$C$12:X$36,2,0))^VLOOKUP(X$4,Optimize!$C$12:X$36,3,0)*VLOOKUP(X$4,Optimize!$C$12:X$36,5,0))</f>
        <v>9171.1799176893237</v>
      </c>
      <c r="Y24" s="150">
        <f>(($D24/VLOOKUP(Y$4,Optimize!$C$12:Y$36,2,0))^VLOOKUP(Y$4,Optimize!$C$12:Y$36,3,0)*VLOOKUP(Y$4,Optimize!$C$12:Y$36,5,0))</f>
        <v>2302.0316125650488</v>
      </c>
      <c r="AA24" s="210">
        <f>(E24-E23)/($D24-$D23)*Optimize!$H$9</f>
        <v>0.45152017828702357</v>
      </c>
      <c r="AB24" s="210">
        <f>(F24-F23)/($D24-$D23)*Optimize!$H$9</f>
        <v>0.17871944309636986</v>
      </c>
      <c r="AC24" s="210">
        <f>(G24-G23)/($D24-$D23)*Optimize!$H$9</f>
        <v>0.14957318554471169</v>
      </c>
      <c r="AD24" s="210">
        <f>(H24-H23)/($D24-$D23)*Optimize!$H$9</f>
        <v>2.4811924814646134E-2</v>
      </c>
      <c r="AE24" s="210">
        <f>(I24-I23)/($D24-$D23)*Optimize!$H$9</f>
        <v>3.567487574735239E-2</v>
      </c>
      <c r="AF24" s="210">
        <f>(J24-J23)/($D24-$D23)*Optimize!$H$9</f>
        <v>0.21433219779512602</v>
      </c>
      <c r="AG24" s="210">
        <f>(K24-K23)/($D24-$D23)*Optimize!$H$9</f>
        <v>0.39694292333810333</v>
      </c>
      <c r="AH24" s="210">
        <f>(L24-L23)/($D24-$D23)*Optimize!$H$9</f>
        <v>0.16526464677088312</v>
      </c>
      <c r="AI24" s="210">
        <f>(M24-M23)/($D24-$D23)*Optimize!$H$9</f>
        <v>0.34266936037320767</v>
      </c>
      <c r="AJ24" s="210">
        <f>(N24-N23)/($D24-$D23)*Optimize!$H$9</f>
        <v>0.42992226149142065</v>
      </c>
      <c r="AK24" s="210">
        <f>(O24-O23)/($D24-$D23)*Optimize!$H$9</f>
        <v>1.4902824198629572</v>
      </c>
      <c r="AL24" s="210">
        <f>(P24-P23)/($D24-$D23)*Optimize!$H$9</f>
        <v>0.33821210145301078</v>
      </c>
      <c r="AM24" s="210">
        <f>(Q24-Q23)/($D24-$D23)*Optimize!$H$9</f>
        <v>0.86091185496655742</v>
      </c>
      <c r="AN24" s="210">
        <f>(R24-R23)/($D24-$D23)*Optimize!$H$9</f>
        <v>0.1227474107473894</v>
      </c>
      <c r="AO24" s="210">
        <f>(P24-P23)/($D24-$D23)*Optimize!$H$9</f>
        <v>0.33821210145301078</v>
      </c>
      <c r="AP24" s="210">
        <f>(Q24-Q23)/($D24-$D23)*Optimize!$H$9</f>
        <v>0.86091185496655742</v>
      </c>
      <c r="AQ24" s="210">
        <f>(U24-U23)/($D24-$D23)*Optimize!$H$9</f>
        <v>0.67669040054157081</v>
      </c>
      <c r="AR24" s="210">
        <f>(V24-V23)/($D24-$D23)*Optimize!$H$9</f>
        <v>0.37719252747182624</v>
      </c>
      <c r="AS24" s="210">
        <f>(W24-W23)/($D24-$D23)*Optimize!$H$9</f>
        <v>3.1563968250072612</v>
      </c>
      <c r="AT24" s="210">
        <f>(X24-X23)/($D24-$D23)*Optimize!$H$9</f>
        <v>4.4155163908409207</v>
      </c>
    </row>
    <row r="25" spans="4:46" x14ac:dyDescent="0.3">
      <c r="D25" s="148">
        <f t="shared" si="1"/>
        <v>5000000</v>
      </c>
      <c r="E25" s="150">
        <f>(($D25/VLOOKUP(E$4,Optimize!$C$12:H$36,2,0))^VLOOKUP(E$4,Optimize!$C$12:H$36,3,0)*VLOOKUP(E$4,Optimize!$C$12:H$36,5,0))</f>
        <v>972.10763026521522</v>
      </c>
      <c r="F25" s="150">
        <f>(($D25/VLOOKUP(F$4,Optimize!$C$12:I$36,2,0))^VLOOKUP(F$4,Optimize!$C$12:I$36,3,0)*VLOOKUP(F$4,Optimize!$C$12:I$36,5,0))</f>
        <v>384.77689960577931</v>
      </c>
      <c r="G25" s="150">
        <f>(($D25/VLOOKUP(G$4,Optimize!$C$12:J$36,2,0))^VLOOKUP(G$4,Optimize!$C$12:J$36,3,0)*VLOOKUP(G$4,Optimize!$C$12:J$36,5,0))</f>
        <v>322.02599561045764</v>
      </c>
      <c r="H25" s="150">
        <f>(($D25/VLOOKUP(H$4,Optimize!$C$12:K$36,2,0))^VLOOKUP(H$4,Optimize!$C$12:K$36,3,0)*VLOOKUP(H$4,Optimize!$C$12:K$36,5,0))</f>
        <v>53.41923261412208</v>
      </c>
      <c r="I25" s="150">
        <f>(($D25/VLOOKUP(I$4,Optimize!$C$12:L$36,2,0))^VLOOKUP(I$4,Optimize!$C$12:L$36,3,0)*VLOOKUP(I$4,Optimize!$C$12:L$36,5,0))</f>
        <v>76.806797548523861</v>
      </c>
      <c r="J25" s="150">
        <f>(($D25/VLOOKUP(J$4,Optimize!$C$12:M$36,2,0))^VLOOKUP(J$4,Optimize!$C$12:M$36,3,0)*VLOOKUP(J$4,Optimize!$C$12:M$36,5,0))</f>
        <v>461.44995264355407</v>
      </c>
      <c r="K25" s="150">
        <f>(($D25/VLOOKUP(K$4,Optimize!$C$12:N$36,2,0))^VLOOKUP(K$4,Optimize!$C$12:N$36,3,0)*VLOOKUP(K$4,Optimize!$C$12:N$36,5,0))</f>
        <v>854.60465138162544</v>
      </c>
      <c r="L25" s="150">
        <f>(($D25/VLOOKUP(L$4,Optimize!$C$12:O$36,2,0))^VLOOKUP(L$4,Optimize!$C$12:O$36,3,0)*VLOOKUP(L$4,Optimize!$C$12:O$36,5,0))</f>
        <v>355.80917944476346</v>
      </c>
      <c r="M25" s="150">
        <f>(($D25/VLOOKUP(M$4,Optimize!$C$12:P$36,2,0))^VLOOKUP(M$4,Optimize!$C$12:P$36,3,0)*VLOOKUP(M$4,Optimize!$C$12:P$36,5,0))</f>
        <v>737.75551103973851</v>
      </c>
      <c r="N25" s="150">
        <f>(($D25/VLOOKUP(N$4,Optimize!$C$12:Q$36,2,0))^VLOOKUP(N$4,Optimize!$C$12:Q$36,3,0)*VLOOKUP(N$4,Optimize!$C$12:Q$36,5,0))</f>
        <v>925.60804791102441</v>
      </c>
      <c r="O25" s="150">
        <f>(($D25/VLOOKUP(O$4,Optimize!$C$12:R$36,2,0))^VLOOKUP(O$4,Optimize!$C$12:R$36,3,0)*VLOOKUP(O$4,Optimize!$C$12:R$36,5,0))</f>
        <v>3208.527506112875</v>
      </c>
      <c r="P25" s="150">
        <f>(($D25/VLOOKUP(P$4,Optimize!$C$12:S$36,2,0))^VLOOKUP(P$4,Optimize!$C$12:S$36,3,0)*VLOOKUP(P$4,Optimize!$C$12:S$36,5,0))</f>
        <v>728.15918375525462</v>
      </c>
      <c r="Q25" s="150">
        <f>(($D25/VLOOKUP(Q$4,Optimize!$C$12:T$36,2,0))^VLOOKUP(Q$4,Optimize!$C$12:T$36,3,0)*VLOOKUP(Q$4,Optimize!$C$12:T$36,5,0))</f>
        <v>1853.5140253837576</v>
      </c>
      <c r="R25" s="150">
        <f>(($D25/VLOOKUP(R$4,Optimize!$C$12:U$36,2,0))^VLOOKUP(R$4,Optimize!$C$12:U$36,3,0)*VLOOKUP(R$4,Optimize!$C$12:U$36,5,0))</f>
        <v>264.2710122846027</v>
      </c>
      <c r="S25" s="150">
        <f>(($D25/VLOOKUP(S$4,Optimize!$C$12:V$36,2,0))^VLOOKUP(S$4,Optimize!$C$12:V$36,3,0)*VLOOKUP(S$4,Optimize!$C$12:V$36,5,0))</f>
        <v>1216.9534093275211</v>
      </c>
      <c r="T25" s="150">
        <f>(($D25/VLOOKUP(T$4,Optimize!$C$12:W$36,2,0))^VLOOKUP(T$4,Optimize!$C$12:W$36,3,0)*VLOOKUP(T$4,Optimize!$C$12:W$36,5,0))</f>
        <v>1579.8943506930434</v>
      </c>
      <c r="U25" s="150">
        <f>(($D25/VLOOKUP(U$4,Optimize!$C$12:U$36,2,0))^VLOOKUP(U$4,Optimize!$C$12:U$36,3,0)*VLOOKUP(U$4,Optimize!$C$12:U$36,5,0))</f>
        <v>1456.8914819915858</v>
      </c>
      <c r="V25" s="150">
        <f>(($D25/VLOOKUP(V$4,Optimize!$C$12:V$36,2,0))^VLOOKUP(V$4,Optimize!$C$12:V$36,3,0)*VLOOKUP(V$4,Optimize!$C$12:V$36,5,0))</f>
        <v>812.08271892845289</v>
      </c>
      <c r="W25" s="150">
        <f>(($D25/VLOOKUP(W$4,Optimize!$C$12:W$36,2,0))^VLOOKUP(W$4,Optimize!$C$12:W$36,3,0)*VLOOKUP(W$4,Optimize!$C$12:W$36,5,0))</f>
        <v>6795.6153130856783</v>
      </c>
      <c r="X25" s="150">
        <f>(($D25/VLOOKUP(X$4,Optimize!$C$12:X$36,2,0))^VLOOKUP(X$4,Optimize!$C$12:X$36,3,0)*VLOOKUP(X$4,Optimize!$C$12:X$36,5,0))</f>
        <v>9506.457034504765</v>
      </c>
      <c r="Y25" s="150">
        <f>(($D25/VLOOKUP(Y$4,Optimize!$C$12:Y$36,2,0))^VLOOKUP(Y$4,Optimize!$C$12:Y$36,3,0)*VLOOKUP(Y$4,Optimize!$C$12:Y$36,5,0))</f>
        <v>2386.1885617041826</v>
      </c>
      <c r="AA25" s="210">
        <f>(E25-E24)/($D25-$D24)*Optimize!$H$9</f>
        <v>0.44444317047139847</v>
      </c>
      <c r="AB25" s="210">
        <f>(F25-F24)/($D25-$D24)*Optimize!$H$9</f>
        <v>0.17591824182913723</v>
      </c>
      <c r="AC25" s="210">
        <f>(G25-G24)/($D25-$D24)*Optimize!$H$9</f>
        <v>0.14722881500711485</v>
      </c>
      <c r="AD25" s="210">
        <f>(H25-H24)/($D25-$D24)*Optimize!$H$9</f>
        <v>2.442302926960066E-2</v>
      </c>
      <c r="AE25" s="210">
        <f>(I25-I24)/($D25-$D24)*Optimize!$H$9</f>
        <v>3.5115717183402451E-2</v>
      </c>
      <c r="AF25" s="210">
        <f>(J25-J24)/($D25-$D24)*Optimize!$H$9</f>
        <v>0.21097281163282711</v>
      </c>
      <c r="AG25" s="210">
        <f>(K25-K24)/($D25-$D24)*Optimize!$H$9</f>
        <v>0.39072134497702327</v>
      </c>
      <c r="AH25" s="210">
        <f>(L25-L24)/($D25-$D24)*Optimize!$H$9</f>
        <v>0.16267433242151408</v>
      </c>
      <c r="AI25" s="210">
        <f>(M25-M24)/($D25-$D24)*Optimize!$H$9</f>
        <v>0.33729845147886645</v>
      </c>
      <c r="AJ25" s="210">
        <f>(N25-N24)/($D25-$D24)*Optimize!$H$9</f>
        <v>0.42318377370948573</v>
      </c>
      <c r="AK25" s="210">
        <f>(O25-O24)/($D25-$D24)*Optimize!$H$9</f>
        <v>1.4669241274985663</v>
      </c>
      <c r="AL25" s="210">
        <f>(P25-P24)/($D25-$D24)*Optimize!$H$9</f>
        <v>0.33291105445572855</v>
      </c>
      <c r="AM25" s="210">
        <f>(Q25-Q24)/($D25-$D24)*Optimize!$H$9</f>
        <v>0.84741815032355361</v>
      </c>
      <c r="AN25" s="210">
        <f>(R25-R24)/($D25-$D24)*Optimize!$H$9</f>
        <v>0.12082350030665889</v>
      </c>
      <c r="AO25" s="210">
        <f>(P25-P24)/($D25-$D24)*Optimize!$H$9</f>
        <v>0.33291105445572855</v>
      </c>
      <c r="AP25" s="210">
        <f>(Q25-Q24)/($D25-$D24)*Optimize!$H$9</f>
        <v>0.84741815032355361</v>
      </c>
      <c r="AQ25" s="210">
        <f>(U25-U24)/($D25-$D24)*Optimize!$H$9</f>
        <v>0.66608413423568935</v>
      </c>
      <c r="AR25" s="210">
        <f>(V25-V24)/($D25-$D24)*Optimize!$H$9</f>
        <v>0.37128051159018749</v>
      </c>
      <c r="AS25" s="210">
        <f>(W25-W24)/($D25-$D24)*Optimize!$H$9</f>
        <v>3.1069242962610795</v>
      </c>
      <c r="AT25" s="210">
        <f>(X25-X24)/($D25-$D24)*Optimize!$H$9</f>
        <v>4.3463087551453921</v>
      </c>
    </row>
  </sheetData>
  <mergeCells count="2">
    <mergeCell ref="E3:X3"/>
    <mergeCell ref="AA3:AT3"/>
  </mergeCells>
  <pageMargins left="0.7" right="0.7" top="0.75" bottom="0.75" header="0.3" footer="0.3"/>
  <pageSetup paperSize="9" orientation="portrait" r:id="rId1"/>
  <headerFooter>
    <oddHeader>&amp;L&amp;"Calibri"&amp;12&amp;K8E6A00Confidential&amp;1#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E4B3-B662-4E6C-9CE7-878B0ECEDDE6}">
  <dimension ref="A1:J6"/>
  <sheetViews>
    <sheetView showGridLines="0" workbookViewId="0">
      <selection activeCell="H28" sqref="H28"/>
    </sheetView>
  </sheetViews>
  <sheetFormatPr defaultRowHeight="14.4" x14ac:dyDescent="0.3"/>
  <cols>
    <col min="2" max="3" width="11" bestFit="1" customWidth="1"/>
    <col min="7" max="7" width="12.21875" bestFit="1" customWidth="1"/>
    <col min="8" max="8" width="15.77734375" bestFit="1" customWidth="1"/>
    <col min="9" max="9" width="13.21875" bestFit="1" customWidth="1"/>
    <col min="10" max="10" width="26.88671875" bestFit="1" customWidth="1"/>
  </cols>
  <sheetData>
    <row r="1" spans="1:10" x14ac:dyDescent="0.3">
      <c r="A1" s="1"/>
      <c r="B1" s="1"/>
      <c r="C1" s="1"/>
      <c r="D1" s="1"/>
      <c r="E1" s="1" t="s">
        <v>115</v>
      </c>
      <c r="F1" s="1" t="s">
        <v>180</v>
      </c>
      <c r="G1" s="1" t="s">
        <v>47</v>
      </c>
      <c r="H1" s="1" t="s">
        <v>112</v>
      </c>
      <c r="I1" s="1" t="s">
        <v>116</v>
      </c>
      <c r="J1" s="1" t="s">
        <v>73</v>
      </c>
    </row>
    <row r="2" spans="1:10" x14ac:dyDescent="0.3">
      <c r="A2" s="1" t="s">
        <v>113</v>
      </c>
      <c r="B2" s="1"/>
      <c r="C2" s="93"/>
      <c r="D2" s="94"/>
      <c r="E2" s="92">
        <f>Data!$K$2</f>
        <v>3240.8331326246521</v>
      </c>
      <c r="F2" s="1">
        <f>'[11]verquvo Sample curve'!$J$27</f>
        <v>16472</v>
      </c>
      <c r="G2" s="71">
        <f>'[11]verquvo Sample curve'!$O$27</f>
        <v>1361913.37</v>
      </c>
      <c r="H2" s="95"/>
      <c r="I2" s="208">
        <v>0.16600000000000001</v>
      </c>
      <c r="J2" s="96">
        <f>I2*F2</f>
        <v>2734.3520000000003</v>
      </c>
    </row>
    <row r="3" spans="1:10" x14ac:dyDescent="0.3">
      <c r="A3" s="1" t="s">
        <v>114</v>
      </c>
      <c r="B3" s="1"/>
      <c r="C3" s="93"/>
      <c r="D3" s="94"/>
      <c r="E3" s="92">
        <f>Data!$K$2</f>
        <v>3240.8331326246521</v>
      </c>
      <c r="F3" s="1">
        <f>'[11]verquvo Sample curve'!$J$27</f>
        <v>16472</v>
      </c>
      <c r="G3" s="71">
        <f>'[12]Verquvo Vchr curve'!$O$25</f>
        <v>126305.05</v>
      </c>
      <c r="H3" s="95"/>
      <c r="I3" s="208">
        <v>4.3952932248664402E-2</v>
      </c>
      <c r="J3" s="96">
        <f>I3*F3</f>
        <v>723.99270000000001</v>
      </c>
    </row>
    <row r="6" spans="1:10" x14ac:dyDescent="0.3">
      <c r="J6" s="208" t="s">
        <v>178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02EE-0BCE-44F6-9A4A-71A8A72B46EB}">
  <dimension ref="A1:N20"/>
  <sheetViews>
    <sheetView workbookViewId="0">
      <selection activeCell="E3" sqref="E3"/>
    </sheetView>
  </sheetViews>
  <sheetFormatPr defaultRowHeight="14.4" x14ac:dyDescent="0.3"/>
  <cols>
    <col min="1" max="1" width="21.44140625" customWidth="1"/>
    <col min="2" max="2" width="18.5546875" bestFit="1" customWidth="1"/>
    <col min="3" max="3" width="16.21875" customWidth="1"/>
    <col min="4" max="5" width="12.77734375" style="3" customWidth="1"/>
    <col min="6" max="7" width="15.21875" bestFit="1" customWidth="1"/>
    <col min="8" max="8" width="10.5546875" customWidth="1"/>
    <col min="9" max="9" width="11" customWidth="1"/>
  </cols>
  <sheetData>
    <row r="1" spans="1:14" x14ac:dyDescent="0.3">
      <c r="A1" s="12" t="s">
        <v>26</v>
      </c>
      <c r="B1" s="13" t="s">
        <v>20</v>
      </c>
      <c r="C1" s="13" t="s">
        <v>32</v>
      </c>
      <c r="D1" s="14" t="s">
        <v>38</v>
      </c>
      <c r="E1" s="14" t="s">
        <v>39</v>
      </c>
      <c r="F1" s="15" t="s">
        <v>40</v>
      </c>
      <c r="G1" s="15" t="s">
        <v>41</v>
      </c>
      <c r="H1" s="16" t="s">
        <v>27</v>
      </c>
      <c r="I1" s="16" t="s">
        <v>28</v>
      </c>
      <c r="J1" s="16" t="s">
        <v>45</v>
      </c>
      <c r="L1" s="9" t="s">
        <v>29</v>
      </c>
    </row>
    <row r="2" spans="1:14" x14ac:dyDescent="0.3">
      <c r="A2" s="2" t="s">
        <v>0</v>
      </c>
      <c r="B2" s="11" t="s">
        <v>16</v>
      </c>
      <c r="C2" s="11" t="s">
        <v>33</v>
      </c>
      <c r="D2" s="5"/>
      <c r="E2" s="5"/>
      <c r="F2" s="17">
        <v>258400</v>
      </c>
      <c r="G2" s="6"/>
      <c r="H2">
        <v>25</v>
      </c>
      <c r="I2" s="4" t="s">
        <v>31</v>
      </c>
      <c r="L2" t="s">
        <v>19</v>
      </c>
      <c r="M2" t="s">
        <v>20</v>
      </c>
      <c r="N2" t="s">
        <v>25</v>
      </c>
    </row>
    <row r="3" spans="1:14" x14ac:dyDescent="0.3">
      <c r="A3" s="2" t="s">
        <v>0</v>
      </c>
      <c r="B3" s="11" t="s">
        <v>7</v>
      </c>
      <c r="C3" s="11" t="s">
        <v>34</v>
      </c>
      <c r="D3" s="7">
        <v>754338.2</v>
      </c>
      <c r="E3" s="7">
        <v>507556.85</v>
      </c>
      <c r="F3" s="6">
        <v>1149571</v>
      </c>
      <c r="G3" s="6">
        <v>657412</v>
      </c>
      <c r="H3">
        <v>8</v>
      </c>
      <c r="I3">
        <v>16</v>
      </c>
      <c r="L3" t="s">
        <v>21</v>
      </c>
      <c r="M3" t="s">
        <v>22</v>
      </c>
      <c r="N3">
        <v>10</v>
      </c>
    </row>
    <row r="4" spans="1:14" x14ac:dyDescent="0.3">
      <c r="A4" s="2" t="s">
        <v>0</v>
      </c>
      <c r="B4" s="11" t="s">
        <v>6</v>
      </c>
      <c r="C4" s="11" t="s">
        <v>33</v>
      </c>
      <c r="D4" s="7">
        <v>316286.62</v>
      </c>
      <c r="E4" s="7">
        <v>235081</v>
      </c>
      <c r="F4" s="6">
        <f>1099046.96</f>
        <v>1099046.96</v>
      </c>
      <c r="G4" s="6">
        <v>892920</v>
      </c>
      <c r="H4">
        <v>12</v>
      </c>
      <c r="I4">
        <v>18</v>
      </c>
      <c r="L4" t="s">
        <v>21</v>
      </c>
      <c r="M4" t="s">
        <v>23</v>
      </c>
      <c r="N4">
        <v>86</v>
      </c>
    </row>
    <row r="5" spans="1:14" x14ac:dyDescent="0.3">
      <c r="A5" s="2" t="s">
        <v>1</v>
      </c>
      <c r="B5" s="11" t="s">
        <v>8</v>
      </c>
      <c r="C5" s="11" t="s">
        <v>35</v>
      </c>
      <c r="D5" s="7">
        <v>109000</v>
      </c>
      <c r="E5" s="7">
        <v>55000</v>
      </c>
      <c r="F5" s="6"/>
      <c r="G5" s="6">
        <v>243250</v>
      </c>
      <c r="L5" t="s">
        <v>24</v>
      </c>
      <c r="M5" t="s">
        <v>22</v>
      </c>
      <c r="N5">
        <v>9</v>
      </c>
    </row>
    <row r="6" spans="1:14" x14ac:dyDescent="0.3">
      <c r="A6" s="2" t="s">
        <v>1</v>
      </c>
      <c r="B6" s="11" t="s">
        <v>9</v>
      </c>
      <c r="C6" s="11" t="s">
        <v>35</v>
      </c>
      <c r="D6" s="7"/>
      <c r="E6" s="7">
        <v>65000</v>
      </c>
      <c r="F6" s="8"/>
      <c r="G6" s="8"/>
      <c r="L6" t="s">
        <v>24</v>
      </c>
      <c r="M6" t="s">
        <v>23</v>
      </c>
      <c r="N6">
        <v>88</v>
      </c>
    </row>
    <row r="7" spans="1:14" x14ac:dyDescent="0.3">
      <c r="A7" s="2" t="s">
        <v>1</v>
      </c>
      <c r="B7" s="11" t="s">
        <v>17</v>
      </c>
      <c r="C7" s="11" t="s">
        <v>35</v>
      </c>
      <c r="D7" s="7"/>
      <c r="E7" s="7"/>
      <c r="F7" s="6"/>
      <c r="G7" s="6">
        <v>52650</v>
      </c>
    </row>
    <row r="8" spans="1:14" x14ac:dyDescent="0.3">
      <c r="A8" s="2" t="s">
        <v>1</v>
      </c>
      <c r="B8" s="11" t="s">
        <v>18</v>
      </c>
      <c r="C8" s="11" t="s">
        <v>35</v>
      </c>
      <c r="D8" s="7"/>
      <c r="E8" s="7"/>
      <c r="F8" s="6"/>
      <c r="G8" s="6">
        <v>10193</v>
      </c>
    </row>
    <row r="9" spans="1:14" x14ac:dyDescent="0.3">
      <c r="A9" s="2" t="s">
        <v>1</v>
      </c>
      <c r="B9" s="11" t="s">
        <v>12</v>
      </c>
      <c r="C9" s="11" t="s">
        <v>35</v>
      </c>
      <c r="D9" s="7">
        <v>488100</v>
      </c>
      <c r="E9" s="7"/>
      <c r="F9" s="8"/>
      <c r="G9" s="8"/>
    </row>
    <row r="10" spans="1:14" x14ac:dyDescent="0.3">
      <c r="A10" s="2" t="s">
        <v>14</v>
      </c>
      <c r="B10" s="11" t="s">
        <v>15</v>
      </c>
      <c r="C10" s="11" t="s">
        <v>36</v>
      </c>
      <c r="D10" s="7"/>
      <c r="E10" s="7"/>
      <c r="F10" s="6"/>
      <c r="G10" s="6">
        <v>25000</v>
      </c>
    </row>
    <row r="11" spans="1:14" x14ac:dyDescent="0.3">
      <c r="A11" s="2" t="s">
        <v>2</v>
      </c>
      <c r="B11" s="11" t="s">
        <v>10</v>
      </c>
      <c r="C11" s="11" t="s">
        <v>36</v>
      </c>
      <c r="D11" s="7">
        <v>235803.33</v>
      </c>
      <c r="E11" s="7">
        <v>82600.36</v>
      </c>
      <c r="F11" s="6">
        <v>231984.17</v>
      </c>
      <c r="G11" s="6">
        <v>354141.63</v>
      </c>
    </row>
    <row r="12" spans="1:14" x14ac:dyDescent="0.3">
      <c r="A12" s="2" t="s">
        <v>3</v>
      </c>
      <c r="B12" s="11" t="s">
        <v>11</v>
      </c>
      <c r="C12" s="11" t="s">
        <v>37</v>
      </c>
      <c r="D12" s="7">
        <v>137621.46</v>
      </c>
      <c r="E12" s="7">
        <v>131811</v>
      </c>
      <c r="F12" s="6">
        <v>109113.36</v>
      </c>
      <c r="G12" s="6">
        <v>111004</v>
      </c>
      <c r="H12">
        <v>4.8</v>
      </c>
      <c r="I12">
        <v>2.1</v>
      </c>
      <c r="J12">
        <v>2.9</v>
      </c>
    </row>
    <row r="14" spans="1:14" x14ac:dyDescent="0.3">
      <c r="C14" s="19" t="s">
        <v>42</v>
      </c>
      <c r="D14" s="18">
        <f>SUM(D2:D12)</f>
        <v>2041149.6099999999</v>
      </c>
      <c r="E14" s="18">
        <f>SUM(E2:E12)</f>
        <v>1077049.21</v>
      </c>
      <c r="F14" s="18">
        <f>SUM(F2:F12)</f>
        <v>2848115.4899999998</v>
      </c>
      <c r="G14" s="18">
        <f>SUM(G2:G12)</f>
        <v>2346570.63</v>
      </c>
    </row>
    <row r="15" spans="1:14" x14ac:dyDescent="0.3">
      <c r="D15" s="18"/>
      <c r="E15" s="18"/>
      <c r="F15" s="18"/>
      <c r="G15" s="18"/>
    </row>
    <row r="16" spans="1:14" x14ac:dyDescent="0.3">
      <c r="C16" s="260" t="s">
        <v>43</v>
      </c>
      <c r="D16" s="18">
        <f>SUM(D2:D4)</f>
        <v>1070624.8199999998</v>
      </c>
      <c r="E16" s="18">
        <f>SUM(E2:E4)</f>
        <v>742637.85</v>
      </c>
      <c r="F16" s="18">
        <f>SUM(F2:F4)</f>
        <v>2507017.96</v>
      </c>
      <c r="G16" s="18">
        <f>SUM(G2:G4)</f>
        <v>1550332</v>
      </c>
    </row>
    <row r="17" spans="3:7" x14ac:dyDescent="0.3">
      <c r="C17" s="260"/>
      <c r="D17" s="20">
        <f>+D16/D14</f>
        <v>0.52452050293363839</v>
      </c>
      <c r="E17" s="20">
        <f t="shared" ref="E17:G17" si="0">+E16/E14</f>
        <v>0.68951153123263509</v>
      </c>
      <c r="F17" s="20">
        <f t="shared" si="0"/>
        <v>0.88023746537047909</v>
      </c>
      <c r="G17" s="20">
        <f t="shared" si="0"/>
        <v>0.66067987904544778</v>
      </c>
    </row>
    <row r="19" spans="3:7" x14ac:dyDescent="0.3">
      <c r="C19" s="261" t="s">
        <v>44</v>
      </c>
      <c r="D19" s="18">
        <f>SUM(D5:D12)</f>
        <v>970524.78999999992</v>
      </c>
      <c r="E19" s="18">
        <f>SUM(E5:E12)</f>
        <v>334411.36</v>
      </c>
      <c r="F19" s="18">
        <f>SUM(F5:F12)</f>
        <v>341097.53</v>
      </c>
      <c r="G19" s="18">
        <f>SUM(G5:G12)</f>
        <v>796238.63</v>
      </c>
    </row>
    <row r="20" spans="3:7" x14ac:dyDescent="0.3">
      <c r="C20" s="261"/>
      <c r="D20" s="20">
        <f>+D19/D14</f>
        <v>0.47547949706636156</v>
      </c>
      <c r="E20" s="20">
        <f>+E19/E14</f>
        <v>0.31048846876736486</v>
      </c>
      <c r="F20" s="20">
        <f>+F19/F14</f>
        <v>0.11976253462952095</v>
      </c>
      <c r="G20" s="20">
        <f>+G19/G14</f>
        <v>0.33932012095455233</v>
      </c>
    </row>
  </sheetData>
  <mergeCells count="2">
    <mergeCell ref="C16:C17"/>
    <mergeCell ref="C19:C20"/>
  </mergeCells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AddlPromo</vt:lpstr>
      <vt:lpstr>Contribution, Promo eff, ROI</vt:lpstr>
      <vt:lpstr>Summary</vt:lpstr>
      <vt:lpstr>Optimize</vt:lpstr>
      <vt:lpstr>Data</vt:lpstr>
      <vt:lpstr>Custom Scenario Chart</vt:lpstr>
      <vt:lpstr>Response Curves</vt:lpstr>
      <vt:lpstr>Samples Vouchers</vt:lpstr>
      <vt:lpstr>Working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Bealer, Blythe E</dc:creator>
  <cp:lastModifiedBy>Quiggle, Tracie A.</cp:lastModifiedBy>
  <dcterms:created xsi:type="dcterms:W3CDTF">2021-08-27T16:18:37Z</dcterms:created>
  <dcterms:modified xsi:type="dcterms:W3CDTF">2023-08-17T19:29:03Z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2021-09-09T13:50:56Z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bfff7055-5c2d-46fc-8f84-3e955556f476</vt:lpwstr>
  </property>
  <property fmtid="{D5CDD505-2E9C-101B-9397-08002B2CF9AE}" pid="8" name="MSIP_Label_2c56a699-e9bd-437a-8412-901342082749_ContentBits">
    <vt:lpwstr>1</vt:lpwstr>
  </property>
</Properties>
</file>